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fguerrero\Desktop\Golf Rounds\"/>
    </mc:Choice>
  </mc:AlternateContent>
  <xr:revisionPtr revIDLastSave="0" documentId="13_ncr:1_{1EA7DDE6-0179-4643-A5FF-79706B287284}" xr6:coauthVersionLast="47" xr6:coauthVersionMax="47" xr10:uidLastSave="{00000000-0000-0000-0000-000000000000}"/>
  <bookViews>
    <workbookView xWindow="-120" yWindow="-120" windowWidth="29040" windowHeight="15840" xr2:uid="{83C3BF12-B85A-4B99-B3D3-BFDC85B4576A}"/>
  </bookViews>
  <sheets>
    <sheet name="2023 Revenue Projection" sheetId="5" r:id="rId1"/>
    <sheet name="Budget" sheetId="6" r:id="rId2"/>
    <sheet name="Narrative" sheetId="4" r:id="rId3"/>
  </sheets>
  <externalReferences>
    <externalReference r:id="rId4"/>
    <externalReference r:id="rId5"/>
    <externalReference r:id="rId6"/>
    <externalReference r:id="rId7"/>
    <externalReference r:id="rId8"/>
  </externalReferences>
  <definedNames>
    <definedName name="______db2">'[1]Health Ins'!#REF!</definedName>
    <definedName name="____db2">'[1]Health Ins'!#REF!</definedName>
    <definedName name="___db2">'[1]Health Ins'!#REF!</definedName>
    <definedName name="__db2">'[1]Health Ins'!#REF!</definedName>
    <definedName name="_db2">'[1]Health Ins'!#REF!</definedName>
    <definedName name="_xlnm.Criteria">'[1]Health Ins'!#REF!</definedName>
    <definedName name="Criteria_MI">'[1]Health Ins'!#REF!</definedName>
    <definedName name="_xlnm.Database">'[1]Health Ins'!#REF!</definedName>
    <definedName name="Database_MI">'[1]Health Ins'!#REF!</definedName>
    <definedName name="_xlnm.Print_Area" localSheetId="0">'2023 Revenue Projection'!$A$6:$O$96</definedName>
    <definedName name="_xlnm.Print_Area" localSheetId="1">Budget!$A$1:$J$84</definedName>
    <definedName name="_xlnm.Print_Area" localSheetId="2">Narrative!$A$3:$E$63</definedName>
    <definedName name="Print_Area_MI" localSheetId="1">#REF!</definedName>
    <definedName name="Print_Area_MI">#REF!</definedName>
    <definedName name="_xlnm.Print_Titles" localSheetId="0">'2023 Revenue Projection'!$1:$5</definedName>
    <definedName name="_xlnm.Print_Titles" localSheetId="1">Budget!$1:$6</definedName>
    <definedName name="_xlnm.Print_Titles" localSheetId="2">Narrative!$3:$8</definedName>
    <definedName name="Print_Titles_MI" localSheetId="1">#REF!</definedName>
    <definedName name="Print_Titles_MI">#REF!</definedName>
    <definedName name="tbluObjects_ALL" localSheetId="1">#REF!</definedName>
    <definedName name="tbluObjects_ALL">#REF!</definedName>
    <definedName name="Text16" localSheetId="2">Narrative!#REF!</definedName>
    <definedName name="vvv" localSheetId="1">'[2]Health Ins'!#REF!</definedName>
    <definedName name="vvv">'[2]Health Ins'!#REF!</definedName>
    <definedName name="x">'[2]Health Ins'!#REF!</definedName>
    <definedName name="xx">'[2]Health Ins'!#REF!</definedName>
    <definedName name="xxx">'[2]Health Ins'!#REF!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0" i="4" l="1"/>
  <c r="C59" i="4"/>
  <c r="C58" i="4"/>
  <c r="C56" i="4"/>
  <c r="C55" i="4"/>
  <c r="C54" i="4"/>
  <c r="C53" i="4"/>
  <c r="C52" i="4"/>
  <c r="C51" i="4"/>
  <c r="C49" i="4"/>
  <c r="C50" i="4"/>
  <c r="C47" i="4"/>
  <c r="C46" i="4"/>
  <c r="C45" i="4"/>
  <c r="C44" i="4"/>
  <c r="C43" i="4"/>
  <c r="C42" i="4"/>
  <c r="C41" i="4"/>
  <c r="C40" i="4"/>
  <c r="C36" i="4"/>
  <c r="C35" i="4"/>
  <c r="C34" i="4"/>
  <c r="C30" i="4"/>
  <c r="C29" i="4"/>
  <c r="C28" i="4"/>
  <c r="C27" i="4"/>
  <c r="C26" i="4"/>
  <c r="C25" i="4"/>
  <c r="C24" i="4"/>
  <c r="C18" i="4"/>
  <c r="C17" i="4"/>
  <c r="C15" i="4"/>
  <c r="C14" i="4"/>
  <c r="C11" i="4"/>
  <c r="C10" i="4"/>
  <c r="F62" i="6"/>
  <c r="F64" i="6" s="1"/>
  <c r="D61" i="6"/>
  <c r="I61" i="6" s="1"/>
  <c r="I60" i="6"/>
  <c r="I59" i="6"/>
  <c r="I57" i="6"/>
  <c r="E56" i="6"/>
  <c r="D56" i="6"/>
  <c r="I56" i="6" s="1"/>
  <c r="I55" i="6"/>
  <c r="D54" i="6"/>
  <c r="I54" i="6" s="1"/>
  <c r="I53" i="6"/>
  <c r="D53" i="6"/>
  <c r="I52" i="6"/>
  <c r="E51" i="6"/>
  <c r="D51" i="6"/>
  <c r="I51" i="6" s="1"/>
  <c r="I50" i="6"/>
  <c r="I49" i="6"/>
  <c r="I48" i="6"/>
  <c r="I47" i="6"/>
  <c r="I46" i="6"/>
  <c r="I45" i="6"/>
  <c r="I44" i="6"/>
  <c r="I43" i="6"/>
  <c r="I42" i="6"/>
  <c r="I41" i="6"/>
  <c r="I40" i="6"/>
  <c r="E40" i="6"/>
  <c r="E62" i="6" s="1"/>
  <c r="E64" i="6" s="1"/>
  <c r="D40" i="6"/>
  <c r="I39" i="6"/>
  <c r="I38" i="6"/>
  <c r="D38" i="6"/>
  <c r="F36" i="6"/>
  <c r="E36" i="6"/>
  <c r="D36" i="6"/>
  <c r="I36" i="6" s="1"/>
  <c r="I74" i="6" s="1"/>
  <c r="D35" i="6"/>
  <c r="I35" i="6" s="1"/>
  <c r="I34" i="6"/>
  <c r="I33" i="6"/>
  <c r="I32" i="6"/>
  <c r="I31" i="6"/>
  <c r="I30" i="6"/>
  <c r="I29" i="6"/>
  <c r="F27" i="6"/>
  <c r="E27" i="6"/>
  <c r="I26" i="6"/>
  <c r="I25" i="6"/>
  <c r="I24" i="6"/>
  <c r="I23" i="6"/>
  <c r="D22" i="6"/>
  <c r="I22" i="6" s="1"/>
  <c r="D21" i="6"/>
  <c r="I21" i="6" s="1"/>
  <c r="I20" i="6"/>
  <c r="D19" i="6"/>
  <c r="E14" i="6"/>
  <c r="E67" i="6" s="1"/>
  <c r="I13" i="6"/>
  <c r="I77" i="6" s="1"/>
  <c r="F13" i="6"/>
  <c r="I11" i="6"/>
  <c r="I79" i="6" s="1"/>
  <c r="F9" i="6"/>
  <c r="F14" i="6" s="1"/>
  <c r="F67" i="6" s="1"/>
  <c r="I71" i="6" s="1"/>
  <c r="C13" i="4" l="1"/>
  <c r="C12" i="4"/>
  <c r="D27" i="6"/>
  <c r="I27" i="6" s="1"/>
  <c r="I73" i="6" s="1"/>
  <c r="I19" i="6"/>
  <c r="D9" i="6"/>
  <c r="I9" i="6" l="1"/>
  <c r="F48" i="5" l="1"/>
  <c r="P49" i="5"/>
  <c r="P48" i="5"/>
  <c r="P47" i="5"/>
  <c r="F47" i="5"/>
  <c r="M46" i="5"/>
  <c r="F46" i="5"/>
  <c r="F63" i="5"/>
  <c r="F62" i="5"/>
  <c r="F61" i="5"/>
  <c r="F60" i="5"/>
  <c r="F56" i="5"/>
  <c r="F55" i="5"/>
  <c r="F53" i="5"/>
  <c r="F52" i="5"/>
  <c r="F51" i="5"/>
  <c r="F44" i="5"/>
  <c r="F43" i="5"/>
  <c r="F42" i="5"/>
  <c r="F41" i="5"/>
  <c r="F28" i="5"/>
  <c r="F27" i="5"/>
  <c r="F26" i="5"/>
  <c r="F25" i="5"/>
  <c r="F24" i="5"/>
  <c r="F13" i="5"/>
  <c r="F12" i="5"/>
  <c r="F11" i="5"/>
  <c r="F10" i="5"/>
  <c r="F9" i="5"/>
  <c r="F8" i="5"/>
  <c r="M48" i="5" l="1"/>
  <c r="I49" i="5"/>
  <c r="I47" i="5"/>
  <c r="P46" i="5"/>
  <c r="M47" i="5"/>
  <c r="I48" i="5"/>
  <c r="M49" i="5"/>
  <c r="I46" i="5"/>
  <c r="I8" i="5"/>
  <c r="E71" i="5"/>
  <c r="F71" i="5" s="1"/>
  <c r="E70" i="5"/>
  <c r="F70" i="5" s="1"/>
  <c r="E69" i="5"/>
  <c r="F69" i="5" s="1"/>
  <c r="E66" i="5"/>
  <c r="F66" i="5" s="1"/>
  <c r="E65" i="5"/>
  <c r="F65" i="5" s="1"/>
  <c r="E40" i="5"/>
  <c r="F40" i="5" s="1"/>
  <c r="E39" i="5"/>
  <c r="F39" i="5" s="1"/>
  <c r="E35" i="5"/>
  <c r="F35" i="5" s="1"/>
  <c r="E34" i="5"/>
  <c r="F34" i="5" s="1"/>
  <c r="E33" i="5"/>
  <c r="F33" i="5" s="1"/>
  <c r="E32" i="5"/>
  <c r="F32" i="5" s="1"/>
  <c r="E31" i="5"/>
  <c r="F31" i="5" s="1"/>
  <c r="E30" i="5"/>
  <c r="F30" i="5" s="1"/>
  <c r="E20" i="5"/>
  <c r="F20" i="5" s="1"/>
  <c r="E19" i="5"/>
  <c r="F19" i="5" s="1"/>
  <c r="E18" i="5"/>
  <c r="F18" i="5" s="1"/>
  <c r="E17" i="5"/>
  <c r="F17" i="5" s="1"/>
  <c r="E16" i="5"/>
  <c r="F16" i="5" s="1"/>
  <c r="E15" i="5"/>
  <c r="F15" i="5" s="1"/>
  <c r="P71" i="5"/>
  <c r="M71" i="5"/>
  <c r="I71" i="5"/>
  <c r="P70" i="5"/>
  <c r="M70" i="5"/>
  <c r="I70" i="5"/>
  <c r="P69" i="5"/>
  <c r="M69" i="5"/>
  <c r="I69" i="5"/>
  <c r="M68" i="5"/>
  <c r="P66" i="5"/>
  <c r="M66" i="5"/>
  <c r="I66" i="5"/>
  <c r="P65" i="5"/>
  <c r="M65" i="5"/>
  <c r="I65" i="5"/>
  <c r="P63" i="5"/>
  <c r="M63" i="5"/>
  <c r="I63" i="5"/>
  <c r="P62" i="5"/>
  <c r="M62" i="5"/>
  <c r="I62" i="5"/>
  <c r="P61" i="5"/>
  <c r="M61" i="5"/>
  <c r="I61" i="5"/>
  <c r="P60" i="5"/>
  <c r="M60" i="5"/>
  <c r="I60" i="5"/>
  <c r="P58" i="5"/>
  <c r="P57" i="5"/>
  <c r="P56" i="5"/>
  <c r="M56" i="5"/>
  <c r="I56" i="5"/>
  <c r="P55" i="5"/>
  <c r="M55" i="5"/>
  <c r="I55" i="5"/>
  <c r="M53" i="5"/>
  <c r="I53" i="5"/>
  <c r="M52" i="5"/>
  <c r="I52" i="5"/>
  <c r="M51" i="5"/>
  <c r="I51" i="5"/>
  <c r="P44" i="5"/>
  <c r="M44" i="5"/>
  <c r="I44" i="5"/>
  <c r="P43" i="5"/>
  <c r="M43" i="5"/>
  <c r="I43" i="5"/>
  <c r="M42" i="5"/>
  <c r="I42" i="5"/>
  <c r="P42" i="5"/>
  <c r="M41" i="5"/>
  <c r="I41" i="5"/>
  <c r="P41" i="5"/>
  <c r="P40" i="5"/>
  <c r="M40" i="5"/>
  <c r="I40" i="5"/>
  <c r="P39" i="5"/>
  <c r="M39" i="5"/>
  <c r="I39" i="5"/>
  <c r="P35" i="5"/>
  <c r="M35" i="5"/>
  <c r="I35" i="5"/>
  <c r="P34" i="5"/>
  <c r="M34" i="5"/>
  <c r="I34" i="5"/>
  <c r="P33" i="5"/>
  <c r="M33" i="5"/>
  <c r="I33" i="5"/>
  <c r="P32" i="5"/>
  <c r="M32" i="5"/>
  <c r="I32" i="5"/>
  <c r="P31" i="5"/>
  <c r="M31" i="5"/>
  <c r="I31" i="5"/>
  <c r="P30" i="5"/>
  <c r="M30" i="5"/>
  <c r="I30" i="5"/>
  <c r="P28" i="5"/>
  <c r="M28" i="5"/>
  <c r="I28" i="5"/>
  <c r="P27" i="5"/>
  <c r="M27" i="5"/>
  <c r="I27" i="5"/>
  <c r="P26" i="5"/>
  <c r="M26" i="5"/>
  <c r="I26" i="5"/>
  <c r="P25" i="5"/>
  <c r="M25" i="5"/>
  <c r="I25" i="5"/>
  <c r="P24" i="5"/>
  <c r="M24" i="5"/>
  <c r="I24" i="5"/>
  <c r="P20" i="5"/>
  <c r="M20" i="5"/>
  <c r="I20" i="5"/>
  <c r="P19" i="5"/>
  <c r="M19" i="5"/>
  <c r="I19" i="5"/>
  <c r="P18" i="5"/>
  <c r="M18" i="5"/>
  <c r="I18" i="5"/>
  <c r="P17" i="5"/>
  <c r="M17" i="5"/>
  <c r="I17" i="5"/>
  <c r="P16" i="5"/>
  <c r="M16" i="5"/>
  <c r="I16" i="5"/>
  <c r="P15" i="5"/>
  <c r="M15" i="5"/>
  <c r="I15" i="5"/>
  <c r="P13" i="5"/>
  <c r="M13" i="5"/>
  <c r="I13" i="5"/>
  <c r="P12" i="5"/>
  <c r="M12" i="5"/>
  <c r="I12" i="5"/>
  <c r="I11" i="5"/>
  <c r="P10" i="5"/>
  <c r="M10" i="5"/>
  <c r="I10" i="5"/>
  <c r="P9" i="5"/>
  <c r="M9" i="5"/>
  <c r="I9" i="5"/>
  <c r="P8" i="5"/>
  <c r="M8" i="5"/>
  <c r="P1" i="5"/>
  <c r="K63" i="5" l="1"/>
  <c r="K56" i="5"/>
  <c r="K49" i="5"/>
  <c r="K53" i="5"/>
  <c r="K28" i="5"/>
  <c r="K13" i="5"/>
  <c r="I73" i="5"/>
  <c r="K44" i="5"/>
  <c r="K71" i="5"/>
  <c r="K35" i="5"/>
  <c r="K20" i="5"/>
  <c r="I77" i="5" l="1"/>
  <c r="D12" i="6" s="1"/>
  <c r="I12" i="6" s="1"/>
  <c r="I76" i="5"/>
  <c r="D10" i="6" s="1"/>
  <c r="I10" i="6" s="1"/>
  <c r="I78" i="6" s="1"/>
  <c r="I75" i="5"/>
  <c r="K73" i="5"/>
  <c r="I79" i="5" l="1"/>
  <c r="I81" i="5" s="1"/>
  <c r="D8" i="6"/>
  <c r="E5" i="4"/>
  <c r="C48" i="4"/>
  <c r="C21" i="4"/>
  <c r="C31" i="4"/>
  <c r="J8" i="6" l="1"/>
  <c r="D14" i="6"/>
  <c r="I8" i="6"/>
  <c r="I80" i="6" s="1"/>
  <c r="I14" i="6" l="1"/>
  <c r="D58" i="6"/>
  <c r="C57" i="4" l="1"/>
  <c r="C61" i="4" s="1"/>
  <c r="C63" i="4" s="1"/>
  <c r="C2" i="4" s="1"/>
  <c r="E2" i="4" s="1"/>
  <c r="I58" i="6"/>
  <c r="D62" i="6"/>
  <c r="D64" i="6" l="1"/>
  <c r="I62" i="6"/>
  <c r="I75" i="6" s="1"/>
  <c r="I82" i="6" s="1"/>
  <c r="D67" i="6"/>
  <c r="I85" i="5" l="1"/>
  <c r="D85" i="6"/>
  <c r="D87" i="6" s="1"/>
  <c r="I64" i="6"/>
</calcChain>
</file>

<file path=xl/sharedStrings.xml><?xml version="1.0" encoding="utf-8"?>
<sst xmlns="http://schemas.openxmlformats.org/spreadsheetml/2006/main" count="442" uniqueCount="366">
  <si>
    <t>Net Income/(Loss)</t>
  </si>
  <si>
    <t>Town of Berlin</t>
  </si>
  <si>
    <t>Timberlin Golf Course Budget Model</t>
  </si>
  <si>
    <t>(excludes costs incurred to display results as if the course were run as an Enterprise Fund - Facilities, Grounds, Garage, etc.)</t>
  </si>
  <si>
    <t>Revenue:</t>
  </si>
  <si>
    <t>001.25.2543.1.42451.00000</t>
  </si>
  <si>
    <t>Golf Course Revenue</t>
  </si>
  <si>
    <t xml:space="preserve">Source: Jerry's rate model </t>
  </si>
  <si>
    <t>001.25.2543.1.42453.00000</t>
  </si>
  <si>
    <t>Golf Restaurant Rent</t>
  </si>
  <si>
    <t>Source: contract</t>
  </si>
  <si>
    <t>001.25.2543.1.42454.00000</t>
  </si>
  <si>
    <t>Golf Course Season Pass Revenue</t>
  </si>
  <si>
    <t>001.25.2543.1.42455.00000</t>
  </si>
  <si>
    <t>Golf Pro Rent</t>
  </si>
  <si>
    <t>001.25.2543.1.42501.00000</t>
  </si>
  <si>
    <t>Golf Cart Revenue</t>
  </si>
  <si>
    <t>Town Contribution</t>
  </si>
  <si>
    <t>Expenditures:</t>
  </si>
  <si>
    <t>001.25.2543.0.51100.00000</t>
  </si>
  <si>
    <t>Department Head</t>
  </si>
  <si>
    <t>001.25.2543.0.51125.00000</t>
  </si>
  <si>
    <t>Mid-Managers Personnel</t>
  </si>
  <si>
    <t>per mid-mgr contract (step only) + 2.25%</t>
  </si>
  <si>
    <t>001.25.2543.0.51135.00000</t>
  </si>
  <si>
    <t>Blue Collar Personnel</t>
  </si>
  <si>
    <t>per blue collar contract</t>
  </si>
  <si>
    <t>001.25.2543.0.51160.00000</t>
  </si>
  <si>
    <t>Strtrs, Rngrs, Golf Carts</t>
  </si>
  <si>
    <t>8.3% increase to account for min wage law</t>
  </si>
  <si>
    <t>001.25.2543.0.51305.00000</t>
  </si>
  <si>
    <t>Commission Secretaries</t>
  </si>
  <si>
    <t>assume FY21 budget</t>
  </si>
  <si>
    <t>001.25.2543.0.51400.00000</t>
  </si>
  <si>
    <t>Overtime</t>
  </si>
  <si>
    <t>001.25.2543.0.51510.00000</t>
  </si>
  <si>
    <t>Part time &amp; Summer Help</t>
  </si>
  <si>
    <t>001.25.2543.0.51805.00000</t>
  </si>
  <si>
    <t>Longevity</t>
  </si>
  <si>
    <t>001.25.2543.0.52010.00000</t>
  </si>
  <si>
    <t>Worker's Compensation</t>
  </si>
  <si>
    <t>001.25.2543.0.52100.00000</t>
  </si>
  <si>
    <t>Social Security</t>
  </si>
  <si>
    <t>001.25.2543.0.52110.00000</t>
  </si>
  <si>
    <t>Unemployment Compensation</t>
  </si>
  <si>
    <t>001.25.2543.0.52200.00000</t>
  </si>
  <si>
    <t>Pension</t>
  </si>
  <si>
    <t>001.25.2543.0.52220.00000</t>
  </si>
  <si>
    <t>Insurance, Life, Disability</t>
  </si>
  <si>
    <t>001.25.2543.0.52235.00000</t>
  </si>
  <si>
    <t>Health Insurance</t>
  </si>
  <si>
    <t>assumes 10% increase</t>
  </si>
  <si>
    <t>001.25.2543.0.52300.00000</t>
  </si>
  <si>
    <t>Uniforms</t>
  </si>
  <si>
    <t>001.25.2543.0.53102.00000</t>
  </si>
  <si>
    <t>Electricity</t>
  </si>
  <si>
    <t>001.25.2543.0.53105.00000</t>
  </si>
  <si>
    <t>Natural Gas</t>
  </si>
  <si>
    <t>001.25.2543.0.53106.00000</t>
  </si>
  <si>
    <t>Vehicle Fuel</t>
  </si>
  <si>
    <t>001.25.2543.0.53201.00000</t>
  </si>
  <si>
    <t>Supplies</t>
  </si>
  <si>
    <t>001.25.2543.0.53202.00000</t>
  </si>
  <si>
    <t>Irrigation</t>
  </si>
  <si>
    <t>001.25.2543.0.53208.00000</t>
  </si>
  <si>
    <t>Equipment</t>
  </si>
  <si>
    <t>001.25.2543.0.53219.00000</t>
  </si>
  <si>
    <t>Operating Materials</t>
  </si>
  <si>
    <t>001.25.2543.0.53233.00000</t>
  </si>
  <si>
    <t>Auto Parts</t>
  </si>
  <si>
    <t>001.25.2543.0.53241.00000</t>
  </si>
  <si>
    <t>Sand,Divot Mix, &amp; Stone</t>
  </si>
  <si>
    <t>001.25.2543.0.53243.00000</t>
  </si>
  <si>
    <t>Fertilizer, Seed, Chem.</t>
  </si>
  <si>
    <t>001.25.2543.0.53245.00000</t>
  </si>
  <si>
    <t>Maintenance &amp; Repair</t>
  </si>
  <si>
    <t>001.25.2543.0.53501.00000</t>
  </si>
  <si>
    <t>Pro share of cart rev.</t>
  </si>
  <si>
    <t>001.25.2543.0.53510.00000</t>
  </si>
  <si>
    <t>Golf Pro Contr. Serv.</t>
  </si>
  <si>
    <t>001.25.2543.0.53603.00000</t>
  </si>
  <si>
    <t>Golf Cart Lease</t>
  </si>
  <si>
    <t>001.25.2543.0.53730.00000</t>
  </si>
  <si>
    <t>Insurance</t>
  </si>
  <si>
    <t>001.25.2543.0.53813.00000</t>
  </si>
  <si>
    <t>Computer Support</t>
  </si>
  <si>
    <t>001.25.2543.0.53823.00000</t>
  </si>
  <si>
    <t>Refuse Disposal</t>
  </si>
  <si>
    <t>assume 10% increase in cost</t>
  </si>
  <si>
    <t>001.25.2543.0.53902.00000</t>
  </si>
  <si>
    <t>Telephone</t>
  </si>
  <si>
    <t>001.25.2543.0.53917.00000</t>
  </si>
  <si>
    <t>Water &amp; Sewer</t>
  </si>
  <si>
    <t>001.25.2543.0.53940.00000</t>
  </si>
  <si>
    <t>Advertising</t>
  </si>
  <si>
    <t>New contractual cost</t>
  </si>
  <si>
    <t>001.25.2543.0.53941.00000</t>
  </si>
  <si>
    <t>Bank charges</t>
  </si>
  <si>
    <t>001.25.2543.0.53944.00000</t>
  </si>
  <si>
    <t>Organizational Fees</t>
  </si>
  <si>
    <t>001.25.2543.0.53945.00000</t>
  </si>
  <si>
    <t>Training</t>
  </si>
  <si>
    <t>001.25.2543.0.53950.00000</t>
  </si>
  <si>
    <t>Internet Service</t>
  </si>
  <si>
    <t>Total Expenses</t>
  </si>
  <si>
    <t>FY2024 Budget*</t>
  </si>
  <si>
    <t>Not part of new contract</t>
  </si>
  <si>
    <t>FY2023 Budget* Comments</t>
  </si>
  <si>
    <t>assume FY23 budget</t>
  </si>
  <si>
    <t>assume FY23 budget + 5%</t>
  </si>
  <si>
    <t>increase in cost of parts</t>
  </si>
  <si>
    <t>Increase advised by Distributors</t>
  </si>
  <si>
    <t>aging irrigation system</t>
  </si>
  <si>
    <t>Kevin</t>
  </si>
  <si>
    <t>Fiscal Year 2024</t>
  </si>
  <si>
    <t>% Expense increase from FY23</t>
  </si>
  <si>
    <t>Contract</t>
  </si>
  <si>
    <t>85 Carts with GPS, 3 Utility Carts</t>
  </si>
  <si>
    <t>Per Jim $3.00/Gal Regular Gas, $6.00/Gal Diesel</t>
  </si>
  <si>
    <t>assume 1/1/23 rate increases</t>
  </si>
  <si>
    <t xml:space="preserve">Golf Course Total </t>
  </si>
  <si>
    <t>.</t>
  </si>
  <si>
    <t>Professional/Tech. Total</t>
  </si>
  <si>
    <t>53950.00000</t>
  </si>
  <si>
    <t>53945.00000</t>
  </si>
  <si>
    <t>53944.00000</t>
  </si>
  <si>
    <t>Bank Services</t>
  </si>
  <si>
    <t>53941.00000</t>
  </si>
  <si>
    <t>This account funds the marketing for the golf course.  Marketing is done to increase exposure to the golf course through social media and other venues.</t>
  </si>
  <si>
    <t>53940.00000</t>
  </si>
  <si>
    <t xml:space="preserve">This account is used to fund the purchase of water for the clubhouse, maintenance building, drinking fountains and bathrooms on the course.  An increase is requested to this account due to an anticipated water rate increase.
</t>
  </si>
  <si>
    <t>53917.00000</t>
  </si>
  <si>
    <t>53902.00000</t>
  </si>
  <si>
    <t>53823.00000</t>
  </si>
  <si>
    <t>53813.00000</t>
  </si>
  <si>
    <t>Based on Timberlin share of LAP cost increase.</t>
  </si>
  <si>
    <t>53730.00000</t>
  </si>
  <si>
    <t>53603.00000</t>
  </si>
  <si>
    <t>Golf Pro -  Contractual Services</t>
  </si>
  <si>
    <t>53510.00000</t>
  </si>
  <si>
    <t xml:space="preserve">Payment to the Golf Pro based on projected 6% of gross projected cart revenue.
</t>
  </si>
  <si>
    <t>Pro Share - Cart Revenue</t>
  </si>
  <si>
    <t>53501.00000</t>
  </si>
  <si>
    <t>This account funds topsoil, pipe (drainage), and rental equipment.  The account also includes but not limited to: supplies, trap rakes, ball washers, signs, ropes, flags, tee markers.  Repairs for the maintenance facility and third party repairs and parts to equipment.</t>
  </si>
  <si>
    <t>53245.00000</t>
  </si>
  <si>
    <t>53243.00000</t>
  </si>
  <si>
    <t>This account will fund the purchase of the following items; Bunker Sand, Top Dressing, Divot Mix &amp; Stone.</t>
  </si>
  <si>
    <t>Sand,Divot Mix &amp; Stone</t>
  </si>
  <si>
    <t xml:space="preserve">This account funds the purchase of equipment parts.  This includes, but not limited to: mowers, reels, bed knives, filters, plugs, etc. </t>
  </si>
  <si>
    <t>Vehicle Parts</t>
  </si>
  <si>
    <t>53233.00000</t>
  </si>
  <si>
    <t xml:space="preserve">The funds in this account will be used to purchase flowers, sod, mulch and planting materials for the ornamental planting areas throughout the golf course. </t>
  </si>
  <si>
    <t>53219.00000</t>
  </si>
  <si>
    <t xml:space="preserve">This account will fund the purchase of items with a life expectancy of 5 years or less, e.g. Weed wackers, chainsaws, leaf blowers and used equipment.  </t>
  </si>
  <si>
    <t xml:space="preserve">This account funds all Irrigation parts and services. To include the following, but not limited to, Irrigation winterization, Spring Start-up, and Irrigation and Pump House repairs. </t>
  </si>
  <si>
    <t xml:space="preserve">The supplies account is used to purchase supplies for the pro shop and maintenance facility.  These supplies consist of: golf pencils, starting time and sign up sheets, ink cartridges, cash register tape, and all other office supplies that are needed to operate the golf course. </t>
  </si>
  <si>
    <t>53201.00000</t>
  </si>
  <si>
    <t>This account funds the fuel  for golf course equipment and leased gas powered carts, and also provides related products that are needed in the golf course operation.  The fuel prices reflect a projected contracted fuel price.</t>
  </si>
  <si>
    <t>53106.00000</t>
  </si>
  <si>
    <t>This account funds the natural gas for the maintenance building, pro shop, and the Restaurant located in the clubhouse.  Calculating a 10% increase.</t>
  </si>
  <si>
    <t>53105.00000</t>
  </si>
  <si>
    <t>53102.00000</t>
  </si>
  <si>
    <t>53 Professional/Technical</t>
  </si>
  <si>
    <t>Fringe Benefits Total</t>
  </si>
  <si>
    <t>This is a contract that was negotiated with the uniform supply company by the Town.  These uniforms are provided to the blue collar and the mid-management employees.</t>
  </si>
  <si>
    <t>52300.00000</t>
  </si>
  <si>
    <t xml:space="preserve">At the recommendation of our Insurance Consultant to develop our initial estimate of plan costs we use a 10% increase above the current rates.  </t>
  </si>
  <si>
    <t>52235.00000</t>
  </si>
  <si>
    <t>Premiums for life, death and disability insurance; based upon amount of salary.  Premiums remained the same as FY21.</t>
  </si>
  <si>
    <t>52220.00000</t>
  </si>
  <si>
    <t>Employer share of pension plan.  The current defined contribution plan provides 10% for Top and Mid Management and Blue Collar.</t>
  </si>
  <si>
    <t>52200.00000</t>
  </si>
  <si>
    <t>Seasonal/Part Time employees are eligible to file for unemployment benefits and have been filing for it regularly.  With the addition of four part-time/seasonal employees, unemployment costs are expected to increase as each of these three employees will be eligible for unemployment.</t>
  </si>
  <si>
    <t>52110.00000</t>
  </si>
  <si>
    <t>Employer share of FICA and Medicare payroll taxes.  Represents 7.65% of taxable wages.</t>
  </si>
  <si>
    <t>52100.00000</t>
  </si>
  <si>
    <t>Employees classified according to type of work, premiums based upon rate per $100 of salary.  FY22 was budgeted with a 0% increase based on the Town's renewal.</t>
  </si>
  <si>
    <t>52010.00000</t>
  </si>
  <si>
    <t>52 Fringe Benefits</t>
  </si>
  <si>
    <t>Wages-Salaries Total</t>
  </si>
  <si>
    <t xml:space="preserve">W. Pajor, Blue Collar, 26 yrs - $1,250                        </t>
  </si>
  <si>
    <t>G. Salvio, Mid Mgmt, 11 yrs - $800                           J Robinson, Blue Collar, 22.6 yrs - $1,250</t>
  </si>
  <si>
    <t>The Town has a schedule of longevity payments. The department currently has 3 employees receiving these payments.  The allocations are as follows:</t>
  </si>
  <si>
    <t>51805.00000</t>
  </si>
  <si>
    <t xml:space="preserve">The golf course will have four seasonal blue-collar, four summer employees and one clerical.  The increase in this line item is due to contractual agreement with blue-collar union and the minimum wage increase.  
                        </t>
  </si>
  <si>
    <t>51510.00000</t>
  </si>
  <si>
    <t>The blue-collar union employees also monitor the golf course on weekend afternoons for wilt and stress conditions during periods of hot, humid weather.  If the wilt and stress conditions remain unchecked, the turf becomes stressed, which can contribute to disease resulting in potential turf loss.  Wilt can also cause certain diseases to become more severe e.g., Summer Patch and Bent Grass Decline.</t>
  </si>
  <si>
    <t>This account is used to fund overtime for the golf course.  The funds enable the blue collar employees to work weekends and holidays - March through December.  During their weekend and holiday overtime, the putting green cups and tee markers are changed and the greens are cut. The account is also used to pay employees for special projects that need completion in a timely fashion; e.g., aerification and tournament preparation.  Approximately $1,200 in overtime funds are expended during aerification.  The purpose of the aerification overtime is to complete the process more efficiently enabling play to resume more quickly.  In addition, finishing the aerification in two days allows the greens to heal more rapidly.  The increase is due to contract negotiations.</t>
  </si>
  <si>
    <t>51400.00000</t>
  </si>
  <si>
    <t xml:space="preserve">Pays for the secretary that supports this Commission by attending and/or preparing minutes of meetings.  Rate of $100 for the first two hours of each meeting in accordance with Secretarial Pay Scale adopted by the town.  Request allows for 12 regular meetings and 1 special meeting during the fiscal year. </t>
  </si>
  <si>
    <t>Commission Secretary</t>
  </si>
  <si>
    <t>51305.00000</t>
  </si>
  <si>
    <t>51160.00000</t>
  </si>
  <si>
    <t>Salaries for employees who are members of the Blue-Collar union. Contract expires 6/30/21.  The amount budgeted is based on the contract salary schedule for budget year FY21, with an allowance for 2021-22 increase included in Townwide Department 0507 account 51900 (Wage Negotiation) waiting for allocation.  Added one (1) new Maintainer to support course maintenance since Mid-Manager will be covering Director role.</t>
  </si>
  <si>
    <t>51135.00000</t>
  </si>
  <si>
    <t>Salary for employee who is a member of the Mid-Managers union.  Amount budgeted is based on the FY22 rate. Contract expires 6/30/22. An allowance for the FY23 increase is included in Townwide,  Department 0507, account 51900 (Wage Negotiation) waiting for allocation.</t>
  </si>
  <si>
    <t>51125.00000</t>
  </si>
  <si>
    <t>Budgeting the elimination of the Top Manager position.  However, the Mid-Manager covering for the open position is paid 10% of his salary as a stipend to cover the Top Manager role.</t>
  </si>
  <si>
    <t>51100.00000</t>
  </si>
  <si>
    <t>51 Wages-Salaries</t>
  </si>
  <si>
    <t>Supporting Description of Activity</t>
  </si>
  <si>
    <t xml:space="preserve">Budget </t>
  </si>
  <si>
    <t>Description</t>
  </si>
  <si>
    <t>Acct.</t>
  </si>
  <si>
    <t>23/24</t>
  </si>
  <si>
    <t>Account</t>
  </si>
  <si>
    <t xml:space="preserve">Golf Course </t>
  </si>
  <si>
    <t>Dept Name</t>
  </si>
  <si>
    <t>Budget Input</t>
  </si>
  <si>
    <t xml:space="preserve">2543 </t>
  </si>
  <si>
    <t>Dept. No.</t>
  </si>
  <si>
    <t>FY 2023/24</t>
  </si>
  <si>
    <t>TOWN OF BERLIN</t>
  </si>
  <si>
    <t>Department Total</t>
  </si>
  <si>
    <t xml:space="preserve">This account funds the leasing of 85 gas powered golf carts with GPS, three utility carts. 
</t>
  </si>
  <si>
    <t>This account funds the golf pro contract.</t>
  </si>
  <si>
    <t>This line item in the golf course budget is used to fund the purchase of chemicals, seed and fertilizer.  Utilizing the latest research, and the most advanced chemistries, these materials are used in an environmentally responsible manner to properly maintain and advance the golf course conditions at Timberlin.  A 8.33% increase has been calculated, to offset the projected increase of chemicals.</t>
  </si>
  <si>
    <t>Diesel          $6.00 Per gallon-usage -  3,500 gallons</t>
  </si>
  <si>
    <t>Gasoline      $3.00 per gallon-Usage - 10,000 gallons</t>
  </si>
  <si>
    <t xml:space="preserve">This account is used to fund the electricity for the maintenance building, pro shop, clubhouse, pump house, and pond aerators. 
</t>
  </si>
  <si>
    <t>assume new Director &amp; staff will need supplies previously provided by Pro</t>
  </si>
  <si>
    <t>Contract does not provide for any annual increase, so it will remain $90k thru 12/31/2027</t>
  </si>
  <si>
    <t>Added new POS software @ $760/month (may change depending on vendor selected)</t>
  </si>
  <si>
    <t>assumed 15% increase</t>
  </si>
  <si>
    <t>leaving for now, but new system may charge the purchaser a convenience fee</t>
  </si>
  <si>
    <t>assume new Director will incur PGA fees (not sure if this is enough for those fees)</t>
  </si>
  <si>
    <t>added $2,000 for new Director's phone</t>
  </si>
  <si>
    <t>assumed starter tablet(s) with data plan</t>
  </si>
  <si>
    <t>assume $1,600 for polo shirts for entire staff</t>
  </si>
  <si>
    <t>001.25.2543.1.42551.00000</t>
  </si>
  <si>
    <t>Golf Range Revenue</t>
  </si>
  <si>
    <t>removed from golf pro contract as of 1/2023</t>
  </si>
  <si>
    <t>assume 12 hours/day x 7 days/wk x 3.25 staff x 32 week season &amp; paid $20/hour (3 staff = 1 counter, 1 starter, 1 cart, 0.25 ranger)</t>
  </si>
  <si>
    <t>assume essentially flat to remain competitive with nearby courses</t>
  </si>
  <si>
    <t>under contract</t>
  </si>
  <si>
    <t>Starters, Rangers, Pro Shop &amp; Carts</t>
  </si>
  <si>
    <t>Pays for the Starters, Rangers, Pro Shop Staff and Cart Haulers.  Assume 12 hours/day x 7 days/wk x 3.25 staff x 32 week season &amp; paid $20/hour (3 staff = 1 counter, 1 starter, 1 cart, 0.25 ranger)</t>
  </si>
  <si>
    <t>This account is used for the new POS software at $760/month (may change depending on vendor selected).  The maintenance building also has a server and two additional computers that connect to the Town Hall for email and financial data. This also includes all software and hardware updates. Additionally, pays for annual service contract for the Rainbird irrigation computer.</t>
  </si>
  <si>
    <t xml:space="preserve">This account funds the trash and cardboard pick-up at the maintenance facility.   Represents a 15% increase over the prior year.
</t>
  </si>
  <si>
    <t>This account is used to fund the expenses for the telephone at the maintenance facility and pro shop.  The account also funds two employee cell phones along with internet access for one tablet. Added $2,000 for new Director's phone.</t>
  </si>
  <si>
    <t xml:space="preserve">These are payments made to the banks to allow our patrons to pay for services with credit cards. This line item may go away as the new POS system may charge the purchaser a convenience fee.     
</t>
  </si>
  <si>
    <t>The account includes the cost of membership to State and National Golf Course Superintendents Associations along with new Director's PGA fees.</t>
  </si>
  <si>
    <t>The Connecticut Golf Course Superintendent's Association holds an annual winter seminar that is attended by the Superintendent.  The seminar offers CEU's to maintain the CT Supervisory pesticide license which is required by the State.</t>
  </si>
  <si>
    <t>As a result of aging connections and line of sight contamination as a remote location, the golf course is unable to communicate with the Town Hall server.  Therefore, the course must purchase service from Comcast, to allow connection with the Infinite Visions software and the email server at the Town Hall.  This access is required to review and create purchase orders, analyze budget information, send and receive email, along with storage of vital information in an environment that provides daily data backup.  The account will also covers new Comcast internet access for the proshop computer and internet phone service.  A 10% increase has been calculated.  Adding tablet(s) with data plan for Starters.</t>
  </si>
  <si>
    <t>TIMBERLIN GOLF CLUB</t>
  </si>
  <si>
    <t>PROPOSED RATES AND PROJECTED REVENUE</t>
  </si>
  <si>
    <t>DESCRIPTION</t>
  </si>
  <si>
    <t>2022 Rates</t>
  </si>
  <si>
    <t>Sub-Total</t>
  </si>
  <si>
    <t>COMMENTS</t>
  </si>
  <si>
    <t>RESIDENT</t>
  </si>
  <si>
    <t>SEASON PASSES</t>
  </si>
  <si>
    <t>Adult Unlimited</t>
  </si>
  <si>
    <t>Anytime</t>
  </si>
  <si>
    <t>Senior Unlimited</t>
  </si>
  <si>
    <t>Senior Restricted</t>
  </si>
  <si>
    <t>Monday - Friday and Saturday - Sunday after 3:00 pm</t>
  </si>
  <si>
    <t>Super Senior Restricted</t>
  </si>
  <si>
    <t>N/A</t>
  </si>
  <si>
    <t>New Rate for those age 90 and above</t>
  </si>
  <si>
    <t>Junior Unlimited</t>
  </si>
  <si>
    <t>Junior Restricted</t>
  </si>
  <si>
    <t>GREENS FEES</t>
  </si>
  <si>
    <t>Weekday 18</t>
  </si>
  <si>
    <t>Weekday Sr 18</t>
  </si>
  <si>
    <t>Weekday 9</t>
  </si>
  <si>
    <t>Weekday Sr 9</t>
  </si>
  <si>
    <t>Weekend 18</t>
  </si>
  <si>
    <t>Weekend 9</t>
  </si>
  <si>
    <t>NON RESIDENT</t>
  </si>
  <si>
    <t>OTHER</t>
  </si>
  <si>
    <t>CART FEES</t>
  </si>
  <si>
    <t>18 Holes</t>
  </si>
  <si>
    <t>9 Holes</t>
  </si>
  <si>
    <t>18 Holes Cart Punch</t>
  </si>
  <si>
    <t>10 Rides for the price of 8 Rides</t>
  </si>
  <si>
    <t>9 Holes Cart Punch</t>
  </si>
  <si>
    <t>Single Rider 18</t>
  </si>
  <si>
    <t>Single Rider 9</t>
  </si>
  <si>
    <t>OUTINGS</t>
  </si>
  <si>
    <t>Shotgun under 100 players</t>
  </si>
  <si>
    <t>Includes Green Fee &amp; Cart. Prize Fund &amp; Range are separate.</t>
  </si>
  <si>
    <t xml:space="preserve">Shotgun over 100 players </t>
  </si>
  <si>
    <t>Night Golf</t>
  </si>
  <si>
    <t>Incudes Green Fee, Glow Equip and $5.00 Prize Fund for Pro Shop.</t>
  </si>
  <si>
    <t>MILITARY</t>
  </si>
  <si>
    <t>WD 18 holes</t>
  </si>
  <si>
    <t>WD 9 holes</t>
  </si>
  <si>
    <t>Off Season 18</t>
  </si>
  <si>
    <t>Pre-Season Pass Sales</t>
  </si>
  <si>
    <t>Off Season 9</t>
  </si>
  <si>
    <t>LEAGUES</t>
  </si>
  <si>
    <t>Resident</t>
  </si>
  <si>
    <t>Resident Senior</t>
  </si>
  <si>
    <t>Non Resident</t>
  </si>
  <si>
    <t>Non Resident Senior</t>
  </si>
  <si>
    <t>SPECIALS</t>
  </si>
  <si>
    <t>Publications</t>
  </si>
  <si>
    <t>Moday - Friday anytime or Saturday - Sunday after 12 PM</t>
  </si>
  <si>
    <t>Golf Now 18</t>
  </si>
  <si>
    <t>Aerification, etc</t>
  </si>
  <si>
    <t>Misc Specials</t>
  </si>
  <si>
    <t>Twilight</t>
  </si>
  <si>
    <t>Junior 18</t>
  </si>
  <si>
    <t>Monday - Friday anytime or Saturday  - Sunday after 12 PM</t>
  </si>
  <si>
    <t>Junior 9</t>
  </si>
  <si>
    <t>Golf Revenue</t>
  </si>
  <si>
    <t>Season Passes</t>
  </si>
  <si>
    <t>Cart Revenue</t>
  </si>
  <si>
    <t>Restaurant Rent</t>
  </si>
  <si>
    <t>Total Projected Income</t>
  </si>
  <si>
    <t>Total Proposed Budget</t>
  </si>
  <si>
    <t>NOTES</t>
  </si>
  <si>
    <t>1.</t>
  </si>
  <si>
    <t>Timberlin Policies and Definitions contain complete details regarding resident/age eligibility and golfing at Timberlin.  This info is available on the Golf Pass application.</t>
  </si>
  <si>
    <t>2.</t>
  </si>
  <si>
    <r>
      <t xml:space="preserve">Non-resident taxpayers </t>
    </r>
    <r>
      <rPr>
        <sz val="12"/>
        <rFont val="Arial"/>
        <family val="2"/>
      </rPr>
      <t>with $1,000 of personal property taxes paid in current year, Timberlin and Town of Berlin Employees entitled to resident rates.</t>
    </r>
  </si>
  <si>
    <t>3.</t>
  </si>
  <si>
    <t>Season Pass Card Holders must obtain a Timberlin ID (no charge) at Timberlin Pro Shop, to be eligible.  Lost card replacement cost $2. Card not presented fee $1 after first offence.</t>
  </si>
  <si>
    <t>4.</t>
  </si>
  <si>
    <t>Does not include Capital Improvement Program Fees  ($1.00 - 9 holes,  $2.00 - 18 holes).  Does not include CT Sales Tax.</t>
  </si>
  <si>
    <t>5.</t>
  </si>
  <si>
    <r>
      <t xml:space="preserve">At the discretion of the Director of Golf </t>
    </r>
    <r>
      <rPr>
        <b/>
        <sz val="12"/>
        <color indexed="8"/>
        <rFont val="Arial"/>
        <family val="2"/>
      </rPr>
      <t>regular</t>
    </r>
    <r>
      <rPr>
        <sz val="12"/>
        <color indexed="8"/>
        <rFont val="Arial"/>
        <family val="2"/>
      </rPr>
      <t xml:space="preserve"> green fees up to 30% may be reduced for aeration weeks, days showing minimal advance bookings, spring/fall season, etc.).</t>
    </r>
  </si>
  <si>
    <t>6.</t>
  </si>
  <si>
    <t>Rain checks will not be given for CIP fees</t>
  </si>
  <si>
    <t>7.</t>
  </si>
  <si>
    <t>Season passes cannot be used during outings</t>
  </si>
  <si>
    <t>8.</t>
  </si>
  <si>
    <t>Specials indicate Greens Fees only.  Cart is additional.</t>
  </si>
  <si>
    <t>FOR CALENDAR YEAR 2023</t>
  </si>
  <si>
    <t>Proposed 2023 Rates</t>
  </si>
  <si>
    <t>PROJECTED 2023 REVENUE</t>
  </si>
  <si>
    <t>1-11/2022 ACTUAL</t>
  </si>
  <si>
    <t>2021 ACTUAL</t>
  </si>
  <si>
    <t>AVG 2021 - 1-11/2022</t>
  </si>
  <si>
    <t>Rate Variance 2022 vs. Proposed 2023</t>
  </si>
  <si>
    <t>DRIVING RANGE</t>
  </si>
  <si>
    <t>Range Balls - Small</t>
  </si>
  <si>
    <t>Range Balls - Large</t>
  </si>
  <si>
    <t>Outing Range Fee</t>
  </si>
  <si>
    <t>Range Season Pass Adult</t>
  </si>
  <si>
    <t>(1) Large Bucket per Day</t>
  </si>
  <si>
    <t>Driving Range (Est)</t>
  </si>
  <si>
    <t>FY2024 Budget</t>
  </si>
  <si>
    <t>FY2023 Budget</t>
  </si>
  <si>
    <t>assume a 10% rate increase &amp; flat volume</t>
  </si>
  <si>
    <t>new  for the Town - removed from golf pro contract 1/2023</t>
  </si>
  <si>
    <t>assume 3.5% increase - it will sit in wage negotiation but needs to be funded with fees</t>
  </si>
  <si>
    <t>removed Pajor stipend (Director is Salvio backup), reduced 9BCS from 5 to 3</t>
  </si>
  <si>
    <t>FY23 pace is about $50k - lower in FY24 budget (BC still includes 5 BCS EEs)</t>
  </si>
  <si>
    <t>FY22 actual + 15% per year increase + assumed back quarter of year and 50% of cost is hit by 25% Eversource increase</t>
  </si>
  <si>
    <t>Reconciliation:</t>
  </si>
  <si>
    <t>Prior Year projected favorability</t>
  </si>
  <si>
    <t>Increased wages expenses</t>
  </si>
  <si>
    <t>Increased fringes expenses</t>
  </si>
  <si>
    <t>Increased operations expenses</t>
  </si>
  <si>
    <t>Increased driving range revenues</t>
  </si>
  <si>
    <t>Increased season pass revenues</t>
  </si>
  <si>
    <t>Decreased golf pro rent revenues</t>
  </si>
  <si>
    <t>Assumed greens fee revenues</t>
  </si>
  <si>
    <t>NET CHANGE</t>
  </si>
  <si>
    <t>Timberlin budget (ex Director increase)</t>
  </si>
  <si>
    <t>Town Budget Model</t>
  </si>
  <si>
    <t>VARIANCE</t>
  </si>
  <si>
    <t xml:space="preserve">Total Projected 2023 Revenue   </t>
  </si>
  <si>
    <t>Total Cost $33 plus, includes 9 Hole Cart.  Time varies by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</si>
</sst>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164" formatCode="&quot;$&quot;#,##0.00"/>
    <numFmt numFmtId="165" formatCode="&quot;$&quot;#,##0"/>
    <numFmt numFmtId="166" formatCode="&quot;$&quot;#,##0.00;[Red]\-\(&quot;$&quot;#,##0.00\)"/>
    <numFmt numFmtId="167" formatCode="&quot;$&quot;#,##0.000"/>
    <numFmt numFmtId="168" formatCode="0.00000"/>
    <numFmt numFmtId="169" formatCode="0.0%"/>
    <numFmt numFmtId="170" formatCode="[$-409]d\-mmm\-yy;@"/>
  </numFmts>
  <fonts count="29">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sz val="10"/>
      <name val="Arial"/>
      <family val="2"/>
    </font>
    <font>
      <b/>
      <sz val="12"/>
      <name val="Arial"/>
      <family val="2"/>
    </font>
    <font>
      <b/>
      <sz val="16"/>
      <color theme="1"/>
      <name val="Calibri"/>
      <family val="2"/>
      <scheme val="minor"/>
    </font>
    <font>
      <b/>
      <u/>
      <sz val="11"/>
      <color theme="1"/>
      <name val="Calibri"/>
      <family val="2"/>
      <scheme val="minor"/>
    </font>
    <font>
      <b/>
      <i/>
      <sz val="11"/>
      <color rgb="FFFF0000"/>
      <name val="Calibri"/>
      <family val="2"/>
      <scheme val="minor"/>
    </font>
    <font>
      <sz val="11"/>
      <color indexed="8"/>
      <name val="Calibri"/>
      <family val="2"/>
    </font>
    <font>
      <b/>
      <sz val="10"/>
      <name val="Arial"/>
      <family val="2"/>
    </font>
    <font>
      <sz val="12"/>
      <name val="Arial MT"/>
    </font>
    <font>
      <sz val="10"/>
      <color indexed="8"/>
      <name val="Arial"/>
      <family val="2"/>
    </font>
    <font>
      <u/>
      <sz val="10"/>
      <name val="Arial"/>
      <family val="2"/>
    </font>
    <font>
      <b/>
      <sz val="16"/>
      <name val="Arial Black"/>
      <family val="2"/>
    </font>
    <font>
      <b/>
      <sz val="10"/>
      <color indexed="12"/>
      <name val="Arial"/>
      <family val="2"/>
    </font>
    <font>
      <b/>
      <sz val="14"/>
      <color indexed="10"/>
      <name val="Arial"/>
      <family val="2"/>
    </font>
    <font>
      <b/>
      <sz val="11"/>
      <color rgb="FFFF0000"/>
      <name val="Calibri"/>
      <family val="2"/>
    </font>
    <font>
      <b/>
      <sz val="11"/>
      <color rgb="FFFF0000"/>
      <name val="Calibri"/>
      <family val="2"/>
      <scheme val="minor"/>
    </font>
    <font>
      <b/>
      <sz val="12"/>
      <color theme="1"/>
      <name val="Arial"/>
      <family val="2"/>
    </font>
    <font>
      <sz val="12"/>
      <color theme="1"/>
      <name val="Arial"/>
      <family val="2"/>
    </font>
    <font>
      <sz val="12"/>
      <color indexed="8"/>
      <name val="Arial"/>
      <family val="2"/>
    </font>
    <font>
      <sz val="12"/>
      <color rgb="FF000000"/>
      <name val="Arial"/>
      <family val="2"/>
    </font>
    <font>
      <b/>
      <u/>
      <sz val="12"/>
      <color theme="1"/>
      <name val="Arial"/>
      <family val="2"/>
    </font>
    <font>
      <b/>
      <sz val="12"/>
      <color indexed="8"/>
      <name val="Arial"/>
      <family val="2"/>
    </font>
    <font>
      <b/>
      <sz val="12"/>
      <color rgb="FF000000"/>
      <name val="Arial"/>
      <family val="2"/>
    </font>
    <font>
      <u/>
      <sz val="12"/>
      <color theme="1"/>
      <name val="Arial"/>
      <family val="2"/>
    </font>
    <font>
      <u/>
      <sz val="11"/>
      <color theme="1"/>
      <name val="Calibri"/>
      <family val="2"/>
      <scheme val="minor"/>
    </font>
    <font>
      <b/>
      <sz val="12"/>
      <color rgb="FFC00000"/>
      <name val="Arial"/>
      <family val="2"/>
    </font>
  </fonts>
  <fills count="6">
    <fill>
      <patternFill patternType="none"/>
    </fill>
    <fill>
      <patternFill patternType="gray125"/>
    </fill>
    <fill>
      <patternFill patternType="solid">
        <fgColor theme="0"/>
        <bgColor indexed="64"/>
      </patternFill>
    </fill>
    <fill>
      <patternFill patternType="solid">
        <fgColor indexed="34"/>
        <bgColor indexed="64"/>
      </patternFill>
    </fill>
    <fill>
      <patternFill patternType="solid">
        <fgColor rgb="FFFFFF00"/>
        <bgColor indexed="64"/>
      </patternFill>
    </fill>
    <fill>
      <patternFill patternType="solid">
        <fgColor theme="0" tint="-0.14999847407452621"/>
        <bgColor indexed="64"/>
      </patternFill>
    </fill>
  </fills>
  <borders count="30">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right/>
      <top style="thin">
        <color indexed="64"/>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s>
  <cellStyleXfs count="6">
    <xf numFmtId="0" fontId="0" fillId="0" borderId="0"/>
    <xf numFmtId="9" fontId="1" fillId="0" borderId="0" applyFont="0" applyFill="0" applyBorder="0" applyAlignment="0" applyProtection="0"/>
    <xf numFmtId="0" fontId="4" fillId="0" borderId="0"/>
    <xf numFmtId="0" fontId="11" fillId="0" borderId="0"/>
    <xf numFmtId="9" fontId="4" fillId="0" borderId="0" applyFont="0" applyFill="0" applyBorder="0" applyAlignment="0" applyProtection="0"/>
    <xf numFmtId="0" fontId="4" fillId="0" borderId="0"/>
  </cellStyleXfs>
  <cellXfs count="262">
    <xf numFmtId="0" fontId="0" fillId="0" borderId="0" xfId="0"/>
    <xf numFmtId="0" fontId="6" fillId="0" borderId="0" xfId="0" applyFont="1"/>
    <xf numFmtId="165" fontId="0" fillId="0" borderId="0" xfId="0" applyNumberFormat="1"/>
    <xf numFmtId="0" fontId="2" fillId="0" borderId="0" xfId="0" applyFont="1" applyAlignment="1">
      <alignment horizontal="center"/>
    </xf>
    <xf numFmtId="0" fontId="7" fillId="0" borderId="0" xfId="0" applyFont="1" applyAlignment="1">
      <alignment horizontal="center"/>
    </xf>
    <xf numFmtId="166" fontId="9" fillId="0" borderId="0" xfId="0" applyNumberFormat="1" applyFont="1"/>
    <xf numFmtId="0" fontId="4" fillId="0" borderId="0" xfId="2"/>
    <xf numFmtId="0" fontId="4" fillId="0" borderId="0" xfId="2" applyAlignment="1">
      <alignment vertical="top"/>
    </xf>
    <xf numFmtId="37" fontId="4" fillId="0" borderId="0" xfId="2" applyNumberFormat="1" applyAlignment="1">
      <alignment horizontal="right"/>
    </xf>
    <xf numFmtId="0" fontId="4" fillId="0" borderId="0" xfId="2" applyAlignment="1">
      <alignment horizontal="center"/>
    </xf>
    <xf numFmtId="0" fontId="4" fillId="0" borderId="0" xfId="2" applyAlignment="1">
      <alignment vertical="center"/>
    </xf>
    <xf numFmtId="37" fontId="10" fillId="0" borderId="3" xfId="2" applyNumberFormat="1" applyFont="1" applyBorder="1" applyAlignment="1">
      <alignment horizontal="right" vertical="center"/>
    </xf>
    <xf numFmtId="0" fontId="10" fillId="0" borderId="0" xfId="2" applyFont="1" applyAlignment="1">
      <alignment vertical="center"/>
    </xf>
    <xf numFmtId="0" fontId="3" fillId="0" borderId="0" xfId="3" applyFont="1"/>
    <xf numFmtId="0" fontId="4" fillId="0" borderId="0" xfId="2" applyAlignment="1">
      <alignment vertical="top" wrapText="1"/>
    </xf>
    <xf numFmtId="37" fontId="10" fillId="0" borderId="0" xfId="2" applyNumberFormat="1" applyFont="1" applyAlignment="1">
      <alignment vertical="top" wrapText="1"/>
    </xf>
    <xf numFmtId="0" fontId="10" fillId="0" borderId="0" xfId="2" applyFont="1" applyAlignment="1">
      <alignment horizontal="left" vertical="top" wrapText="1" indent="2"/>
    </xf>
    <xf numFmtId="0" fontId="4" fillId="0" borderId="0" xfId="2" applyAlignment="1">
      <alignment horizontal="center" vertical="top" wrapText="1"/>
    </xf>
    <xf numFmtId="37" fontId="10" fillId="0" borderId="3" xfId="2" applyNumberFormat="1" applyFont="1" applyBorder="1" applyAlignment="1">
      <alignment vertical="top"/>
    </xf>
    <xf numFmtId="0" fontId="10" fillId="0" borderId="0" xfId="2" applyFont="1" applyAlignment="1">
      <alignment horizontal="right"/>
    </xf>
    <xf numFmtId="37" fontId="4" fillId="0" borderId="0" xfId="2" applyNumberFormat="1" applyAlignment="1">
      <alignment vertical="top" wrapText="1"/>
    </xf>
    <xf numFmtId="9" fontId="0" fillId="0" borderId="0" xfId="4" quotePrefix="1" applyFont="1" applyAlignment="1">
      <alignment horizontal="left" vertical="top" indent="1"/>
    </xf>
    <xf numFmtId="0" fontId="4" fillId="0" borderId="0" xfId="2" applyAlignment="1" applyProtection="1">
      <alignment vertical="top" wrapText="1"/>
      <protection locked="0"/>
    </xf>
    <xf numFmtId="0" fontId="4" fillId="0" borderId="0" xfId="2" quotePrefix="1" applyAlignment="1">
      <alignment horizontal="left" vertical="top" wrapText="1" indent="1"/>
    </xf>
    <xf numFmtId="0" fontId="4" fillId="0" borderId="0" xfId="2" applyAlignment="1">
      <alignment horizontal="left" vertical="top" wrapText="1"/>
    </xf>
    <xf numFmtId="0" fontId="4" fillId="0" borderId="0" xfId="2" applyAlignment="1">
      <alignment horizontal="left" vertical="top"/>
    </xf>
    <xf numFmtId="39" fontId="4" fillId="0" borderId="0" xfId="2" applyNumberFormat="1" applyAlignment="1" applyProtection="1">
      <alignment vertical="top" wrapText="1"/>
      <protection locked="0"/>
    </xf>
    <xf numFmtId="0" fontId="0" fillId="0" borderId="0" xfId="4" quotePrefix="1" applyNumberFormat="1" applyFont="1" applyAlignment="1">
      <alignment horizontal="left" vertical="top" indent="1"/>
    </xf>
    <xf numFmtId="37" fontId="4" fillId="0" borderId="0" xfId="2" applyNumberFormat="1" applyAlignment="1">
      <alignment vertical="top"/>
    </xf>
    <xf numFmtId="0" fontId="12" fillId="0" borderId="5" xfId="2" applyFont="1" applyBorder="1" applyAlignment="1">
      <alignment vertical="top" wrapText="1"/>
    </xf>
    <xf numFmtId="168" fontId="0" fillId="0" borderId="0" xfId="4" quotePrefix="1" applyNumberFormat="1" applyFont="1" applyAlignment="1">
      <alignment horizontal="left" vertical="top" indent="1"/>
    </xf>
    <xf numFmtId="168" fontId="4" fillId="0" borderId="0" xfId="4" quotePrefix="1" applyNumberFormat="1" applyAlignment="1">
      <alignment horizontal="left" vertical="top" indent="1"/>
    </xf>
    <xf numFmtId="37" fontId="10" fillId="0" borderId="0" xfId="2" applyNumberFormat="1" applyFont="1" applyAlignment="1">
      <alignment vertical="top"/>
    </xf>
    <xf numFmtId="37" fontId="4" fillId="0" borderId="0" xfId="2" applyNumberFormat="1"/>
    <xf numFmtId="39" fontId="4" fillId="0" borderId="0" xfId="2" applyNumberFormat="1" applyAlignment="1">
      <alignment vertical="top"/>
    </xf>
    <xf numFmtId="0" fontId="10" fillId="0" borderId="0" xfId="2" applyFont="1" applyAlignment="1">
      <alignment horizontal="left" vertical="top" wrapText="1" indent="3"/>
    </xf>
    <xf numFmtId="0" fontId="4" fillId="0" borderId="0" xfId="2" applyAlignment="1">
      <alignment horizontal="left" vertical="top" wrapText="1" indent="2"/>
    </xf>
    <xf numFmtId="37" fontId="13" fillId="0" borderId="0" xfId="2" applyNumberFormat="1" applyFont="1"/>
    <xf numFmtId="0" fontId="4" fillId="0" borderId="3" xfId="2" applyBorder="1" applyAlignment="1">
      <alignment vertical="top"/>
    </xf>
    <xf numFmtId="0" fontId="4" fillId="0" borderId="3" xfId="2" applyBorder="1" applyAlignment="1">
      <alignment vertical="top" wrapText="1"/>
    </xf>
    <xf numFmtId="37" fontId="4" fillId="0" borderId="3" xfId="2" applyNumberFormat="1" applyBorder="1" applyAlignment="1">
      <alignment vertical="top" wrapText="1"/>
    </xf>
    <xf numFmtId="0" fontId="10" fillId="0" borderId="3" xfId="2" applyFont="1" applyBorder="1" applyAlignment="1">
      <alignment horizontal="left" vertical="top" wrapText="1" indent="1"/>
    </xf>
    <xf numFmtId="0" fontId="10" fillId="0" borderId="3" xfId="2" applyFont="1" applyBorder="1" applyAlignment="1">
      <alignment horizontal="left"/>
    </xf>
    <xf numFmtId="37" fontId="10" fillId="0" borderId="3" xfId="2" applyNumberFormat="1" applyFont="1" applyBorder="1" applyAlignment="1">
      <alignment vertical="top" wrapText="1"/>
    </xf>
    <xf numFmtId="37" fontId="4" fillId="0" borderId="0" xfId="2" applyNumberFormat="1" applyAlignment="1" applyProtection="1">
      <alignment horizontal="right" vertical="top"/>
      <protection locked="0"/>
    </xf>
    <xf numFmtId="39" fontId="4" fillId="0" borderId="0" xfId="2" applyNumberFormat="1" applyAlignment="1" applyProtection="1">
      <alignment horizontal="left" vertical="top" wrapText="1" indent="2"/>
      <protection locked="0"/>
    </xf>
    <xf numFmtId="0" fontId="4" fillId="0" borderId="0" xfId="2" applyAlignment="1">
      <alignment horizontal="left" vertical="top" wrapText="1" indent="1"/>
    </xf>
    <xf numFmtId="0" fontId="10" fillId="0" borderId="0" xfId="2" applyFont="1" applyAlignment="1">
      <alignment horizontal="left" vertical="top"/>
    </xf>
    <xf numFmtId="0" fontId="4" fillId="0" borderId="0" xfId="2" applyAlignment="1" applyProtection="1">
      <alignment horizontal="left" vertical="top" wrapText="1"/>
      <protection locked="0"/>
    </xf>
    <xf numFmtId="0" fontId="10" fillId="0" borderId="0" xfId="2" applyFont="1" applyAlignment="1">
      <alignment vertical="top"/>
    </xf>
    <xf numFmtId="1" fontId="0" fillId="0" borderId="0" xfId="4" quotePrefix="1" applyNumberFormat="1" applyFont="1" applyAlignment="1">
      <alignment horizontal="center" vertical="top"/>
    </xf>
    <xf numFmtId="0" fontId="0" fillId="0" borderId="0" xfId="5" applyFont="1" applyAlignment="1">
      <alignment horizontal="left" vertical="top" wrapText="1"/>
    </xf>
    <xf numFmtId="37" fontId="4" fillId="0" borderId="0" xfId="2" applyNumberFormat="1" applyAlignment="1">
      <alignment horizontal="right" vertical="top" wrapText="1"/>
    </xf>
    <xf numFmtId="0" fontId="10" fillId="0" borderId="0" xfId="2" applyFont="1" applyAlignment="1">
      <alignment horizontal="left" vertical="top" wrapText="1" indent="1"/>
    </xf>
    <xf numFmtId="0" fontId="10" fillId="0" borderId="0" xfId="2" applyFont="1" applyAlignment="1">
      <alignment horizontal="left"/>
    </xf>
    <xf numFmtId="0" fontId="10" fillId="0" borderId="1" xfId="2" applyFont="1" applyBorder="1" applyAlignment="1">
      <alignment vertical="top" wrapText="1"/>
    </xf>
    <xf numFmtId="37" fontId="10" fillId="0" borderId="1" xfId="2" applyNumberFormat="1" applyFont="1" applyBorder="1" applyAlignment="1">
      <alignment horizontal="center" vertical="top"/>
    </xf>
    <xf numFmtId="5" fontId="10" fillId="0" borderId="1" xfId="2" applyNumberFormat="1" applyFont="1" applyBorder="1" applyAlignment="1">
      <alignment horizontal="center" vertical="top"/>
    </xf>
    <xf numFmtId="0" fontId="10" fillId="0" borderId="1" xfId="2" applyFont="1" applyBorder="1" applyAlignment="1">
      <alignment horizontal="center" vertical="top"/>
    </xf>
    <xf numFmtId="37" fontId="10" fillId="0" borderId="0" xfId="2" quotePrefix="1" applyNumberFormat="1" applyFont="1" applyAlignment="1">
      <alignment horizontal="center" vertical="top"/>
    </xf>
    <xf numFmtId="5" fontId="10" fillId="0" borderId="0" xfId="2" quotePrefix="1" applyNumberFormat="1" applyFont="1" applyAlignment="1">
      <alignment horizontal="center" vertical="top"/>
    </xf>
    <xf numFmtId="0" fontId="10" fillId="0" borderId="0" xfId="2" applyFont="1" applyAlignment="1">
      <alignment horizontal="center" vertical="top"/>
    </xf>
    <xf numFmtId="0" fontId="4" fillId="2" borderId="0" xfId="2" applyFill="1" applyAlignment="1">
      <alignment vertical="top"/>
    </xf>
    <xf numFmtId="5" fontId="4" fillId="0" borderId="0" xfId="2" applyNumberFormat="1" applyAlignment="1">
      <alignment vertical="top"/>
    </xf>
    <xf numFmtId="0" fontId="3" fillId="0" borderId="0" xfId="2" applyFont="1" applyAlignment="1">
      <alignment vertical="top"/>
    </xf>
    <xf numFmtId="15" fontId="5" fillId="0" borderId="0" xfId="2" applyNumberFormat="1" applyFont="1" applyAlignment="1">
      <alignment vertical="top" wrapText="1"/>
    </xf>
    <xf numFmtId="5" fontId="5" fillId="0" borderId="0" xfId="2" applyNumberFormat="1" applyFont="1" applyAlignment="1">
      <alignment horizontal="center" vertical="top"/>
    </xf>
    <xf numFmtId="0" fontId="5" fillId="0" borderId="0" xfId="2" applyFont="1" applyAlignment="1" applyProtection="1">
      <alignment horizontal="left"/>
      <protection locked="0"/>
    </xf>
    <xf numFmtId="0" fontId="10" fillId="0" borderId="0" xfId="2" applyFont="1"/>
    <xf numFmtId="0" fontId="5" fillId="0" borderId="0" xfId="2" applyFont="1" applyAlignment="1">
      <alignment horizontal="right" vertical="top"/>
    </xf>
    <xf numFmtId="5" fontId="5" fillId="0" borderId="0" xfId="2" quotePrefix="1" applyNumberFormat="1" applyFont="1" applyAlignment="1">
      <alignment horizontal="center" vertical="top"/>
    </xf>
    <xf numFmtId="49" fontId="5" fillId="0" borderId="0" xfId="2" quotePrefix="1" applyNumberFormat="1" applyFont="1" applyAlignment="1" applyProtection="1">
      <alignment horizontal="left"/>
      <protection locked="0"/>
    </xf>
    <xf numFmtId="0" fontId="14" fillId="0" borderId="0" xfId="2" applyFont="1" applyAlignment="1">
      <alignment horizontal="right" vertical="top"/>
    </xf>
    <xf numFmtId="0" fontId="14" fillId="0" borderId="0" xfId="2" applyFont="1" applyAlignment="1">
      <alignment vertical="top"/>
    </xf>
    <xf numFmtId="37" fontId="15" fillId="0" borderId="0" xfId="2" applyNumberFormat="1" applyFont="1" applyAlignment="1">
      <alignment horizontal="left" vertical="top"/>
    </xf>
    <xf numFmtId="37" fontId="3" fillId="0" borderId="0" xfId="2" applyNumberFormat="1" applyFont="1" applyAlignment="1">
      <alignment vertical="top"/>
    </xf>
    <xf numFmtId="37" fontId="5" fillId="3" borderId="0" xfId="2" applyNumberFormat="1" applyFont="1" applyFill="1" applyAlignment="1">
      <alignment horizontal="right" vertical="top"/>
    </xf>
    <xf numFmtId="0" fontId="16" fillId="0" borderId="0" xfId="2" applyFont="1" applyAlignment="1">
      <alignment vertical="center"/>
    </xf>
    <xf numFmtId="37" fontId="4" fillId="0" borderId="0" xfId="2" applyNumberFormat="1" applyAlignment="1">
      <alignment horizontal="right" vertical="center"/>
    </xf>
    <xf numFmtId="0" fontId="4" fillId="0" borderId="0" xfId="2" applyAlignment="1">
      <alignment horizontal="center" vertical="center"/>
    </xf>
    <xf numFmtId="5" fontId="7" fillId="0" borderId="0" xfId="0" applyNumberFormat="1" applyFont="1" applyAlignment="1">
      <alignment horizontal="center"/>
    </xf>
    <xf numFmtId="5" fontId="0" fillId="0" borderId="0" xfId="0" applyNumberFormat="1" applyAlignment="1">
      <alignment horizontal="center"/>
    </xf>
    <xf numFmtId="0" fontId="0" fillId="0" borderId="0" xfId="0" applyAlignment="1">
      <alignment vertical="top" wrapText="1"/>
    </xf>
    <xf numFmtId="0" fontId="19" fillId="0" borderId="6" xfId="0" applyFont="1" applyBorder="1"/>
    <xf numFmtId="0" fontId="19" fillId="0" borderId="7" xfId="0" applyFont="1" applyBorder="1"/>
    <xf numFmtId="0" fontId="20" fillId="0" borderId="7" xfId="0" applyFont="1" applyBorder="1"/>
    <xf numFmtId="4" fontId="20" fillId="0" borderId="7" xfId="0" applyNumberFormat="1" applyFont="1" applyBorder="1"/>
    <xf numFmtId="0" fontId="20" fillId="0" borderId="8" xfId="0" applyFont="1" applyBorder="1"/>
    <xf numFmtId="170" fontId="20" fillId="0" borderId="0" xfId="0" applyNumberFormat="1" applyFont="1"/>
    <xf numFmtId="4" fontId="20" fillId="0" borderId="0" xfId="0" applyNumberFormat="1" applyFont="1"/>
    <xf numFmtId="0" fontId="20" fillId="0" borderId="0" xfId="0" applyFont="1"/>
    <xf numFmtId="0" fontId="19" fillId="0" borderId="9" xfId="0" applyFont="1" applyBorder="1"/>
    <xf numFmtId="0" fontId="19" fillId="0" borderId="0" xfId="0" applyFont="1"/>
    <xf numFmtId="0" fontId="20" fillId="0" borderId="10" xfId="0" applyFont="1" applyBorder="1"/>
    <xf numFmtId="10" fontId="20" fillId="0" borderId="0" xfId="0" applyNumberFormat="1" applyFont="1"/>
    <xf numFmtId="4" fontId="20" fillId="0" borderId="0" xfId="0" applyNumberFormat="1" applyFont="1" applyAlignment="1">
      <alignment horizontal="right"/>
    </xf>
    <xf numFmtId="4" fontId="19" fillId="0" borderId="0" xfId="0" applyNumberFormat="1" applyFont="1"/>
    <xf numFmtId="4" fontId="19" fillId="0" borderId="11" xfId="0" applyNumberFormat="1" applyFont="1" applyBorder="1"/>
    <xf numFmtId="0" fontId="20" fillId="0" borderId="12" xfId="0" applyFont="1" applyBorder="1"/>
    <xf numFmtId="0" fontId="20" fillId="0" borderId="1" xfId="0" applyFont="1" applyBorder="1"/>
    <xf numFmtId="0" fontId="19" fillId="0" borderId="1" xfId="0" applyFont="1" applyBorder="1" applyAlignment="1">
      <alignment horizontal="center"/>
    </xf>
    <xf numFmtId="3" fontId="19" fillId="0" borderId="13" xfId="0" applyNumberFormat="1" applyFont="1" applyBorder="1" applyAlignment="1">
      <alignment horizontal="center" wrapText="1"/>
    </xf>
    <xf numFmtId="0" fontId="19" fillId="0" borderId="13" xfId="0" applyFont="1" applyBorder="1" applyAlignment="1">
      <alignment horizontal="center" wrapText="1"/>
    </xf>
    <xf numFmtId="0" fontId="19" fillId="0" borderId="14" xfId="0" applyFont="1" applyBorder="1" applyAlignment="1">
      <alignment horizontal="center" wrapText="1"/>
    </xf>
    <xf numFmtId="4" fontId="19" fillId="0" borderId="1" xfId="0" applyNumberFormat="1" applyFont="1" applyBorder="1" applyAlignment="1">
      <alignment horizontal="center" wrapText="1"/>
    </xf>
    <xf numFmtId="0" fontId="19" fillId="0" borderId="1" xfId="0" applyFont="1" applyBorder="1" applyAlignment="1">
      <alignment horizontal="center" wrapText="1"/>
    </xf>
    <xf numFmtId="0" fontId="19" fillId="0" borderId="15" xfId="0" applyFont="1" applyBorder="1" applyAlignment="1">
      <alignment horizontal="center"/>
    </xf>
    <xf numFmtId="10" fontId="19" fillId="0" borderId="0" xfId="0" applyNumberFormat="1" applyFont="1" applyAlignment="1">
      <alignment horizontal="center" wrapText="1"/>
    </xf>
    <xf numFmtId="0" fontId="19" fillId="0" borderId="0" xfId="0" applyFont="1" applyAlignment="1">
      <alignment horizontal="center" wrapText="1"/>
    </xf>
    <xf numFmtId="0" fontId="19" fillId="0" borderId="16" xfId="0" applyFont="1" applyBorder="1"/>
    <xf numFmtId="0" fontId="20" fillId="0" borderId="17" xfId="0" applyFont="1" applyBorder="1"/>
    <xf numFmtId="0" fontId="19" fillId="0" borderId="17" xfId="0" applyFont="1" applyBorder="1" applyAlignment="1">
      <alignment horizontal="center"/>
    </xf>
    <xf numFmtId="3" fontId="19" fillId="0" borderId="17" xfId="0" applyNumberFormat="1" applyFont="1" applyBorder="1" applyAlignment="1">
      <alignment horizontal="center" wrapText="1"/>
    </xf>
    <xf numFmtId="3" fontId="19" fillId="0" borderId="18" xfId="0" applyNumberFormat="1" applyFont="1" applyBorder="1" applyAlignment="1">
      <alignment horizontal="center" wrapText="1"/>
    </xf>
    <xf numFmtId="3" fontId="19" fillId="0" borderId="19" xfId="0" applyNumberFormat="1" applyFont="1" applyBorder="1" applyAlignment="1">
      <alignment horizontal="center" wrapText="1"/>
    </xf>
    <xf numFmtId="3" fontId="19" fillId="0" borderId="4" xfId="0" applyNumberFormat="1" applyFont="1" applyBorder="1" applyAlignment="1">
      <alignment horizontal="center" wrapText="1"/>
    </xf>
    <xf numFmtId="0" fontId="19" fillId="0" borderId="19" xfId="0" applyFont="1" applyBorder="1" applyAlignment="1">
      <alignment horizontal="center" wrapText="1"/>
    </xf>
    <xf numFmtId="0" fontId="19" fillId="0" borderId="20" xfId="0" applyFont="1" applyBorder="1" applyAlignment="1">
      <alignment horizontal="center"/>
    </xf>
    <xf numFmtId="0" fontId="20" fillId="0" borderId="21" xfId="0" applyFont="1" applyBorder="1"/>
    <xf numFmtId="0" fontId="19" fillId="0" borderId="4" xfId="0" applyFont="1" applyBorder="1" applyAlignment="1">
      <alignment horizontal="left"/>
    </xf>
    <xf numFmtId="0" fontId="20" fillId="0" borderId="19" xfId="0" applyFont="1" applyBorder="1"/>
    <xf numFmtId="0" fontId="20" fillId="0" borderId="20" xfId="0" applyFont="1" applyBorder="1"/>
    <xf numFmtId="10" fontId="20" fillId="0" borderId="0" xfId="0" applyNumberFormat="1" applyFont="1" applyAlignment="1">
      <alignment horizontal="right"/>
    </xf>
    <xf numFmtId="0" fontId="20" fillId="0" borderId="0" xfId="0" applyFont="1" applyAlignment="1">
      <alignment horizontal="right"/>
    </xf>
    <xf numFmtId="0" fontId="20" fillId="0" borderId="4" xfId="0" applyFont="1" applyBorder="1"/>
    <xf numFmtId="3" fontId="20" fillId="0" borderId="17" xfId="0" applyNumberFormat="1" applyFont="1" applyBorder="1" applyAlignment="1">
      <alignment horizontal="right"/>
    </xf>
    <xf numFmtId="164" fontId="20" fillId="0" borderId="18" xfId="0" applyNumberFormat="1" applyFont="1" applyBorder="1"/>
    <xf numFmtId="164" fontId="20" fillId="0" borderId="19" xfId="0" applyNumberFormat="1" applyFont="1" applyBorder="1"/>
    <xf numFmtId="164" fontId="20" fillId="0" borderId="4" xfId="0" applyNumberFormat="1" applyFont="1" applyBorder="1"/>
    <xf numFmtId="164" fontId="20" fillId="0" borderId="19" xfId="0" applyNumberFormat="1" applyFont="1" applyBorder="1" applyAlignment="1">
      <alignment horizontal="right"/>
    </xf>
    <xf numFmtId="0" fontId="19" fillId="0" borderId="4" xfId="0" applyFont="1" applyBorder="1"/>
    <xf numFmtId="3" fontId="19" fillId="0" borderId="17" xfId="0" applyNumberFormat="1" applyFont="1" applyBorder="1" applyAlignment="1">
      <alignment horizontal="right"/>
    </xf>
    <xf numFmtId="4" fontId="20" fillId="0" borderId="18" xfId="0" applyNumberFormat="1" applyFont="1" applyBorder="1"/>
    <xf numFmtId="4" fontId="20" fillId="0" borderId="19" xfId="0" applyNumberFormat="1" applyFont="1" applyBorder="1"/>
    <xf numFmtId="4" fontId="20" fillId="0" borderId="4" xfId="0" applyNumberFormat="1" applyFont="1" applyBorder="1"/>
    <xf numFmtId="164" fontId="20" fillId="0" borderId="0" xfId="0" applyNumberFormat="1" applyFont="1" applyAlignment="1">
      <alignment horizontal="right"/>
    </xf>
    <xf numFmtId="0" fontId="19" fillId="0" borderId="21" xfId="0" applyFont="1" applyBorder="1"/>
    <xf numFmtId="0" fontId="20" fillId="0" borderId="19" xfId="0" applyFont="1" applyBorder="1" applyAlignment="1">
      <alignment horizontal="right"/>
    </xf>
    <xf numFmtId="0" fontId="19" fillId="0" borderId="19" xfId="0" applyFont="1" applyBorder="1" applyAlignment="1">
      <alignment horizontal="right"/>
    </xf>
    <xf numFmtId="164" fontId="20" fillId="0" borderId="20" xfId="0" applyNumberFormat="1" applyFont="1" applyBorder="1"/>
    <xf numFmtId="164" fontId="20" fillId="0" borderId="0" xfId="0" applyNumberFormat="1" applyFont="1"/>
    <xf numFmtId="3" fontId="19" fillId="0" borderId="18" xfId="0" applyNumberFormat="1" applyFont="1" applyBorder="1" applyAlignment="1">
      <alignment horizontal="right"/>
    </xf>
    <xf numFmtId="3" fontId="19" fillId="0" borderId="19" xfId="0" applyNumberFormat="1" applyFont="1" applyBorder="1" applyAlignment="1">
      <alignment horizontal="right"/>
    </xf>
    <xf numFmtId="3" fontId="19" fillId="0" borderId="4" xfId="0" applyNumberFormat="1" applyFont="1" applyBorder="1" applyAlignment="1">
      <alignment horizontal="right"/>
    </xf>
    <xf numFmtId="0" fontId="20" fillId="0" borderId="21" xfId="0" applyFont="1" applyBorder="1" applyAlignment="1">
      <alignment vertical="top"/>
    </xf>
    <xf numFmtId="0" fontId="20" fillId="0" borderId="4" xfId="0" applyFont="1" applyBorder="1" applyAlignment="1">
      <alignment vertical="top"/>
    </xf>
    <xf numFmtId="0" fontId="20" fillId="0" borderId="19" xfId="0" applyFont="1" applyBorder="1" applyAlignment="1">
      <alignment vertical="top"/>
    </xf>
    <xf numFmtId="3" fontId="20" fillId="0" borderId="17" xfId="0" applyNumberFormat="1" applyFont="1" applyBorder="1" applyAlignment="1">
      <alignment horizontal="right" vertical="top"/>
    </xf>
    <xf numFmtId="164" fontId="20" fillId="0" borderId="18" xfId="0" applyNumberFormat="1" applyFont="1" applyBorder="1" applyAlignment="1">
      <alignment vertical="top"/>
    </xf>
    <xf numFmtId="164" fontId="20" fillId="0" borderId="19" xfId="0" applyNumberFormat="1" applyFont="1" applyBorder="1" applyAlignment="1">
      <alignment vertical="top"/>
    </xf>
    <xf numFmtId="164" fontId="20" fillId="0" borderId="4" xfId="0" applyNumberFormat="1" applyFont="1" applyBorder="1" applyAlignment="1">
      <alignment vertical="top"/>
    </xf>
    <xf numFmtId="164" fontId="20" fillId="0" borderId="19" xfId="0" applyNumberFormat="1" applyFont="1" applyBorder="1" applyAlignment="1">
      <alignment horizontal="right" vertical="top"/>
    </xf>
    <xf numFmtId="0" fontId="20" fillId="0" borderId="20" xfId="0" applyFont="1" applyBorder="1" applyAlignment="1">
      <alignment vertical="top" wrapText="1"/>
    </xf>
    <xf numFmtId="10" fontId="20" fillId="0" borderId="0" xfId="0" applyNumberFormat="1" applyFont="1" applyAlignment="1">
      <alignment horizontal="right" vertical="top"/>
    </xf>
    <xf numFmtId="0" fontId="20" fillId="0" borderId="0" xfId="0" applyFont="1" applyAlignment="1">
      <alignment horizontal="right" vertical="top"/>
    </xf>
    <xf numFmtId="0" fontId="20" fillId="0" borderId="0" xfId="0" applyFont="1" applyAlignment="1">
      <alignment vertical="top"/>
    </xf>
    <xf numFmtId="0" fontId="20" fillId="0" borderId="19" xfId="0" applyFont="1" applyBorder="1" applyAlignment="1">
      <alignment horizontal="left" vertical="top"/>
    </xf>
    <xf numFmtId="3" fontId="20" fillId="0" borderId="18" xfId="0" applyNumberFormat="1" applyFont="1" applyBorder="1" applyAlignment="1">
      <alignment horizontal="right"/>
    </xf>
    <xf numFmtId="3" fontId="20" fillId="0" borderId="19" xfId="0" applyNumberFormat="1" applyFont="1" applyBorder="1" applyAlignment="1">
      <alignment horizontal="right"/>
    </xf>
    <xf numFmtId="3" fontId="20" fillId="0" borderId="4" xfId="0" applyNumberFormat="1" applyFont="1" applyBorder="1" applyAlignment="1">
      <alignment horizontal="right"/>
    </xf>
    <xf numFmtId="0" fontId="20" fillId="0" borderId="20" xfId="0" applyFont="1" applyBorder="1" applyAlignment="1">
      <alignment wrapText="1"/>
    </xf>
    <xf numFmtId="0" fontId="21" fillId="0" borderId="0" xfId="0" applyFont="1" applyAlignment="1">
      <alignment horizontal="right" wrapText="1"/>
    </xf>
    <xf numFmtId="0" fontId="22" fillId="0" borderId="17" xfId="0" applyFont="1" applyBorder="1" applyAlignment="1">
      <alignment horizontal="right"/>
    </xf>
    <xf numFmtId="3" fontId="23" fillId="0" borderId="18" xfId="0" applyNumberFormat="1" applyFont="1" applyBorder="1" applyAlignment="1">
      <alignment horizontal="right"/>
    </xf>
    <xf numFmtId="3" fontId="23" fillId="0" borderId="19" xfId="0" applyNumberFormat="1" applyFont="1" applyBorder="1" applyAlignment="1">
      <alignment horizontal="right"/>
    </xf>
    <xf numFmtId="3" fontId="23" fillId="0" borderId="4" xfId="0" applyNumberFormat="1" applyFont="1" applyBorder="1" applyAlignment="1">
      <alignment horizontal="right"/>
    </xf>
    <xf numFmtId="3" fontId="22" fillId="0" borderId="0" xfId="0" applyNumberFormat="1" applyFont="1" applyAlignment="1">
      <alignment horizontal="right"/>
    </xf>
    <xf numFmtId="3" fontId="20" fillId="0" borderId="0" xfId="0" applyNumberFormat="1" applyFont="1" applyAlignment="1">
      <alignment horizontal="right"/>
    </xf>
    <xf numFmtId="164" fontId="24" fillId="0" borderId="22" xfId="0" applyNumberFormat="1" applyFont="1" applyBorder="1" applyAlignment="1">
      <alignment horizontal="right" wrapText="1"/>
    </xf>
    <xf numFmtId="164" fontId="24" fillId="0" borderId="11" xfId="0" applyNumberFormat="1" applyFont="1" applyBorder="1" applyAlignment="1">
      <alignment horizontal="right" wrapText="1"/>
    </xf>
    <xf numFmtId="164" fontId="24" fillId="0" borderId="0" xfId="0" applyNumberFormat="1" applyFont="1" applyAlignment="1">
      <alignment horizontal="right" wrapText="1"/>
    </xf>
    <xf numFmtId="0" fontId="20" fillId="0" borderId="9" xfId="0" applyFont="1" applyBorder="1"/>
    <xf numFmtId="0" fontId="3" fillId="0" borderId="0" xfId="0" applyFont="1" applyAlignment="1">
      <alignment horizontal="right" wrapText="1"/>
    </xf>
    <xf numFmtId="0" fontId="25" fillId="0" borderId="0" xfId="0" applyFont="1" applyAlignment="1">
      <alignment horizontal="right"/>
    </xf>
    <xf numFmtId="3" fontId="20" fillId="0" borderId="0" xfId="0" applyNumberFormat="1" applyFont="1"/>
    <xf numFmtId="4" fontId="20" fillId="0" borderId="0" xfId="0" applyNumberFormat="1" applyFont="1" applyAlignment="1">
      <alignment horizontal="left"/>
    </xf>
    <xf numFmtId="9" fontId="20" fillId="0" borderId="0" xfId="0" applyNumberFormat="1" applyFont="1"/>
    <xf numFmtId="3" fontId="20" fillId="0" borderId="0" xfId="0" applyNumberFormat="1" applyFont="1" applyAlignment="1">
      <alignment horizontal="left"/>
    </xf>
    <xf numFmtId="0" fontId="20" fillId="0" borderId="0" xfId="0" applyFont="1" applyAlignment="1">
      <alignment horizontal="left" wrapText="1"/>
    </xf>
    <xf numFmtId="164" fontId="20" fillId="0" borderId="3" xfId="0" applyNumberFormat="1" applyFont="1" applyBorder="1" applyAlignment="1">
      <alignment horizontal="right"/>
    </xf>
    <xf numFmtId="164" fontId="20" fillId="0" borderId="2" xfId="0" applyNumberFormat="1" applyFont="1" applyBorder="1" applyAlignment="1">
      <alignment horizontal="right"/>
    </xf>
    <xf numFmtId="0" fontId="20" fillId="0" borderId="10" xfId="0" applyFont="1" applyBorder="1" applyAlignment="1">
      <alignment horizontal="right"/>
    </xf>
    <xf numFmtId="0" fontId="19" fillId="0" borderId="23" xfId="0" applyFont="1" applyBorder="1"/>
    <xf numFmtId="0" fontId="26" fillId="0" borderId="3" xfId="0" applyFont="1" applyBorder="1"/>
    <xf numFmtId="4" fontId="20" fillId="0" borderId="3" xfId="0" applyNumberFormat="1" applyFont="1" applyBorder="1"/>
    <xf numFmtId="0" fontId="20" fillId="0" borderId="3" xfId="0" applyFont="1" applyBorder="1"/>
    <xf numFmtId="0" fontId="20" fillId="0" borderId="24" xfId="0" applyFont="1" applyBorder="1"/>
    <xf numFmtId="49" fontId="20" fillId="0" borderId="9" xfId="0" applyNumberFormat="1" applyFont="1" applyBorder="1" applyAlignment="1">
      <alignment horizontal="left" vertical="top"/>
    </xf>
    <xf numFmtId="49" fontId="20" fillId="0" borderId="9" xfId="0" applyNumberFormat="1" applyFont="1" applyBorder="1" applyAlignment="1">
      <alignment horizontal="left" vertical="top" wrapText="1"/>
    </xf>
    <xf numFmtId="39" fontId="3" fillId="0" borderId="0" xfId="0" applyNumberFormat="1" applyFont="1" applyAlignment="1">
      <alignment horizontal="left" vertical="top"/>
    </xf>
    <xf numFmtId="0" fontId="20" fillId="0" borderId="11" xfId="0" applyFont="1" applyBorder="1"/>
    <xf numFmtId="0" fontId="21" fillId="0" borderId="0" xfId="0" applyFont="1" applyAlignment="1">
      <alignment horizontal="left" vertical="top" wrapText="1"/>
    </xf>
    <xf numFmtId="0" fontId="3" fillId="0" borderId="0" xfId="0" applyFont="1" applyAlignment="1">
      <alignment vertical="top"/>
    </xf>
    <xf numFmtId="4" fontId="21" fillId="0" borderId="0" xfId="0" applyNumberFormat="1" applyFont="1" applyAlignment="1">
      <alignment horizontal="left" vertical="top" wrapText="1"/>
    </xf>
    <xf numFmtId="4" fontId="3" fillId="0" borderId="0" xfId="0" applyNumberFormat="1" applyFont="1" applyAlignment="1">
      <alignment horizontal="left" vertical="top"/>
    </xf>
    <xf numFmtId="49" fontId="20" fillId="0" borderId="25" xfId="0" applyNumberFormat="1" applyFont="1" applyBorder="1" applyAlignment="1">
      <alignment horizontal="left" vertical="top"/>
    </xf>
    <xf numFmtId="0" fontId="20" fillId="0" borderId="26" xfId="0" applyFont="1" applyBorder="1"/>
    <xf numFmtId="4" fontId="20" fillId="0" borderId="26" xfId="0" applyNumberFormat="1" applyFont="1" applyBorder="1"/>
    <xf numFmtId="0" fontId="20" fillId="0" borderId="27" xfId="0" applyFont="1" applyBorder="1"/>
    <xf numFmtId="4" fontId="19" fillId="0" borderId="19" xfId="0" applyNumberFormat="1" applyFont="1" applyBorder="1" applyAlignment="1">
      <alignment horizontal="center" wrapText="1"/>
    </xf>
    <xf numFmtId="4" fontId="19" fillId="0" borderId="4" xfId="0" applyNumberFormat="1" applyFont="1" applyBorder="1" applyAlignment="1">
      <alignment horizontal="right"/>
    </xf>
    <xf numFmtId="4" fontId="20" fillId="0" borderId="4" xfId="0" applyNumberFormat="1" applyFont="1" applyBorder="1" applyAlignment="1">
      <alignment horizontal="right"/>
    </xf>
    <xf numFmtId="4" fontId="23" fillId="0" borderId="4" xfId="0" applyNumberFormat="1" applyFont="1" applyBorder="1" applyAlignment="1">
      <alignment horizontal="right"/>
    </xf>
    <xf numFmtId="3" fontId="19" fillId="0" borderId="28" xfId="0" applyNumberFormat="1" applyFont="1" applyBorder="1" applyAlignment="1">
      <alignment horizontal="center" wrapText="1"/>
    </xf>
    <xf numFmtId="3" fontId="19" fillId="0" borderId="20" xfId="0" applyNumberFormat="1" applyFont="1" applyBorder="1" applyAlignment="1">
      <alignment horizontal="center" wrapText="1"/>
    </xf>
    <xf numFmtId="3" fontId="20" fillId="0" borderId="20" xfId="0" applyNumberFormat="1" applyFont="1" applyBorder="1" applyAlignment="1">
      <alignment horizontal="right"/>
    </xf>
    <xf numFmtId="3" fontId="19" fillId="0" borderId="20" xfId="0" applyNumberFormat="1" applyFont="1" applyBorder="1" applyAlignment="1">
      <alignment horizontal="right"/>
    </xf>
    <xf numFmtId="3" fontId="23" fillId="0" borderId="20" xfId="0" applyNumberFormat="1" applyFont="1" applyBorder="1" applyAlignment="1">
      <alignment horizontal="right"/>
    </xf>
    <xf numFmtId="0" fontId="7" fillId="0" borderId="0" xfId="0" applyFont="1"/>
    <xf numFmtId="165" fontId="8" fillId="0" borderId="0" xfId="0" applyNumberFormat="1" applyFont="1" applyAlignment="1">
      <alignment horizontal="center"/>
    </xf>
    <xf numFmtId="5" fontId="18" fillId="0" borderId="0" xfId="0" applyNumberFormat="1" applyFont="1" applyAlignment="1">
      <alignment horizontal="center"/>
    </xf>
    <xf numFmtId="169" fontId="17" fillId="0" borderId="0" xfId="1" applyNumberFormat="1" applyFont="1" applyAlignment="1">
      <alignment horizontal="left"/>
    </xf>
    <xf numFmtId="0" fontId="9" fillId="0" borderId="0" xfId="0" applyFont="1"/>
    <xf numFmtId="165" fontId="0" fillId="0" borderId="2" xfId="0" applyNumberFormat="1" applyBorder="1"/>
    <xf numFmtId="0" fontId="2" fillId="0" borderId="0" xfId="0" applyFont="1"/>
    <xf numFmtId="165" fontId="2" fillId="0" borderId="0" xfId="0" applyNumberFormat="1" applyFont="1"/>
    <xf numFmtId="167" fontId="0" fillId="0" borderId="0" xfId="0" applyNumberFormat="1"/>
    <xf numFmtId="10" fontId="0" fillId="0" borderId="0" xfId="1" applyNumberFormat="1" applyFont="1"/>
    <xf numFmtId="0" fontId="0" fillId="4" borderId="0" xfId="0" applyFill="1"/>
    <xf numFmtId="165" fontId="0" fillId="0" borderId="4" xfId="0" applyNumberFormat="1" applyBorder="1"/>
    <xf numFmtId="165" fontId="0" fillId="4" borderId="0" xfId="0" applyNumberFormat="1" applyFill="1"/>
    <xf numFmtId="164" fontId="9" fillId="0" borderId="0" xfId="0" applyNumberFormat="1" applyFont="1"/>
    <xf numFmtId="164" fontId="0" fillId="0" borderId="0" xfId="0" applyNumberFormat="1"/>
    <xf numFmtId="10" fontId="0" fillId="0" borderId="0" xfId="0" applyNumberFormat="1"/>
    <xf numFmtId="0" fontId="0" fillId="5" borderId="6" xfId="0" applyFill="1" applyBorder="1" applyAlignment="1">
      <alignment wrapText="1"/>
    </xf>
    <xf numFmtId="0" fontId="0" fillId="5" borderId="7" xfId="0" applyFill="1" applyBorder="1" applyAlignment="1">
      <alignment wrapText="1"/>
    </xf>
    <xf numFmtId="5" fontId="0" fillId="5" borderId="8" xfId="0" applyNumberFormat="1" applyFill="1" applyBorder="1" applyAlignment="1">
      <alignment horizontal="center"/>
    </xf>
    <xf numFmtId="0" fontId="27" fillId="5" borderId="9" xfId="0" applyFont="1" applyFill="1" applyBorder="1" applyAlignment="1">
      <alignment wrapText="1"/>
    </xf>
    <xf numFmtId="0" fontId="0" fillId="5" borderId="0" xfId="0" applyFill="1" applyAlignment="1">
      <alignment wrapText="1"/>
    </xf>
    <xf numFmtId="5" fontId="0" fillId="5" borderId="10" xfId="0" applyNumberFormat="1" applyFill="1" applyBorder="1" applyAlignment="1">
      <alignment horizontal="center" wrapText="1"/>
    </xf>
    <xf numFmtId="0" fontId="0" fillId="5" borderId="9" xfId="0" applyFill="1" applyBorder="1"/>
    <xf numFmtId="0" fontId="0" fillId="5" borderId="9" xfId="0" applyFill="1" applyBorder="1" applyAlignment="1">
      <alignment wrapText="1"/>
    </xf>
    <xf numFmtId="0" fontId="0" fillId="5" borderId="0" xfId="0" applyFill="1"/>
    <xf numFmtId="165" fontId="0" fillId="5" borderId="0" xfId="0" applyNumberFormat="1" applyFill="1"/>
    <xf numFmtId="5" fontId="0" fillId="5" borderId="10" xfId="0" applyNumberFormat="1" applyFill="1" applyBorder="1" applyAlignment="1">
      <alignment horizontal="center"/>
    </xf>
    <xf numFmtId="0" fontId="0" fillId="5" borderId="25" xfId="0" applyFill="1" applyBorder="1"/>
    <xf numFmtId="0" fontId="0" fillId="5" borderId="26" xfId="0" applyFill="1" applyBorder="1"/>
    <xf numFmtId="165" fontId="0" fillId="5" borderId="26" xfId="0" applyNumberFormat="1" applyFill="1" applyBorder="1"/>
    <xf numFmtId="5" fontId="0" fillId="5" borderId="27" xfId="0" applyNumberFormat="1" applyFill="1" applyBorder="1" applyAlignment="1">
      <alignment horizontal="center"/>
    </xf>
    <xf numFmtId="4" fontId="19" fillId="4" borderId="13" xfId="0" applyNumberFormat="1" applyFont="1" applyFill="1" applyBorder="1" applyAlignment="1">
      <alignment horizontal="center" wrapText="1"/>
    </xf>
    <xf numFmtId="4" fontId="19" fillId="4" borderId="18" xfId="0" applyNumberFormat="1" applyFont="1" applyFill="1" applyBorder="1" applyAlignment="1">
      <alignment horizontal="center" wrapText="1"/>
    </xf>
    <xf numFmtId="164" fontId="20" fillId="4" borderId="18" xfId="0" applyNumberFormat="1" applyFont="1" applyFill="1" applyBorder="1"/>
    <xf numFmtId="4" fontId="20" fillId="4" borderId="18" xfId="0" applyNumberFormat="1" applyFont="1" applyFill="1" applyBorder="1"/>
    <xf numFmtId="4" fontId="19" fillId="4" borderId="18" xfId="0" applyNumberFormat="1" applyFont="1" applyFill="1" applyBorder="1" applyAlignment="1">
      <alignment horizontal="right"/>
    </xf>
    <xf numFmtId="4" fontId="20" fillId="4" borderId="18" xfId="0" applyNumberFormat="1" applyFont="1" applyFill="1" applyBorder="1" applyAlignment="1">
      <alignment horizontal="right"/>
    </xf>
    <xf numFmtId="4" fontId="20" fillId="2" borderId="7" xfId="0" applyNumberFormat="1" applyFont="1" applyFill="1" applyBorder="1"/>
    <xf numFmtId="4" fontId="20" fillId="2" borderId="0" xfId="0" applyNumberFormat="1" applyFont="1" applyFill="1"/>
    <xf numFmtId="4" fontId="20" fillId="2" borderId="0" xfId="0" applyNumberFormat="1" applyFont="1" applyFill="1" applyAlignment="1">
      <alignment horizontal="right"/>
    </xf>
    <xf numFmtId="10" fontId="28" fillId="2" borderId="29" xfId="0" applyNumberFormat="1" applyFont="1" applyFill="1" applyBorder="1" applyAlignment="1">
      <alignment horizontal="right"/>
    </xf>
    <xf numFmtId="4" fontId="23" fillId="2" borderId="18" xfId="0" applyNumberFormat="1" applyFont="1" applyFill="1" applyBorder="1" applyAlignment="1">
      <alignment horizontal="right"/>
    </xf>
    <xf numFmtId="0" fontId="20" fillId="2" borderId="0" xfId="0" applyFont="1" applyFill="1" applyAlignment="1">
      <alignment horizontal="right"/>
    </xf>
    <xf numFmtId="0" fontId="20" fillId="2" borderId="3" xfId="0" applyFont="1" applyFill="1" applyBorder="1"/>
    <xf numFmtId="0" fontId="20" fillId="2" borderId="0" xfId="0" applyFont="1" applyFill="1"/>
    <xf numFmtId="0" fontId="20" fillId="2" borderId="26" xfId="0" applyFont="1" applyFill="1" applyBorder="1"/>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20" fillId="0" borderId="20" xfId="0" applyFont="1" applyBorder="1" applyAlignment="1">
      <alignment horizontal="left" vertical="center" wrapText="1"/>
    </xf>
    <xf numFmtId="0" fontId="20" fillId="0" borderId="0" xfId="0" applyFont="1" applyAlignment="1">
      <alignment horizontal="left"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5" fillId="0" borderId="0" xfId="0" applyFont="1" applyAlignment="1">
      <alignment horizontal="left" vertical="top" wrapText="1"/>
    </xf>
    <xf numFmtId="0" fontId="5" fillId="0" borderId="10" xfId="0" applyFont="1" applyBorder="1" applyAlignment="1">
      <alignment horizontal="left" vertical="top" wrapText="1"/>
    </xf>
  </cellXfs>
  <cellStyles count="6">
    <cellStyle name="Normal" xfId="0" builtinId="0"/>
    <cellStyle name="Normal 2" xfId="2" xr:uid="{5E6953C3-ADF0-4F2D-B8CB-D37C31FDDD6A}"/>
    <cellStyle name="Normal 2 2" xfId="5" xr:uid="{0C4FA899-CCB1-47B3-9ED9-EFFEA41A343A}"/>
    <cellStyle name="Normal_Sheet1" xfId="3" xr:uid="{2580B8B3-8F4A-461B-A56F-5F31B1B6FBBB}"/>
    <cellStyle name="Percent" xfId="1" builtinId="5"/>
    <cellStyle name="Percent 2" xfId="4" xr:uid="{19500A93-E09E-4157-BF6F-2313BB84D3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nual%20Budget%20Workfiles/Excel-%20budget/HEALTH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Annual%20Budget%20Workfiles\Excel-%20budget\HEALTHI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he%20Salvios/Documents/Jerry/Berlin/Budget%20&amp;%20Rates/For%20the%20Year%202022/Proposed%20Budget%20and%20Rates%20FY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he%20Salvios/Downloads/Revisd%20FY24%20Timberlin%20Budget_KD_12-20-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he%20Salvios/Documents/Jerry/Berlin/Budget%20&amp;%20Rates/For%20the%20Year%202022/43%20-%20Narr%20-%20Golf%20Course%20-%20FY23-1%20Updtd%202021.12.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03 New Format-Z"/>
      <sheetName val="FY03"/>
      <sheetName val="FY02 w bc"/>
      <sheetName val="FY02"/>
      <sheetName val="FY01"/>
      <sheetName val="FY00"/>
      <sheetName val="FY00TM"/>
      <sheetName val="Health Ins"/>
      <sheetName val="BoE per pupil"/>
      <sheetName val="$100 Bill Breakdown of Spending"/>
      <sheetName val="Budget Summary"/>
      <sheetName val="CHCA Hist"/>
      <sheetName val="SRO"/>
      <sheetName val="FY20 byElement (DEPT)"/>
      <sheetName val="FY20 byElmnt-TM"/>
      <sheetName val="FY20 byElement (BOF)"/>
      <sheetName val="FY20 byElement (TC)"/>
      <sheetName val="WCC"/>
      <sheetName val="BudCapital"/>
      <sheetName val="Chk List"/>
      <sheetName val="FY20 byEl-Dept"/>
      <sheetName val="D62"/>
      <sheetName val="Add'l hrs-posits"/>
      <sheetName val="Bud Summ"/>
      <sheetName val="FY19 Act"/>
      <sheetName val="FY20Bud"/>
      <sheetName val="Budget"/>
      <sheetName val="All"/>
      <sheetName val="Payroll"/>
      <sheetName val="WageNeg%Tbl"/>
      <sheetName val="Pens"/>
      <sheetName val="WgNeg"/>
      <sheetName val="Life"/>
      <sheetName val="WC %"/>
      <sheetName val="Long"/>
      <sheetName val="LongCalc"/>
      <sheetName val="Hlth-Dtl"/>
      <sheetName val="Hlth$Mtx"/>
      <sheetName val="InLieu"/>
      <sheetName val="Hlth"/>
      <sheetName val="BC$"/>
      <sheetName val="MM$"/>
      <sheetName val="WC$"/>
      <sheetName val="CHCA$"/>
      <sheetName val="Disp$"/>
      <sheetName val="BPD$"/>
      <sheetName val="Vac-CHCA"/>
      <sheetName val="D53 FY17 Hist"/>
      <sheetName val="TFB-Clothing"/>
      <sheetName val="TFB-Auto"/>
      <sheetName val="Uniform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E per pupil"/>
      <sheetName val="$100 Bill Breakdown of Spending"/>
      <sheetName val="Budget Summary"/>
      <sheetName val="CHCA Hist"/>
      <sheetName val="SRO"/>
      <sheetName val="FY20 byElement (DEPT)"/>
      <sheetName val="FY20 byElmnt-TM"/>
      <sheetName val="FY20 byElement (BOF)"/>
      <sheetName val="FY20 byElement (TC)"/>
      <sheetName val="WCC"/>
      <sheetName val="BudCapital"/>
      <sheetName val="Chk List"/>
      <sheetName val="FY20 byEl-Dept"/>
      <sheetName val="D62"/>
      <sheetName val="Add'l hrs-posits"/>
      <sheetName val="Bud Summ"/>
      <sheetName val="FY19 Act"/>
      <sheetName val="FY20Bud"/>
      <sheetName val="Budget"/>
      <sheetName val="All"/>
      <sheetName val="Payroll"/>
      <sheetName val="WageNeg%Tbl"/>
      <sheetName val="Pens"/>
      <sheetName val="WgNeg"/>
      <sheetName val="Life"/>
      <sheetName val="WC %"/>
      <sheetName val="Long"/>
      <sheetName val="LongCalc"/>
      <sheetName val="Hlth-Dtl"/>
      <sheetName val="Hlth$Mtx"/>
      <sheetName val="InLieu"/>
      <sheetName val="Hlth"/>
      <sheetName val="BC$"/>
      <sheetName val="MM$"/>
      <sheetName val="WC$"/>
      <sheetName val="CHCA$"/>
      <sheetName val="Disp$"/>
      <sheetName val="BPD$"/>
      <sheetName val="Vac-CHCA"/>
      <sheetName val="D53 FY17 Hist"/>
      <sheetName val="TFB-Clothing"/>
      <sheetName val="TFB-Auto"/>
      <sheetName val="Uniforms"/>
      <sheetName val="FY03 New Format-Z"/>
      <sheetName val="FY03"/>
      <sheetName val="FY02 w bc"/>
      <sheetName val="FY02"/>
      <sheetName val="FY01"/>
      <sheetName val="FY00"/>
      <sheetName val="FY00TM"/>
      <sheetName val="Health I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2 Rate Proposal JS"/>
      <sheetName val="2021 Rate Proposal EXISTING"/>
      <sheetName val="Budget"/>
      <sheetName val="Restaurant Rent"/>
      <sheetName val="2022 Revenue Projection"/>
    </sheetNames>
    <sheetDataSet>
      <sheetData sheetId="0"/>
      <sheetData sheetId="1"/>
      <sheetData sheetId="2">
        <row r="9">
          <cell r="D9">
            <v>47600.36</v>
          </cell>
        </row>
      </sheetData>
      <sheetData sheetId="3">
        <row r="6">
          <cell r="I6">
            <v>4713.3999999999996</v>
          </cell>
          <cell r="J6">
            <v>4713.3999999999996</v>
          </cell>
          <cell r="K6">
            <v>4713.3999999999996</v>
          </cell>
          <cell r="L6">
            <v>4713.3999999999996</v>
          </cell>
          <cell r="M6">
            <v>4713.3999999999996</v>
          </cell>
          <cell r="N6">
            <v>4713.3999999999996</v>
          </cell>
        </row>
        <row r="7">
          <cell r="C7">
            <v>0</v>
          </cell>
          <cell r="D7">
            <v>0</v>
          </cell>
          <cell r="E7">
            <v>4829.99</v>
          </cell>
          <cell r="F7">
            <v>4829.99</v>
          </cell>
          <cell r="G7">
            <v>4829.99</v>
          </cell>
          <cell r="H7">
            <v>4829.99</v>
          </cell>
        </row>
      </sheetData>
      <sheetData sheetId="4">
        <row r="72">
          <cell r="N72">
            <v>746093.5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Staffing"/>
      <sheetName val="Narrative"/>
    </sheetNames>
    <sheetDataSet>
      <sheetData sheetId="0"/>
      <sheetData sheetId="1">
        <row r="8">
          <cell r="C8">
            <v>70429</v>
          </cell>
        </row>
        <row r="9">
          <cell r="C9">
            <v>69764</v>
          </cell>
        </row>
        <row r="17">
          <cell r="G17">
            <v>60578.25</v>
          </cell>
        </row>
        <row r="28">
          <cell r="B28">
            <v>139776</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Request"/>
      <sheetName val="Narrative"/>
      <sheetName val="53945"/>
      <sheetName val="53944"/>
      <sheetName val="Rev Proj (2)"/>
      <sheetName val="CIP Used PU"/>
    </sheetNames>
    <sheetDataSet>
      <sheetData sheetId="0">
        <row r="28">
          <cell r="I28">
            <v>68156</v>
          </cell>
        </row>
        <row r="60">
          <cell r="I60">
            <v>1351274</v>
          </cell>
        </row>
      </sheetData>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430F7-5FC2-434C-8366-65CE60964E4F}">
  <dimension ref="A1:S97"/>
  <sheetViews>
    <sheetView tabSelected="1" zoomScale="80" zoomScaleNormal="80" workbookViewId="0">
      <selection activeCell="I80" sqref="I80"/>
    </sheetView>
  </sheetViews>
  <sheetFormatPr defaultColWidth="8.85546875" defaultRowHeight="15"/>
  <cols>
    <col min="1" max="2" width="2.7109375" style="90" customWidth="1"/>
    <col min="3" max="3" width="30.28515625" style="90" customWidth="1"/>
    <col min="4" max="6" width="13.5703125" style="167" customWidth="1"/>
    <col min="7" max="7" width="14.28515625" style="95" customWidth="1"/>
    <col min="8" max="8" width="16.42578125" style="247" customWidth="1"/>
    <col min="9" max="9" width="18.7109375" style="167" customWidth="1"/>
    <col min="10" max="10" width="3.28515625" style="167" customWidth="1"/>
    <col min="11" max="11" width="20.28515625" style="167" customWidth="1"/>
    <col min="12" max="12" width="2.7109375" style="167" customWidth="1"/>
    <col min="13" max="13" width="17.5703125" style="167" customWidth="1"/>
    <col min="14" max="14" width="2.5703125" style="123" customWidth="1"/>
    <col min="15" max="15" width="73.85546875" style="90" customWidth="1"/>
    <col min="16" max="16" width="1.42578125" style="122" customWidth="1"/>
    <col min="17" max="17" width="15.7109375" style="123" customWidth="1"/>
    <col min="18" max="18" width="22.42578125" style="90" customWidth="1"/>
    <col min="19" max="16384" width="8.85546875" style="90"/>
  </cols>
  <sheetData>
    <row r="1" spans="1:18" ht="15.75">
      <c r="A1" s="83" t="s">
        <v>244</v>
      </c>
      <c r="B1" s="84"/>
      <c r="C1" s="85"/>
      <c r="D1" s="86"/>
      <c r="E1" s="86"/>
      <c r="F1" s="86"/>
      <c r="G1" s="86"/>
      <c r="H1" s="245"/>
      <c r="I1" s="86"/>
      <c r="J1" s="86"/>
      <c r="K1" s="86"/>
      <c r="L1" s="86"/>
      <c r="M1" s="86"/>
      <c r="N1" s="86"/>
      <c r="O1" s="87"/>
      <c r="P1" s="88">
        <f ca="1">NOW()</f>
        <v>44935.567127430557</v>
      </c>
      <c r="Q1" s="89"/>
      <c r="R1" s="89"/>
    </row>
    <row r="2" spans="1:18" ht="15.75">
      <c r="A2" s="91" t="s">
        <v>245</v>
      </c>
      <c r="B2" s="92"/>
      <c r="D2" s="89"/>
      <c r="E2" s="89"/>
      <c r="F2" s="89"/>
      <c r="G2" s="89"/>
      <c r="H2" s="246"/>
      <c r="I2" s="89"/>
      <c r="J2" s="89"/>
      <c r="K2" s="89"/>
      <c r="L2" s="89"/>
      <c r="M2" s="89"/>
      <c r="N2" s="89"/>
      <c r="O2" s="93"/>
      <c r="P2" s="94"/>
      <c r="Q2" s="89"/>
      <c r="R2" s="89"/>
    </row>
    <row r="3" spans="1:18" ht="15.75">
      <c r="A3" s="91" t="s">
        <v>329</v>
      </c>
      <c r="B3" s="92"/>
      <c r="D3" s="89"/>
      <c r="E3" s="89"/>
      <c r="F3" s="89"/>
      <c r="I3" s="96"/>
      <c r="J3" s="97"/>
      <c r="K3" s="89"/>
      <c r="L3" s="89"/>
      <c r="M3" s="89"/>
      <c r="N3" s="89"/>
      <c r="O3" s="93"/>
      <c r="P3" s="94"/>
      <c r="Q3" s="89"/>
      <c r="R3" s="89"/>
    </row>
    <row r="4" spans="1:18" ht="15.75">
      <c r="A4" s="91"/>
      <c r="B4" s="92"/>
      <c r="D4" s="89"/>
      <c r="E4" s="89"/>
      <c r="F4" s="89"/>
      <c r="H4" s="248"/>
      <c r="I4" s="96"/>
      <c r="J4" s="97"/>
      <c r="K4" s="89"/>
      <c r="L4" s="89"/>
      <c r="M4" s="89"/>
      <c r="N4" s="89"/>
      <c r="O4" s="93"/>
      <c r="P4" s="94"/>
      <c r="Q4" s="89"/>
      <c r="R4" s="89"/>
    </row>
    <row r="5" spans="1:18" ht="52.5" customHeight="1">
      <c r="A5" s="98"/>
      <c r="B5" s="99"/>
      <c r="C5" s="100" t="s">
        <v>246</v>
      </c>
      <c r="D5" s="101" t="s">
        <v>332</v>
      </c>
      <c r="E5" s="101" t="s">
        <v>333</v>
      </c>
      <c r="F5" s="203" t="s">
        <v>334</v>
      </c>
      <c r="G5" s="104" t="s">
        <v>247</v>
      </c>
      <c r="H5" s="239" t="s">
        <v>330</v>
      </c>
      <c r="I5" s="102" t="s">
        <v>331</v>
      </c>
      <c r="J5" s="103"/>
      <c r="K5" s="105" t="s">
        <v>248</v>
      </c>
      <c r="L5" s="105"/>
      <c r="M5" s="102" t="s">
        <v>335</v>
      </c>
      <c r="N5" s="103"/>
      <c r="O5" s="106" t="s">
        <v>249</v>
      </c>
      <c r="P5" s="107"/>
      <c r="Q5" s="108"/>
    </row>
    <row r="6" spans="1:18" ht="15.75">
      <c r="A6" s="109" t="s">
        <v>250</v>
      </c>
      <c r="B6" s="110"/>
      <c r="C6" s="111"/>
      <c r="D6" s="112"/>
      <c r="E6" s="112"/>
      <c r="F6" s="204"/>
      <c r="G6" s="199"/>
      <c r="H6" s="240"/>
      <c r="I6" s="113"/>
      <c r="J6" s="114"/>
      <c r="K6" s="113"/>
      <c r="L6" s="115"/>
      <c r="M6" s="113"/>
      <c r="N6" s="116"/>
      <c r="O6" s="117"/>
      <c r="P6" s="107"/>
      <c r="Q6" s="108"/>
    </row>
    <row r="7" spans="1:18" ht="15.75">
      <c r="A7" s="118"/>
      <c r="B7" s="119" t="s">
        <v>251</v>
      </c>
      <c r="C7" s="120"/>
      <c r="D7" s="112"/>
      <c r="E7" s="112"/>
      <c r="F7" s="204"/>
      <c r="G7" s="199"/>
      <c r="H7" s="240"/>
      <c r="I7" s="113"/>
      <c r="J7" s="114"/>
      <c r="K7" s="113"/>
      <c r="L7" s="115"/>
      <c r="M7" s="113"/>
      <c r="N7" s="116"/>
      <c r="O7" s="121"/>
    </row>
    <row r="8" spans="1:18">
      <c r="A8" s="118"/>
      <c r="B8" s="124"/>
      <c r="C8" s="120" t="s">
        <v>252</v>
      </c>
      <c r="D8" s="125">
        <v>36</v>
      </c>
      <c r="E8" s="125">
        <v>34</v>
      </c>
      <c r="F8" s="205">
        <f>((D8+E8)/2)</f>
        <v>35</v>
      </c>
      <c r="G8" s="128">
        <v>1100</v>
      </c>
      <c r="H8" s="241">
        <v>1150</v>
      </c>
      <c r="I8" s="126">
        <f>H8*D8</f>
        <v>41400</v>
      </c>
      <c r="J8" s="127"/>
      <c r="K8" s="126"/>
      <c r="L8" s="128"/>
      <c r="M8" s="126">
        <f>H8-G8</f>
        <v>50</v>
      </c>
      <c r="N8" s="129"/>
      <c r="O8" s="121" t="s">
        <v>253</v>
      </c>
      <c r="P8" s="122">
        <f>1-(G8/H8)</f>
        <v>4.3478260869565188E-2</v>
      </c>
    </row>
    <row r="9" spans="1:18">
      <c r="A9" s="118"/>
      <c r="B9" s="124"/>
      <c r="C9" s="120" t="s">
        <v>254</v>
      </c>
      <c r="D9" s="125">
        <v>25</v>
      </c>
      <c r="E9" s="125">
        <v>28</v>
      </c>
      <c r="F9" s="205">
        <f t="shared" ref="F9:F13" si="0">((D9+E9)/2)</f>
        <v>26.5</v>
      </c>
      <c r="G9" s="128">
        <v>815</v>
      </c>
      <c r="H9" s="241">
        <v>850</v>
      </c>
      <c r="I9" s="126">
        <f t="shared" ref="I9:I13" si="1">H9*D9</f>
        <v>21250</v>
      </c>
      <c r="J9" s="127"/>
      <c r="K9" s="126"/>
      <c r="L9" s="128"/>
      <c r="M9" s="126">
        <f>H9-G9</f>
        <v>35</v>
      </c>
      <c r="N9" s="129"/>
      <c r="O9" s="121" t="s">
        <v>253</v>
      </c>
      <c r="P9" s="122">
        <f>1-(G9/H9)</f>
        <v>4.1176470588235259E-2</v>
      </c>
    </row>
    <row r="10" spans="1:18">
      <c r="A10" s="118"/>
      <c r="B10" s="124"/>
      <c r="C10" s="120" t="s">
        <v>255</v>
      </c>
      <c r="D10" s="125">
        <v>100</v>
      </c>
      <c r="E10" s="125">
        <v>98</v>
      </c>
      <c r="F10" s="205">
        <f t="shared" si="0"/>
        <v>99</v>
      </c>
      <c r="G10" s="128">
        <v>490</v>
      </c>
      <c r="H10" s="241">
        <v>525</v>
      </c>
      <c r="I10" s="126">
        <f t="shared" si="1"/>
        <v>52500</v>
      </c>
      <c r="J10" s="127"/>
      <c r="K10" s="126"/>
      <c r="L10" s="128"/>
      <c r="M10" s="126">
        <f>H10-G10</f>
        <v>35</v>
      </c>
      <c r="N10" s="129"/>
      <c r="O10" s="121" t="s">
        <v>256</v>
      </c>
      <c r="P10" s="122">
        <f>1-(G10/H10)</f>
        <v>6.6666666666666652E-2</v>
      </c>
    </row>
    <row r="11" spans="1:18">
      <c r="A11" s="118"/>
      <c r="B11" s="124"/>
      <c r="C11" s="120" t="s">
        <v>257</v>
      </c>
      <c r="D11" s="125">
        <v>5</v>
      </c>
      <c r="E11" s="125">
        <v>3</v>
      </c>
      <c r="F11" s="205">
        <f t="shared" si="0"/>
        <v>4</v>
      </c>
      <c r="G11" s="128">
        <v>200</v>
      </c>
      <c r="H11" s="241">
        <v>225</v>
      </c>
      <c r="I11" s="126">
        <f t="shared" si="1"/>
        <v>1125</v>
      </c>
      <c r="J11" s="127"/>
      <c r="K11" s="126"/>
      <c r="L11" s="128"/>
      <c r="M11" s="126">
        <v>0</v>
      </c>
      <c r="N11" s="129"/>
      <c r="O11" s="121" t="s">
        <v>259</v>
      </c>
    </row>
    <row r="12" spans="1:18">
      <c r="A12" s="118"/>
      <c r="B12" s="124"/>
      <c r="C12" s="120" t="s">
        <v>260</v>
      </c>
      <c r="D12" s="125">
        <v>12</v>
      </c>
      <c r="E12" s="125">
        <v>16</v>
      </c>
      <c r="F12" s="205">
        <f t="shared" si="0"/>
        <v>14</v>
      </c>
      <c r="G12" s="128">
        <v>440</v>
      </c>
      <c r="H12" s="241">
        <v>500</v>
      </c>
      <c r="I12" s="126">
        <f t="shared" si="1"/>
        <v>6000</v>
      </c>
      <c r="J12" s="127"/>
      <c r="K12" s="126"/>
      <c r="L12" s="128"/>
      <c r="M12" s="126">
        <f>H12-G12</f>
        <v>60</v>
      </c>
      <c r="N12" s="129"/>
      <c r="O12" s="121" t="s">
        <v>253</v>
      </c>
      <c r="P12" s="122">
        <f>1-(G12/H12)</f>
        <v>0.12</v>
      </c>
    </row>
    <row r="13" spans="1:18">
      <c r="A13" s="118"/>
      <c r="B13" s="124"/>
      <c r="C13" s="120" t="s">
        <v>261</v>
      </c>
      <c r="D13" s="125">
        <v>16</v>
      </c>
      <c r="E13" s="125">
        <v>2</v>
      </c>
      <c r="F13" s="205">
        <f t="shared" si="0"/>
        <v>9</v>
      </c>
      <c r="G13" s="128">
        <v>315</v>
      </c>
      <c r="H13" s="241">
        <v>350</v>
      </c>
      <c r="I13" s="126">
        <f t="shared" si="1"/>
        <v>5600</v>
      </c>
      <c r="J13" s="127"/>
      <c r="K13" s="126">
        <f>SUM(I8:I13)</f>
        <v>127875</v>
      </c>
      <c r="L13" s="128"/>
      <c r="M13" s="126">
        <f>H13-G13</f>
        <v>35</v>
      </c>
      <c r="N13" s="129"/>
      <c r="O13" s="121" t="s">
        <v>256</v>
      </c>
      <c r="P13" s="122">
        <f>1-(G13/H13)</f>
        <v>9.9999999999999978E-2</v>
      </c>
    </row>
    <row r="14" spans="1:18" ht="15.75">
      <c r="A14" s="118"/>
      <c r="B14" s="130" t="s">
        <v>262</v>
      </c>
      <c r="C14" s="120"/>
      <c r="D14" s="131"/>
      <c r="E14" s="131"/>
      <c r="F14" s="206"/>
      <c r="G14" s="134"/>
      <c r="H14" s="242"/>
      <c r="I14" s="132"/>
      <c r="J14" s="133"/>
      <c r="K14" s="132"/>
      <c r="L14" s="134"/>
      <c r="M14" s="132"/>
      <c r="N14" s="129"/>
      <c r="O14" s="121"/>
    </row>
    <row r="15" spans="1:18">
      <c r="A15" s="118"/>
      <c r="B15" s="124"/>
      <c r="C15" s="120" t="s">
        <v>263</v>
      </c>
      <c r="D15" s="125">
        <v>226</v>
      </c>
      <c r="E15" s="125">
        <f>407+6</f>
        <v>413</v>
      </c>
      <c r="F15" s="205">
        <f t="shared" ref="F15:F20" si="2">((D15+E15)/2)</f>
        <v>319.5</v>
      </c>
      <c r="G15" s="128">
        <v>31.5</v>
      </c>
      <c r="H15" s="241">
        <v>35</v>
      </c>
      <c r="I15" s="126">
        <f t="shared" ref="I15:I20" si="3">H15*D15</f>
        <v>7910</v>
      </c>
      <c r="J15" s="127"/>
      <c r="K15" s="126"/>
      <c r="L15" s="128"/>
      <c r="M15" s="126">
        <f t="shared" ref="M15:M20" si="4">H15-G15</f>
        <v>3.5</v>
      </c>
      <c r="N15" s="129"/>
      <c r="O15" s="121"/>
      <c r="P15" s="122">
        <f t="shared" ref="P15:P20" si="5">1-(G15/H15)</f>
        <v>9.9999999999999978E-2</v>
      </c>
    </row>
    <row r="16" spans="1:18">
      <c r="A16" s="118"/>
      <c r="B16" s="124"/>
      <c r="C16" s="120" t="s">
        <v>264</v>
      </c>
      <c r="D16" s="125">
        <v>452</v>
      </c>
      <c r="E16" s="125">
        <f>579+30</f>
        <v>609</v>
      </c>
      <c r="F16" s="205">
        <f t="shared" si="2"/>
        <v>530.5</v>
      </c>
      <c r="G16" s="128">
        <v>22</v>
      </c>
      <c r="H16" s="241">
        <v>25</v>
      </c>
      <c r="I16" s="126">
        <f t="shared" si="3"/>
        <v>11300</v>
      </c>
      <c r="J16" s="127"/>
      <c r="K16" s="126"/>
      <c r="L16" s="128"/>
      <c r="M16" s="126">
        <f t="shared" si="4"/>
        <v>3</v>
      </c>
      <c r="N16" s="129"/>
      <c r="O16" s="121"/>
      <c r="P16" s="122">
        <f t="shared" si="5"/>
        <v>0.12</v>
      </c>
    </row>
    <row r="17" spans="1:17">
      <c r="A17" s="118"/>
      <c r="B17" s="124"/>
      <c r="C17" s="120" t="s">
        <v>265</v>
      </c>
      <c r="D17" s="125">
        <v>864</v>
      </c>
      <c r="E17" s="125">
        <f>1137+38</f>
        <v>1175</v>
      </c>
      <c r="F17" s="205">
        <f t="shared" si="2"/>
        <v>1019.5</v>
      </c>
      <c r="G17" s="128">
        <v>20</v>
      </c>
      <c r="H17" s="241">
        <v>22</v>
      </c>
      <c r="I17" s="126">
        <f t="shared" si="3"/>
        <v>19008</v>
      </c>
      <c r="J17" s="127"/>
      <c r="K17" s="126"/>
      <c r="L17" s="128"/>
      <c r="M17" s="126">
        <f t="shared" si="4"/>
        <v>2</v>
      </c>
      <c r="N17" s="129"/>
      <c r="O17" s="121"/>
      <c r="P17" s="122">
        <f t="shared" si="5"/>
        <v>9.0909090909090939E-2</v>
      </c>
    </row>
    <row r="18" spans="1:17">
      <c r="A18" s="118"/>
      <c r="B18" s="124"/>
      <c r="C18" s="120" t="s">
        <v>266</v>
      </c>
      <c r="D18" s="125">
        <v>2042</v>
      </c>
      <c r="E18" s="125">
        <f>1591+120</f>
        <v>1711</v>
      </c>
      <c r="F18" s="205">
        <f t="shared" si="2"/>
        <v>1876.5</v>
      </c>
      <c r="G18" s="128">
        <v>14</v>
      </c>
      <c r="H18" s="241">
        <v>16</v>
      </c>
      <c r="I18" s="126">
        <f t="shared" si="3"/>
        <v>32672</v>
      </c>
      <c r="J18" s="127"/>
      <c r="K18" s="126"/>
      <c r="L18" s="128"/>
      <c r="M18" s="126">
        <f t="shared" si="4"/>
        <v>2</v>
      </c>
      <c r="N18" s="129"/>
      <c r="O18" s="121"/>
      <c r="P18" s="122">
        <f t="shared" si="5"/>
        <v>0.125</v>
      </c>
    </row>
    <row r="19" spans="1:17">
      <c r="A19" s="118"/>
      <c r="B19" s="124"/>
      <c r="C19" s="120" t="s">
        <v>267</v>
      </c>
      <c r="D19" s="125">
        <v>1395</v>
      </c>
      <c r="E19" s="125">
        <f>1208+63</f>
        <v>1271</v>
      </c>
      <c r="F19" s="205">
        <f t="shared" si="2"/>
        <v>1333</v>
      </c>
      <c r="G19" s="128">
        <v>34.5</v>
      </c>
      <c r="H19" s="241">
        <v>40</v>
      </c>
      <c r="I19" s="126">
        <f t="shared" si="3"/>
        <v>55800</v>
      </c>
      <c r="J19" s="127"/>
      <c r="K19" s="126"/>
      <c r="L19" s="128"/>
      <c r="M19" s="126">
        <f t="shared" si="4"/>
        <v>5.5</v>
      </c>
      <c r="N19" s="129"/>
      <c r="O19" s="121"/>
      <c r="P19" s="122">
        <f t="shared" si="5"/>
        <v>0.13749999999999996</v>
      </c>
      <c r="Q19" s="135"/>
    </row>
    <row r="20" spans="1:17">
      <c r="A20" s="118"/>
      <c r="B20" s="124"/>
      <c r="C20" s="120" t="s">
        <v>268</v>
      </c>
      <c r="D20" s="125">
        <v>442</v>
      </c>
      <c r="E20" s="125">
        <f>626+10</f>
        <v>636</v>
      </c>
      <c r="F20" s="205">
        <f t="shared" si="2"/>
        <v>539</v>
      </c>
      <c r="G20" s="128">
        <v>21</v>
      </c>
      <c r="H20" s="241">
        <v>25</v>
      </c>
      <c r="I20" s="126">
        <f t="shared" si="3"/>
        <v>11050</v>
      </c>
      <c r="J20" s="127"/>
      <c r="K20" s="126">
        <f>SUM(I15:I20)</f>
        <v>137740</v>
      </c>
      <c r="L20" s="128"/>
      <c r="M20" s="126">
        <f t="shared" si="4"/>
        <v>4</v>
      </c>
      <c r="N20" s="129"/>
      <c r="O20" s="121"/>
      <c r="P20" s="122">
        <f t="shared" si="5"/>
        <v>0.16000000000000003</v>
      </c>
      <c r="Q20" s="135"/>
    </row>
    <row r="21" spans="1:17">
      <c r="A21" s="118"/>
      <c r="B21" s="124"/>
      <c r="C21" s="120"/>
      <c r="D21" s="125"/>
      <c r="E21" s="125"/>
      <c r="F21" s="205"/>
      <c r="G21" s="134"/>
      <c r="H21" s="242"/>
      <c r="I21" s="132"/>
      <c r="J21" s="133"/>
      <c r="K21" s="132"/>
      <c r="L21" s="134"/>
      <c r="M21" s="132"/>
      <c r="N21" s="129"/>
      <c r="O21" s="121"/>
      <c r="Q21" s="135"/>
    </row>
    <row r="22" spans="1:17" ht="15.75">
      <c r="A22" s="136" t="s">
        <v>269</v>
      </c>
      <c r="B22" s="124"/>
      <c r="C22" s="120"/>
      <c r="D22" s="125"/>
      <c r="E22" s="125"/>
      <c r="F22" s="205"/>
      <c r="G22" s="134"/>
      <c r="H22" s="242"/>
      <c r="I22" s="132"/>
      <c r="J22" s="133"/>
      <c r="K22" s="132"/>
      <c r="L22" s="134"/>
      <c r="M22" s="132"/>
      <c r="N22" s="129"/>
      <c r="O22" s="121"/>
      <c r="Q22" s="135"/>
    </row>
    <row r="23" spans="1:17" ht="15.75">
      <c r="A23" s="118"/>
      <c r="B23" s="119" t="s">
        <v>251</v>
      </c>
      <c r="C23" s="120"/>
      <c r="D23" s="125"/>
      <c r="E23" s="125"/>
      <c r="F23" s="205"/>
      <c r="G23" s="134"/>
      <c r="H23" s="242"/>
      <c r="I23" s="132"/>
      <c r="J23" s="133"/>
      <c r="K23" s="132"/>
      <c r="L23" s="134"/>
      <c r="M23" s="132"/>
      <c r="N23" s="137"/>
      <c r="O23" s="121"/>
      <c r="Q23" s="135"/>
    </row>
    <row r="24" spans="1:17" ht="15.75">
      <c r="A24" s="118"/>
      <c r="B24" s="119"/>
      <c r="C24" s="120" t="s">
        <v>252</v>
      </c>
      <c r="D24" s="125">
        <v>23</v>
      </c>
      <c r="E24" s="125">
        <v>20</v>
      </c>
      <c r="F24" s="205">
        <f t="shared" ref="F24:F35" si="6">((D24+E24)/2)</f>
        <v>21.5</v>
      </c>
      <c r="G24" s="128">
        <v>1450</v>
      </c>
      <c r="H24" s="241">
        <v>1550</v>
      </c>
      <c r="I24" s="126">
        <f>H24*D24</f>
        <v>35650</v>
      </c>
      <c r="J24" s="127"/>
      <c r="K24" s="126"/>
      <c r="L24" s="128"/>
      <c r="M24" s="126">
        <f>H24-G24</f>
        <v>100</v>
      </c>
      <c r="N24" s="129"/>
      <c r="O24" s="121" t="s">
        <v>253</v>
      </c>
      <c r="P24" s="122">
        <f>1-(G24/H24)</f>
        <v>6.4516129032258118E-2</v>
      </c>
      <c r="Q24" s="135"/>
    </row>
    <row r="25" spans="1:17">
      <c r="A25" s="118"/>
      <c r="B25" s="124"/>
      <c r="C25" s="120" t="s">
        <v>254</v>
      </c>
      <c r="D25" s="125">
        <v>16</v>
      </c>
      <c r="E25" s="125">
        <v>15</v>
      </c>
      <c r="F25" s="205">
        <f t="shared" si="6"/>
        <v>15.5</v>
      </c>
      <c r="G25" s="128">
        <v>1250</v>
      </c>
      <c r="H25" s="241">
        <v>1325</v>
      </c>
      <c r="I25" s="126">
        <f>H25*D25</f>
        <v>21200</v>
      </c>
      <c r="J25" s="127"/>
      <c r="K25" s="126"/>
      <c r="L25" s="128"/>
      <c r="M25" s="126">
        <f>H25-G25</f>
        <v>75</v>
      </c>
      <c r="N25" s="129"/>
      <c r="O25" s="121" t="s">
        <v>253</v>
      </c>
      <c r="P25" s="122">
        <f>1-(G25/H25)</f>
        <v>5.6603773584905648E-2</v>
      </c>
      <c r="Q25" s="135"/>
    </row>
    <row r="26" spans="1:17">
      <c r="A26" s="118"/>
      <c r="B26" s="124"/>
      <c r="C26" s="120" t="s">
        <v>255</v>
      </c>
      <c r="D26" s="125">
        <v>22</v>
      </c>
      <c r="E26" s="125">
        <v>15</v>
      </c>
      <c r="F26" s="205">
        <f t="shared" si="6"/>
        <v>18.5</v>
      </c>
      <c r="G26" s="128">
        <v>925</v>
      </c>
      <c r="H26" s="241">
        <v>975</v>
      </c>
      <c r="I26" s="126">
        <f>H26*D26</f>
        <v>21450</v>
      </c>
      <c r="J26" s="127"/>
      <c r="K26" s="126"/>
      <c r="L26" s="128"/>
      <c r="M26" s="126">
        <f>H26-G26</f>
        <v>50</v>
      </c>
      <c r="N26" s="129"/>
      <c r="O26" s="121" t="s">
        <v>256</v>
      </c>
      <c r="P26" s="122">
        <f>1-(G26/H26)</f>
        <v>5.1282051282051322E-2</v>
      </c>
      <c r="Q26" s="135"/>
    </row>
    <row r="27" spans="1:17">
      <c r="A27" s="118"/>
      <c r="B27" s="124"/>
      <c r="C27" s="120" t="s">
        <v>260</v>
      </c>
      <c r="D27" s="125">
        <v>3</v>
      </c>
      <c r="E27" s="125">
        <v>15</v>
      </c>
      <c r="F27" s="205">
        <f t="shared" si="6"/>
        <v>9</v>
      </c>
      <c r="G27" s="128">
        <v>440</v>
      </c>
      <c r="H27" s="241">
        <v>500</v>
      </c>
      <c r="I27" s="126">
        <f>H27*D27</f>
        <v>1500</v>
      </c>
      <c r="J27" s="127"/>
      <c r="K27" s="126"/>
      <c r="L27" s="128"/>
      <c r="M27" s="126">
        <f>H27-G27</f>
        <v>60</v>
      </c>
      <c r="N27" s="129"/>
      <c r="O27" s="121" t="s">
        <v>253</v>
      </c>
      <c r="P27" s="122">
        <f>1-(G27/H27)</f>
        <v>0.12</v>
      </c>
      <c r="Q27" s="135"/>
    </row>
    <row r="28" spans="1:17">
      <c r="A28" s="118"/>
      <c r="B28" s="124"/>
      <c r="C28" s="120" t="s">
        <v>261</v>
      </c>
      <c r="D28" s="125">
        <v>6</v>
      </c>
      <c r="E28" s="125">
        <v>6</v>
      </c>
      <c r="F28" s="205">
        <f t="shared" si="6"/>
        <v>6</v>
      </c>
      <c r="G28" s="128">
        <v>315</v>
      </c>
      <c r="H28" s="241">
        <v>350</v>
      </c>
      <c r="I28" s="126">
        <f>H28*D28</f>
        <v>2100</v>
      </c>
      <c r="J28" s="127"/>
      <c r="K28" s="126">
        <f>SUM(I24:I28)</f>
        <v>81900</v>
      </c>
      <c r="L28" s="128"/>
      <c r="M28" s="126">
        <f>H28-G28</f>
        <v>35</v>
      </c>
      <c r="N28" s="129"/>
      <c r="O28" s="121" t="s">
        <v>256</v>
      </c>
      <c r="P28" s="122">
        <f>1-(G28/H28)</f>
        <v>9.9999999999999978E-2</v>
      </c>
      <c r="Q28" s="135"/>
    </row>
    <row r="29" spans="1:17" ht="15.75">
      <c r="A29" s="118"/>
      <c r="B29" s="130" t="s">
        <v>262</v>
      </c>
      <c r="C29" s="138"/>
      <c r="D29" s="125"/>
      <c r="E29" s="125"/>
      <c r="F29" s="205"/>
      <c r="G29" s="134"/>
      <c r="H29" s="242"/>
      <c r="I29" s="132"/>
      <c r="J29" s="133"/>
      <c r="K29" s="132"/>
      <c r="L29" s="134"/>
      <c r="M29" s="132"/>
      <c r="N29" s="129"/>
      <c r="O29" s="139"/>
      <c r="Q29" s="135"/>
    </row>
    <row r="30" spans="1:17">
      <c r="A30" s="118"/>
      <c r="B30" s="124"/>
      <c r="C30" s="120" t="s">
        <v>263</v>
      </c>
      <c r="D30" s="125">
        <v>425</v>
      </c>
      <c r="E30" s="125">
        <f>6+1158+37</f>
        <v>1201</v>
      </c>
      <c r="F30" s="205">
        <f t="shared" si="6"/>
        <v>813</v>
      </c>
      <c r="G30" s="128">
        <v>39</v>
      </c>
      <c r="H30" s="241">
        <v>45</v>
      </c>
      <c r="I30" s="126">
        <f t="shared" ref="I30:I35" si="7">H30*D30</f>
        <v>19125</v>
      </c>
      <c r="J30" s="127"/>
      <c r="K30" s="126"/>
      <c r="L30" s="128"/>
      <c r="M30" s="126">
        <f t="shared" ref="M30:M35" si="8">H30-G30</f>
        <v>6</v>
      </c>
      <c r="N30" s="129"/>
      <c r="O30" s="139"/>
      <c r="P30" s="122">
        <f t="shared" ref="P30:P35" si="9">1-(G30/H30)</f>
        <v>0.1333333333333333</v>
      </c>
      <c r="Q30" s="135"/>
    </row>
    <row r="31" spans="1:17">
      <c r="A31" s="118"/>
      <c r="B31" s="124"/>
      <c r="C31" s="120" t="s">
        <v>264</v>
      </c>
      <c r="D31" s="125">
        <v>1435</v>
      </c>
      <c r="E31" s="125">
        <f>2331+194</f>
        <v>2525</v>
      </c>
      <c r="F31" s="205">
        <f t="shared" si="6"/>
        <v>1980</v>
      </c>
      <c r="G31" s="128">
        <v>31</v>
      </c>
      <c r="H31" s="241">
        <v>35</v>
      </c>
      <c r="I31" s="126">
        <f t="shared" si="7"/>
        <v>50225</v>
      </c>
      <c r="J31" s="127"/>
      <c r="K31" s="126"/>
      <c r="L31" s="128"/>
      <c r="M31" s="126">
        <f t="shared" si="8"/>
        <v>4</v>
      </c>
      <c r="N31" s="129"/>
      <c r="O31" s="121"/>
      <c r="P31" s="122">
        <f t="shared" si="9"/>
        <v>0.11428571428571432</v>
      </c>
      <c r="Q31" s="135"/>
    </row>
    <row r="32" spans="1:17">
      <c r="A32" s="118"/>
      <c r="B32" s="124"/>
      <c r="C32" s="120" t="s">
        <v>265</v>
      </c>
      <c r="D32" s="125">
        <v>423</v>
      </c>
      <c r="E32" s="125">
        <f>864+16</f>
        <v>880</v>
      </c>
      <c r="F32" s="205">
        <f t="shared" si="6"/>
        <v>651.5</v>
      </c>
      <c r="G32" s="128">
        <v>24</v>
      </c>
      <c r="H32" s="241">
        <v>27</v>
      </c>
      <c r="I32" s="126">
        <f t="shared" si="7"/>
        <v>11421</v>
      </c>
      <c r="J32" s="127"/>
      <c r="K32" s="126"/>
      <c r="L32" s="128"/>
      <c r="M32" s="126">
        <f t="shared" si="8"/>
        <v>3</v>
      </c>
      <c r="N32" s="129"/>
      <c r="O32" s="121"/>
      <c r="P32" s="122">
        <f t="shared" si="9"/>
        <v>0.11111111111111116</v>
      </c>
      <c r="Q32" s="135"/>
    </row>
    <row r="33" spans="1:19">
      <c r="A33" s="118"/>
      <c r="B33" s="124"/>
      <c r="C33" s="120" t="s">
        <v>266</v>
      </c>
      <c r="D33" s="125">
        <v>1435</v>
      </c>
      <c r="E33" s="125">
        <f>1573+70</f>
        <v>1643</v>
      </c>
      <c r="F33" s="205">
        <f t="shared" si="6"/>
        <v>1539</v>
      </c>
      <c r="G33" s="128">
        <v>19.25</v>
      </c>
      <c r="H33" s="241">
        <v>22.5</v>
      </c>
      <c r="I33" s="126">
        <f t="shared" si="7"/>
        <v>32287.5</v>
      </c>
      <c r="J33" s="127"/>
      <c r="K33" s="126"/>
      <c r="L33" s="128"/>
      <c r="M33" s="126">
        <f t="shared" si="8"/>
        <v>3.25</v>
      </c>
      <c r="N33" s="129"/>
      <c r="O33" s="121"/>
      <c r="P33" s="122">
        <f t="shared" si="9"/>
        <v>0.14444444444444449</v>
      </c>
      <c r="Q33" s="135"/>
    </row>
    <row r="34" spans="1:19">
      <c r="A34" s="118"/>
      <c r="B34" s="124"/>
      <c r="C34" s="120" t="s">
        <v>267</v>
      </c>
      <c r="D34" s="125">
        <v>1955</v>
      </c>
      <c r="E34" s="125">
        <f>2328+68</f>
        <v>2396</v>
      </c>
      <c r="F34" s="205">
        <f t="shared" si="6"/>
        <v>2175.5</v>
      </c>
      <c r="G34" s="128">
        <v>43</v>
      </c>
      <c r="H34" s="241">
        <v>50</v>
      </c>
      <c r="I34" s="126">
        <f t="shared" si="7"/>
        <v>97750</v>
      </c>
      <c r="J34" s="127"/>
      <c r="K34" s="126"/>
      <c r="L34" s="128"/>
      <c r="M34" s="126">
        <f t="shared" si="8"/>
        <v>7</v>
      </c>
      <c r="N34" s="129"/>
      <c r="O34" s="121"/>
      <c r="P34" s="122">
        <f t="shared" si="9"/>
        <v>0.14000000000000001</v>
      </c>
      <c r="Q34" s="135"/>
    </row>
    <row r="35" spans="1:19">
      <c r="A35" s="118"/>
      <c r="B35" s="124"/>
      <c r="C35" s="120" t="s">
        <v>268</v>
      </c>
      <c r="D35" s="125">
        <v>295</v>
      </c>
      <c r="E35" s="125">
        <f>409+3</f>
        <v>412</v>
      </c>
      <c r="F35" s="205">
        <f t="shared" si="6"/>
        <v>353.5</v>
      </c>
      <c r="G35" s="128">
        <v>26.5</v>
      </c>
      <c r="H35" s="241">
        <v>30</v>
      </c>
      <c r="I35" s="126">
        <f t="shared" si="7"/>
        <v>8850</v>
      </c>
      <c r="J35" s="127"/>
      <c r="K35" s="126">
        <f>SUM(I30:I35)</f>
        <v>219658.5</v>
      </c>
      <c r="L35" s="128"/>
      <c r="M35" s="126">
        <f t="shared" si="8"/>
        <v>3.5</v>
      </c>
      <c r="N35" s="129"/>
      <c r="O35" s="121"/>
      <c r="P35" s="122">
        <f t="shared" si="9"/>
        <v>0.1166666666666667</v>
      </c>
      <c r="Q35" s="135"/>
    </row>
    <row r="36" spans="1:19">
      <c r="A36" s="118"/>
      <c r="B36" s="124"/>
      <c r="C36" s="137"/>
      <c r="D36" s="125"/>
      <c r="E36" s="125"/>
      <c r="F36" s="205"/>
      <c r="G36" s="134"/>
      <c r="H36" s="242"/>
      <c r="I36" s="132"/>
      <c r="J36" s="133"/>
      <c r="K36" s="132"/>
      <c r="L36" s="134"/>
      <c r="M36" s="132"/>
      <c r="N36" s="129"/>
      <c r="O36" s="121"/>
      <c r="Q36" s="135"/>
    </row>
    <row r="37" spans="1:19" ht="15.75">
      <c r="A37" s="136" t="s">
        <v>270</v>
      </c>
      <c r="B37" s="124"/>
      <c r="C37" s="120"/>
      <c r="D37" s="125"/>
      <c r="E37" s="125"/>
      <c r="F37" s="205"/>
      <c r="G37" s="134"/>
      <c r="H37" s="242"/>
      <c r="I37" s="132"/>
      <c r="J37" s="133"/>
      <c r="K37" s="132"/>
      <c r="L37" s="134"/>
      <c r="M37" s="132"/>
      <c r="N37" s="129"/>
      <c r="O37" s="121"/>
      <c r="Q37" s="135"/>
    </row>
    <row r="38" spans="1:19" ht="15.75">
      <c r="A38" s="118"/>
      <c r="B38" s="130" t="s">
        <v>271</v>
      </c>
      <c r="C38" s="120"/>
      <c r="D38" s="131"/>
      <c r="E38" s="131"/>
      <c r="F38" s="206"/>
      <c r="G38" s="134"/>
      <c r="H38" s="242"/>
      <c r="I38" s="132"/>
      <c r="J38" s="133"/>
      <c r="K38" s="132"/>
      <c r="L38" s="134"/>
      <c r="M38" s="132"/>
      <c r="N38" s="129"/>
      <c r="O38" s="121"/>
    </row>
    <row r="39" spans="1:19">
      <c r="A39" s="118"/>
      <c r="B39" s="124"/>
      <c r="C39" s="120" t="s">
        <v>272</v>
      </c>
      <c r="D39" s="125">
        <v>13354</v>
      </c>
      <c r="E39" s="125">
        <f>7572+2773+1516+352</f>
        <v>12213</v>
      </c>
      <c r="F39" s="205">
        <f t="shared" ref="F39:F44" si="10">((D39+E39)/2)</f>
        <v>12783.5</v>
      </c>
      <c r="G39" s="128">
        <v>19.75</v>
      </c>
      <c r="H39" s="241">
        <v>22</v>
      </c>
      <c r="I39" s="126">
        <f t="shared" ref="I39:I44" si="11">H39*D39</f>
        <v>293788</v>
      </c>
      <c r="J39" s="127"/>
      <c r="K39" s="126"/>
      <c r="L39" s="128"/>
      <c r="M39" s="126">
        <f t="shared" ref="M39:M44" si="12">H39-G39</f>
        <v>2.25</v>
      </c>
      <c r="N39" s="129"/>
      <c r="O39" s="121"/>
      <c r="P39" s="122">
        <f t="shared" ref="P39:P44" si="13">1-(G39/H39)</f>
        <v>0.10227272727272729</v>
      </c>
      <c r="S39" s="140"/>
    </row>
    <row r="40" spans="1:19">
      <c r="A40" s="118"/>
      <c r="B40" s="124"/>
      <c r="C40" s="120" t="s">
        <v>273</v>
      </c>
      <c r="D40" s="125">
        <v>8978</v>
      </c>
      <c r="E40" s="125">
        <f>7380+1316+193</f>
        <v>8889</v>
      </c>
      <c r="F40" s="205">
        <f t="shared" si="10"/>
        <v>8933.5</v>
      </c>
      <c r="G40" s="128">
        <v>11.99</v>
      </c>
      <c r="H40" s="241">
        <v>13</v>
      </c>
      <c r="I40" s="126">
        <f t="shared" si="11"/>
        <v>116714</v>
      </c>
      <c r="J40" s="127"/>
      <c r="K40" s="126"/>
      <c r="L40" s="128"/>
      <c r="M40" s="126">
        <f t="shared" si="12"/>
        <v>1.0099999999999998</v>
      </c>
      <c r="N40" s="129"/>
      <c r="O40" s="121"/>
      <c r="P40" s="122">
        <f t="shared" si="13"/>
        <v>7.7692307692307727E-2</v>
      </c>
      <c r="S40" s="140"/>
    </row>
    <row r="41" spans="1:19">
      <c r="A41" s="118"/>
      <c r="B41" s="124"/>
      <c r="C41" s="120" t="s">
        <v>274</v>
      </c>
      <c r="D41" s="125">
        <v>134</v>
      </c>
      <c r="E41" s="125">
        <v>131</v>
      </c>
      <c r="F41" s="205">
        <f t="shared" si="10"/>
        <v>132.5</v>
      </c>
      <c r="G41" s="128">
        <v>158</v>
      </c>
      <c r="H41" s="241">
        <v>175</v>
      </c>
      <c r="I41" s="126">
        <f t="shared" si="11"/>
        <v>23450</v>
      </c>
      <c r="J41" s="127"/>
      <c r="K41" s="126"/>
      <c r="L41" s="128"/>
      <c r="M41" s="126">
        <f t="shared" si="12"/>
        <v>17</v>
      </c>
      <c r="N41" s="129"/>
      <c r="O41" s="121" t="s">
        <v>275</v>
      </c>
      <c r="P41" s="122">
        <f t="shared" si="13"/>
        <v>9.7142857142857197E-2</v>
      </c>
      <c r="S41" s="140"/>
    </row>
    <row r="42" spans="1:19">
      <c r="A42" s="118"/>
      <c r="B42" s="124"/>
      <c r="C42" s="120" t="s">
        <v>276</v>
      </c>
      <c r="D42" s="125">
        <v>174</v>
      </c>
      <c r="E42" s="125">
        <v>207</v>
      </c>
      <c r="F42" s="205">
        <f t="shared" si="10"/>
        <v>190.5</v>
      </c>
      <c r="G42" s="128">
        <v>96</v>
      </c>
      <c r="H42" s="241">
        <v>110</v>
      </c>
      <c r="I42" s="126">
        <f t="shared" si="11"/>
        <v>19140</v>
      </c>
      <c r="J42" s="127"/>
      <c r="K42" s="126"/>
      <c r="L42" s="128"/>
      <c r="M42" s="126">
        <f t="shared" si="12"/>
        <v>14</v>
      </c>
      <c r="N42" s="129"/>
      <c r="O42" s="121" t="s">
        <v>275</v>
      </c>
      <c r="P42" s="122">
        <f t="shared" si="13"/>
        <v>0.12727272727272732</v>
      </c>
    </row>
    <row r="43" spans="1:19">
      <c r="A43" s="118"/>
      <c r="B43" s="124"/>
      <c r="C43" s="120" t="s">
        <v>277</v>
      </c>
      <c r="D43" s="125">
        <v>8</v>
      </c>
      <c r="E43" s="125">
        <v>17</v>
      </c>
      <c r="F43" s="205">
        <f t="shared" si="10"/>
        <v>12.5</v>
      </c>
      <c r="G43" s="128">
        <v>6</v>
      </c>
      <c r="H43" s="241">
        <v>30</v>
      </c>
      <c r="I43" s="126">
        <f t="shared" si="11"/>
        <v>240</v>
      </c>
      <c r="J43" s="127"/>
      <c r="K43" s="126"/>
      <c r="L43" s="128"/>
      <c r="M43" s="126">
        <f t="shared" si="12"/>
        <v>24</v>
      </c>
      <c r="N43" s="129"/>
      <c r="O43" s="121"/>
      <c r="P43" s="122">
        <f t="shared" si="13"/>
        <v>0.8</v>
      </c>
    </row>
    <row r="44" spans="1:19">
      <c r="A44" s="118"/>
      <c r="B44" s="124"/>
      <c r="C44" s="120" t="s">
        <v>278</v>
      </c>
      <c r="D44" s="125">
        <v>12</v>
      </c>
      <c r="E44" s="125">
        <v>4</v>
      </c>
      <c r="F44" s="205">
        <f t="shared" si="10"/>
        <v>8</v>
      </c>
      <c r="G44" s="128">
        <v>4</v>
      </c>
      <c r="H44" s="241">
        <v>17</v>
      </c>
      <c r="I44" s="126">
        <f t="shared" si="11"/>
        <v>204</v>
      </c>
      <c r="J44" s="127"/>
      <c r="K44" s="126">
        <f>SUM(I39:I44)</f>
        <v>453536</v>
      </c>
      <c r="L44" s="128"/>
      <c r="M44" s="126">
        <f t="shared" si="12"/>
        <v>13</v>
      </c>
      <c r="N44" s="129"/>
      <c r="O44" s="121"/>
      <c r="P44" s="122">
        <f t="shared" si="13"/>
        <v>0.76470588235294112</v>
      </c>
    </row>
    <row r="45" spans="1:19" ht="15.75">
      <c r="A45" s="118"/>
      <c r="B45" s="130" t="s">
        <v>336</v>
      </c>
      <c r="C45" s="120"/>
      <c r="D45" s="131"/>
      <c r="E45" s="131"/>
      <c r="F45" s="206"/>
      <c r="G45" s="134"/>
      <c r="H45" s="242"/>
      <c r="I45" s="132"/>
      <c r="J45" s="133"/>
      <c r="K45" s="132"/>
      <c r="L45" s="134"/>
      <c r="M45" s="132"/>
      <c r="N45" s="129"/>
      <c r="O45" s="121"/>
    </row>
    <row r="46" spans="1:19">
      <c r="A46" s="118"/>
      <c r="B46" s="124"/>
      <c r="C46" s="120" t="s">
        <v>337</v>
      </c>
      <c r="D46" s="125">
        <v>1168</v>
      </c>
      <c r="E46" s="125">
        <v>1260</v>
      </c>
      <c r="F46" s="205">
        <f t="shared" ref="F46:F48" si="14">((D46+E46)/2)</f>
        <v>1214</v>
      </c>
      <c r="G46" s="128">
        <v>4</v>
      </c>
      <c r="H46" s="241">
        <v>6</v>
      </c>
      <c r="I46" s="126">
        <f t="shared" ref="I46:I49" si="15">H46*D46</f>
        <v>7008</v>
      </c>
      <c r="J46" s="127"/>
      <c r="K46" s="126"/>
      <c r="L46" s="128"/>
      <c r="M46" s="126">
        <f t="shared" ref="M46:M49" si="16">H46-G46</f>
        <v>2</v>
      </c>
      <c r="N46" s="129"/>
      <c r="O46" s="121"/>
      <c r="P46" s="122">
        <f t="shared" ref="P46:P49" si="17">1-(G46/H46)</f>
        <v>0.33333333333333337</v>
      </c>
      <c r="S46" s="140"/>
    </row>
    <row r="47" spans="1:19">
      <c r="A47" s="118"/>
      <c r="B47" s="124"/>
      <c r="C47" s="120" t="s">
        <v>338</v>
      </c>
      <c r="D47" s="125">
        <v>781</v>
      </c>
      <c r="E47" s="125">
        <v>917</v>
      </c>
      <c r="F47" s="205">
        <f t="shared" si="14"/>
        <v>849</v>
      </c>
      <c r="G47" s="128">
        <v>7</v>
      </c>
      <c r="H47" s="241">
        <v>11</v>
      </c>
      <c r="I47" s="126">
        <f t="shared" si="15"/>
        <v>8591</v>
      </c>
      <c r="J47" s="127"/>
      <c r="K47" s="126"/>
      <c r="L47" s="128"/>
      <c r="M47" s="126">
        <f t="shared" si="16"/>
        <v>4</v>
      </c>
      <c r="N47" s="129"/>
      <c r="O47" s="121"/>
      <c r="P47" s="122">
        <f t="shared" si="17"/>
        <v>0.36363636363636365</v>
      </c>
      <c r="S47" s="140"/>
    </row>
    <row r="48" spans="1:19">
      <c r="A48" s="118"/>
      <c r="B48" s="124"/>
      <c r="C48" s="120" t="s">
        <v>339</v>
      </c>
      <c r="D48" s="125">
        <v>616</v>
      </c>
      <c r="E48" s="125">
        <v>1416</v>
      </c>
      <c r="F48" s="205">
        <f t="shared" si="14"/>
        <v>1016</v>
      </c>
      <c r="G48" s="128">
        <v>5</v>
      </c>
      <c r="H48" s="241">
        <v>5</v>
      </c>
      <c r="I48" s="126">
        <f t="shared" si="15"/>
        <v>3080</v>
      </c>
      <c r="J48" s="127"/>
      <c r="K48" s="126"/>
      <c r="L48" s="128"/>
      <c r="M48" s="126">
        <f t="shared" si="16"/>
        <v>0</v>
      </c>
      <c r="N48" s="129"/>
      <c r="O48" s="121"/>
      <c r="P48" s="122">
        <f t="shared" si="17"/>
        <v>0</v>
      </c>
      <c r="S48" s="140"/>
    </row>
    <row r="49" spans="1:17">
      <c r="A49" s="118"/>
      <c r="B49" s="124"/>
      <c r="C49" s="120" t="s">
        <v>340</v>
      </c>
      <c r="D49" s="125">
        <v>7</v>
      </c>
      <c r="E49" s="125" t="s">
        <v>258</v>
      </c>
      <c r="F49" s="205">
        <v>7</v>
      </c>
      <c r="G49" s="128">
        <v>300</v>
      </c>
      <c r="H49" s="241">
        <v>325</v>
      </c>
      <c r="I49" s="126">
        <f t="shared" si="15"/>
        <v>2275</v>
      </c>
      <c r="J49" s="127"/>
      <c r="K49" s="126">
        <f>SUM(I46:I49)</f>
        <v>20954</v>
      </c>
      <c r="L49" s="128"/>
      <c r="M49" s="126">
        <f t="shared" si="16"/>
        <v>25</v>
      </c>
      <c r="N49" s="129"/>
      <c r="O49" s="121" t="s">
        <v>341</v>
      </c>
      <c r="P49" s="122">
        <f t="shared" si="17"/>
        <v>7.6923076923076872E-2</v>
      </c>
    </row>
    <row r="50" spans="1:17" ht="20.25" customHeight="1">
      <c r="A50" s="118"/>
      <c r="B50" s="130" t="s">
        <v>279</v>
      </c>
      <c r="C50" s="120"/>
      <c r="D50" s="131"/>
      <c r="E50" s="131"/>
      <c r="F50" s="206"/>
      <c r="G50" s="200"/>
      <c r="H50" s="243"/>
      <c r="I50" s="141"/>
      <c r="J50" s="142"/>
      <c r="K50" s="141"/>
      <c r="L50" s="143"/>
      <c r="M50" s="141"/>
      <c r="N50" s="129"/>
      <c r="O50" s="121"/>
    </row>
    <row r="51" spans="1:17" s="155" customFormat="1">
      <c r="A51" s="144"/>
      <c r="B51" s="145"/>
      <c r="C51" s="146" t="s">
        <v>280</v>
      </c>
      <c r="D51" s="147">
        <v>374</v>
      </c>
      <c r="E51" s="147">
        <v>198</v>
      </c>
      <c r="F51" s="205">
        <f t="shared" ref="F51:F53" si="18">((D51+E51)/2)</f>
        <v>286</v>
      </c>
      <c r="G51" s="150">
        <v>59</v>
      </c>
      <c r="H51" s="241">
        <v>65</v>
      </c>
      <c r="I51" s="148">
        <f>H51*D51</f>
        <v>24310</v>
      </c>
      <c r="J51" s="149"/>
      <c r="K51" s="148"/>
      <c r="L51" s="150"/>
      <c r="M51" s="148">
        <f>H51-G51</f>
        <v>6</v>
      </c>
      <c r="N51" s="151"/>
      <c r="O51" s="152" t="s">
        <v>281</v>
      </c>
      <c r="P51" s="153"/>
      <c r="Q51" s="154"/>
    </row>
    <row r="52" spans="1:17" s="155" customFormat="1">
      <c r="A52" s="144"/>
      <c r="B52" s="145"/>
      <c r="C52" s="146" t="s">
        <v>282</v>
      </c>
      <c r="D52" s="147">
        <v>1406</v>
      </c>
      <c r="E52" s="147">
        <v>1318</v>
      </c>
      <c r="F52" s="205">
        <f t="shared" si="18"/>
        <v>1362</v>
      </c>
      <c r="G52" s="150">
        <v>55</v>
      </c>
      <c r="H52" s="241">
        <v>60</v>
      </c>
      <c r="I52" s="148">
        <f>H52*D52</f>
        <v>84360</v>
      </c>
      <c r="J52" s="149"/>
      <c r="K52" s="148"/>
      <c r="L52" s="150"/>
      <c r="M52" s="148">
        <f>H52-G52</f>
        <v>5</v>
      </c>
      <c r="N52" s="151"/>
      <c r="O52" s="152" t="s">
        <v>281</v>
      </c>
      <c r="P52" s="153"/>
      <c r="Q52" s="154"/>
    </row>
    <row r="53" spans="1:17" s="155" customFormat="1">
      <c r="A53" s="144"/>
      <c r="B53" s="145"/>
      <c r="C53" s="156" t="s">
        <v>283</v>
      </c>
      <c r="D53" s="147">
        <v>136</v>
      </c>
      <c r="E53" s="147">
        <v>152</v>
      </c>
      <c r="F53" s="205">
        <f t="shared" si="18"/>
        <v>144</v>
      </c>
      <c r="G53" s="150">
        <v>36.5</v>
      </c>
      <c r="H53" s="241">
        <v>45</v>
      </c>
      <c r="I53" s="148">
        <f>(H53*D53)-D53*5</f>
        <v>5440</v>
      </c>
      <c r="J53" s="149"/>
      <c r="K53" s="148">
        <f>SUM(I51:I53)</f>
        <v>114110</v>
      </c>
      <c r="L53" s="150"/>
      <c r="M53" s="148">
        <f>H53-G53</f>
        <v>8.5</v>
      </c>
      <c r="N53" s="151"/>
      <c r="O53" s="152" t="s">
        <v>284</v>
      </c>
      <c r="P53" s="153"/>
      <c r="Q53" s="154"/>
    </row>
    <row r="54" spans="1:17" ht="19.5" customHeight="1">
      <c r="A54" s="118"/>
      <c r="B54" s="130" t="s">
        <v>285</v>
      </c>
      <c r="C54" s="120"/>
      <c r="D54" s="131"/>
      <c r="E54" s="131"/>
      <c r="F54" s="206"/>
      <c r="G54" s="200"/>
      <c r="H54" s="243"/>
      <c r="I54" s="141"/>
      <c r="J54" s="142"/>
      <c r="K54" s="141"/>
      <c r="L54" s="143"/>
      <c r="M54" s="141"/>
      <c r="N54" s="129"/>
      <c r="O54" s="121"/>
    </row>
    <row r="55" spans="1:17">
      <c r="A55" s="118"/>
      <c r="B55" s="124"/>
      <c r="C55" s="120" t="s">
        <v>286</v>
      </c>
      <c r="D55" s="125">
        <v>135</v>
      </c>
      <c r="E55" s="125">
        <v>63</v>
      </c>
      <c r="F55" s="205">
        <f t="shared" ref="F55:F56" si="19">((D55+E55)/2)</f>
        <v>99</v>
      </c>
      <c r="G55" s="128">
        <v>25</v>
      </c>
      <c r="H55" s="241">
        <v>30</v>
      </c>
      <c r="I55" s="126">
        <f>H55*D55</f>
        <v>4050</v>
      </c>
      <c r="J55" s="127"/>
      <c r="K55" s="126"/>
      <c r="L55" s="128"/>
      <c r="M55" s="126">
        <f>H55-G55</f>
        <v>5</v>
      </c>
      <c r="N55" s="129"/>
      <c r="O55" s="121" t="s">
        <v>253</v>
      </c>
      <c r="P55" s="122">
        <f>1-(G55/H55)</f>
        <v>0.16666666666666663</v>
      </c>
    </row>
    <row r="56" spans="1:17">
      <c r="A56" s="118"/>
      <c r="B56" s="124"/>
      <c r="C56" s="120" t="s">
        <v>287</v>
      </c>
      <c r="D56" s="125">
        <v>437</v>
      </c>
      <c r="E56" s="125">
        <v>30</v>
      </c>
      <c r="F56" s="205">
        <f t="shared" si="19"/>
        <v>233.5</v>
      </c>
      <c r="G56" s="128">
        <v>15</v>
      </c>
      <c r="H56" s="241">
        <v>18</v>
      </c>
      <c r="I56" s="126">
        <f>H56*D56</f>
        <v>7866</v>
      </c>
      <c r="J56" s="127"/>
      <c r="K56" s="126">
        <f>SUM(I55:I56)</f>
        <v>11916</v>
      </c>
      <c r="L56" s="128"/>
      <c r="M56" s="126">
        <f>H56-G56</f>
        <v>3</v>
      </c>
      <c r="N56" s="129"/>
      <c r="O56" s="121" t="s">
        <v>253</v>
      </c>
      <c r="P56" s="122">
        <f>1-(G56/H56)</f>
        <v>0.16666666666666663</v>
      </c>
    </row>
    <row r="57" spans="1:17" hidden="1">
      <c r="A57" s="118"/>
      <c r="B57" s="124"/>
      <c r="C57" s="120" t="s">
        <v>288</v>
      </c>
      <c r="D57" s="125"/>
      <c r="E57" s="125"/>
      <c r="F57" s="205"/>
      <c r="G57" s="201"/>
      <c r="H57" s="244"/>
      <c r="I57" s="157"/>
      <c r="J57" s="158"/>
      <c r="K57" s="157"/>
      <c r="L57" s="159"/>
      <c r="M57" s="157"/>
      <c r="N57" s="129"/>
      <c r="O57" s="121" t="s">
        <v>289</v>
      </c>
      <c r="P57" s="122" t="e">
        <f>1-(G57/H57)</f>
        <v>#DIV/0!</v>
      </c>
    </row>
    <row r="58" spans="1:17" hidden="1">
      <c r="A58" s="118"/>
      <c r="B58" s="124"/>
      <c r="C58" s="120" t="s">
        <v>290</v>
      </c>
      <c r="D58" s="125"/>
      <c r="E58" s="125">
        <v>961</v>
      </c>
      <c r="F58" s="205"/>
      <c r="G58" s="201"/>
      <c r="H58" s="244"/>
      <c r="I58" s="157"/>
      <c r="J58" s="158"/>
      <c r="K58" s="157"/>
      <c r="L58" s="159"/>
      <c r="M58" s="157"/>
      <c r="N58" s="129"/>
      <c r="O58" s="121" t="s">
        <v>289</v>
      </c>
      <c r="P58" s="122" t="e">
        <f>1-(G58/H58)</f>
        <v>#DIV/0!</v>
      </c>
    </row>
    <row r="59" spans="1:17" ht="15.75">
      <c r="A59" s="118"/>
      <c r="B59" s="130" t="s">
        <v>291</v>
      </c>
      <c r="C59" s="137"/>
      <c r="D59" s="125"/>
      <c r="E59" s="125"/>
      <c r="F59" s="205"/>
      <c r="G59" s="201"/>
      <c r="H59" s="244"/>
      <c r="I59" s="157"/>
      <c r="J59" s="158"/>
      <c r="K59" s="157"/>
      <c r="L59" s="159"/>
      <c r="M59" s="157"/>
      <c r="N59" s="137"/>
      <c r="O59" s="121"/>
    </row>
    <row r="60" spans="1:17">
      <c r="A60" s="118"/>
      <c r="B60" s="124"/>
      <c r="C60" s="120" t="s">
        <v>292</v>
      </c>
      <c r="D60" s="125">
        <v>750</v>
      </c>
      <c r="E60" s="125">
        <v>961</v>
      </c>
      <c r="F60" s="205">
        <f t="shared" ref="F60:F63" si="20">((D60+E60)/2)</f>
        <v>855.5</v>
      </c>
      <c r="G60" s="128">
        <v>17.5</v>
      </c>
      <c r="H60" s="241">
        <v>20</v>
      </c>
      <c r="I60" s="126">
        <f>H60*D60</f>
        <v>15000</v>
      </c>
      <c r="J60" s="127"/>
      <c r="K60" s="126"/>
      <c r="L60" s="128"/>
      <c r="M60" s="126">
        <f>H60-G60</f>
        <v>2.5</v>
      </c>
      <c r="N60" s="129"/>
      <c r="O60" s="121"/>
      <c r="P60" s="122">
        <f>1-(G60/H60)</f>
        <v>0.125</v>
      </c>
    </row>
    <row r="61" spans="1:17">
      <c r="A61" s="118"/>
      <c r="B61" s="124"/>
      <c r="C61" s="120" t="s">
        <v>293</v>
      </c>
      <c r="D61" s="125">
        <v>280</v>
      </c>
      <c r="E61" s="125">
        <v>201</v>
      </c>
      <c r="F61" s="205">
        <f t="shared" si="20"/>
        <v>240.5</v>
      </c>
      <c r="G61" s="128">
        <v>14.5</v>
      </c>
      <c r="H61" s="241">
        <v>18</v>
      </c>
      <c r="I61" s="126">
        <f>H61*D61</f>
        <v>5040</v>
      </c>
      <c r="J61" s="127"/>
      <c r="K61" s="126"/>
      <c r="L61" s="128"/>
      <c r="M61" s="126">
        <f>H61-G61</f>
        <v>3.5</v>
      </c>
      <c r="N61" s="129"/>
      <c r="O61" s="121"/>
      <c r="P61" s="122">
        <f>1-(G61/H61)</f>
        <v>0.19444444444444442</v>
      </c>
    </row>
    <row r="62" spans="1:17">
      <c r="A62" s="118"/>
      <c r="B62" s="124"/>
      <c r="C62" s="120" t="s">
        <v>294</v>
      </c>
      <c r="D62" s="125">
        <v>1358</v>
      </c>
      <c r="E62" s="125">
        <v>2093</v>
      </c>
      <c r="F62" s="205">
        <f t="shared" si="20"/>
        <v>1725.5</v>
      </c>
      <c r="G62" s="128">
        <v>20</v>
      </c>
      <c r="H62" s="241">
        <v>25</v>
      </c>
      <c r="I62" s="126">
        <f>H62*D62</f>
        <v>33950</v>
      </c>
      <c r="J62" s="127"/>
      <c r="K62" s="126"/>
      <c r="L62" s="128"/>
      <c r="M62" s="126">
        <f>H62-G62</f>
        <v>5</v>
      </c>
      <c r="N62" s="129"/>
      <c r="O62" s="121"/>
      <c r="P62" s="122">
        <f>1-(G62/H62)</f>
        <v>0.19999999999999996</v>
      </c>
    </row>
    <row r="63" spans="1:17">
      <c r="A63" s="118"/>
      <c r="B63" s="124"/>
      <c r="C63" s="120" t="s">
        <v>295</v>
      </c>
      <c r="D63" s="125">
        <v>1640</v>
      </c>
      <c r="E63" s="125">
        <v>1153</v>
      </c>
      <c r="F63" s="205">
        <f t="shared" si="20"/>
        <v>1396.5</v>
      </c>
      <c r="G63" s="128">
        <v>16</v>
      </c>
      <c r="H63" s="241">
        <v>22</v>
      </c>
      <c r="I63" s="126">
        <f>H63*D63</f>
        <v>36080</v>
      </c>
      <c r="J63" s="127"/>
      <c r="K63" s="126">
        <f>SUM(I60:I63)</f>
        <v>90070</v>
      </c>
      <c r="L63" s="128"/>
      <c r="M63" s="126">
        <f>H63-G63</f>
        <v>6</v>
      </c>
      <c r="N63" s="129"/>
      <c r="O63" s="121"/>
      <c r="P63" s="122">
        <f>1-(G63/H63)</f>
        <v>0.27272727272727271</v>
      </c>
    </row>
    <row r="64" spans="1:17" ht="15.75">
      <c r="A64" s="118"/>
      <c r="B64" s="130" t="s">
        <v>296</v>
      </c>
      <c r="C64" s="138"/>
      <c r="D64" s="125"/>
      <c r="E64" s="125"/>
      <c r="F64" s="205"/>
      <c r="G64" s="134"/>
      <c r="H64" s="242"/>
      <c r="I64" s="132"/>
      <c r="J64" s="133"/>
      <c r="K64" s="132"/>
      <c r="L64" s="134"/>
      <c r="M64" s="132"/>
      <c r="N64" s="120"/>
      <c r="O64" s="121"/>
    </row>
    <row r="65" spans="1:17" s="155" customFormat="1" ht="15" customHeight="1">
      <c r="A65" s="144"/>
      <c r="B65" s="145"/>
      <c r="C65" s="146" t="s">
        <v>297</v>
      </c>
      <c r="D65" s="147">
        <v>3126</v>
      </c>
      <c r="E65" s="147">
        <f>2497+206</f>
        <v>2703</v>
      </c>
      <c r="F65" s="205">
        <f t="shared" ref="F65:F66" si="21">((D65+E65)/2)</f>
        <v>2914.5</v>
      </c>
      <c r="G65" s="150">
        <v>26</v>
      </c>
      <c r="H65" s="241">
        <v>30</v>
      </c>
      <c r="I65" s="148">
        <f>H65*D65</f>
        <v>93780</v>
      </c>
      <c r="J65" s="149"/>
      <c r="K65" s="148"/>
      <c r="L65" s="150"/>
      <c r="M65" s="148">
        <f>H65-G65</f>
        <v>4</v>
      </c>
      <c r="N65" s="151"/>
      <c r="O65" s="256" t="s">
        <v>298</v>
      </c>
      <c r="P65" s="153">
        <f>1-(G65/H65)</f>
        <v>0.1333333333333333</v>
      </c>
      <c r="Q65" s="154"/>
    </row>
    <row r="66" spans="1:17">
      <c r="A66" s="118"/>
      <c r="B66" s="124"/>
      <c r="C66" s="120" t="s">
        <v>299</v>
      </c>
      <c r="D66" s="110">
        <v>3220</v>
      </c>
      <c r="E66" s="110">
        <f>282+103</f>
        <v>385</v>
      </c>
      <c r="F66" s="205">
        <f t="shared" si="21"/>
        <v>1802.5</v>
      </c>
      <c r="G66" s="128">
        <v>26.5</v>
      </c>
      <c r="H66" s="241">
        <v>30</v>
      </c>
      <c r="I66" s="126">
        <f>H66*D66</f>
        <v>96600</v>
      </c>
      <c r="J66" s="127"/>
      <c r="K66" s="126"/>
      <c r="L66" s="128"/>
      <c r="M66" s="126">
        <f>H66-G66</f>
        <v>3.5</v>
      </c>
      <c r="N66" s="129"/>
      <c r="O66" s="256"/>
      <c r="P66" s="122">
        <f>1-(G66/H66)</f>
        <v>0.1166666666666667</v>
      </c>
    </row>
    <row r="67" spans="1:17">
      <c r="A67" s="118"/>
      <c r="B67" s="124"/>
      <c r="C67" s="120" t="s">
        <v>300</v>
      </c>
      <c r="D67" s="110"/>
      <c r="E67" s="110"/>
      <c r="F67" s="205"/>
      <c r="G67" s="134"/>
      <c r="H67" s="242"/>
      <c r="I67" s="126"/>
      <c r="J67" s="127"/>
      <c r="K67" s="126"/>
      <c r="L67" s="128"/>
      <c r="M67" s="126">
        <v>1</v>
      </c>
      <c r="N67" s="129"/>
      <c r="O67" s="121"/>
    </row>
    <row r="68" spans="1:17">
      <c r="A68" s="118"/>
      <c r="B68" s="124"/>
      <c r="C68" s="120" t="s">
        <v>301</v>
      </c>
      <c r="D68" s="110"/>
      <c r="E68" s="110"/>
      <c r="F68" s="205"/>
      <c r="G68" s="134"/>
      <c r="H68" s="242"/>
      <c r="I68" s="126"/>
      <c r="J68" s="127"/>
      <c r="K68" s="126"/>
      <c r="L68" s="128"/>
      <c r="M68" s="126">
        <f>H68-G68</f>
        <v>0</v>
      </c>
      <c r="N68" s="129"/>
      <c r="O68" s="121"/>
    </row>
    <row r="69" spans="1:17">
      <c r="A69" s="118"/>
      <c r="B69" s="124"/>
      <c r="C69" s="120" t="s">
        <v>302</v>
      </c>
      <c r="D69" s="125">
        <v>1140</v>
      </c>
      <c r="E69" s="125">
        <f>952+369+73+5</f>
        <v>1399</v>
      </c>
      <c r="F69" s="205">
        <f t="shared" ref="F69:F71" si="22">((D69+E69)/2)</f>
        <v>1269.5</v>
      </c>
      <c r="G69" s="128">
        <v>21.5</v>
      </c>
      <c r="H69" s="241">
        <v>25</v>
      </c>
      <c r="I69" s="126">
        <f>H69*D69</f>
        <v>28500</v>
      </c>
      <c r="J69" s="127"/>
      <c r="K69" s="126"/>
      <c r="L69" s="128"/>
      <c r="M69" s="126">
        <f>H69-G69</f>
        <v>3.5</v>
      </c>
      <c r="N69" s="129"/>
      <c r="O69" s="160" t="s">
        <v>365</v>
      </c>
      <c r="P69" s="122">
        <f>1-(G69/H69)</f>
        <v>0.14000000000000001</v>
      </c>
      <c r="Q69" s="161"/>
    </row>
    <row r="70" spans="1:17">
      <c r="A70" s="118"/>
      <c r="B70" s="124"/>
      <c r="C70" s="120" t="s">
        <v>303</v>
      </c>
      <c r="D70" s="125">
        <v>678</v>
      </c>
      <c r="E70" s="125">
        <f>373+246</f>
        <v>619</v>
      </c>
      <c r="F70" s="205">
        <f t="shared" si="22"/>
        <v>648.5</v>
      </c>
      <c r="G70" s="128">
        <v>17</v>
      </c>
      <c r="H70" s="241">
        <v>20</v>
      </c>
      <c r="I70" s="126">
        <f>H70*D70</f>
        <v>13560</v>
      </c>
      <c r="J70" s="127"/>
      <c r="K70" s="126"/>
      <c r="L70" s="128"/>
      <c r="M70" s="126">
        <f>H70-G70</f>
        <v>3</v>
      </c>
      <c r="N70" s="129"/>
      <c r="O70" s="256" t="s">
        <v>304</v>
      </c>
      <c r="P70" s="122">
        <f>1-(G70/H70)</f>
        <v>0.15000000000000002</v>
      </c>
      <c r="Q70" s="161"/>
    </row>
    <row r="71" spans="1:17">
      <c r="A71" s="118"/>
      <c r="B71" s="124"/>
      <c r="C71" s="120" t="s">
        <v>305</v>
      </c>
      <c r="D71" s="125">
        <v>2453</v>
      </c>
      <c r="E71" s="125">
        <f>643+1052</f>
        <v>1695</v>
      </c>
      <c r="F71" s="205">
        <f t="shared" si="22"/>
        <v>2074</v>
      </c>
      <c r="G71" s="128">
        <v>11</v>
      </c>
      <c r="H71" s="241">
        <v>13</v>
      </c>
      <c r="I71" s="126">
        <f>H71*D71</f>
        <v>31889</v>
      </c>
      <c r="J71" s="127"/>
      <c r="K71" s="126">
        <f>SUM(I65:I71)</f>
        <v>264329</v>
      </c>
      <c r="L71" s="128"/>
      <c r="M71" s="126">
        <f>H71-G71</f>
        <v>2</v>
      </c>
      <c r="N71" s="129"/>
      <c r="O71" s="256"/>
      <c r="P71" s="122">
        <f>1-(G71/H71)</f>
        <v>0.15384615384615385</v>
      </c>
      <c r="Q71" s="161"/>
    </row>
    <row r="72" spans="1:17" ht="15.75">
      <c r="A72" s="118"/>
      <c r="B72" s="124"/>
      <c r="C72" s="120"/>
      <c r="D72" s="162"/>
      <c r="E72" s="162"/>
      <c r="F72" s="207"/>
      <c r="G72" s="202"/>
      <c r="H72" s="249"/>
      <c r="I72" s="163"/>
      <c r="J72" s="164"/>
      <c r="K72" s="163"/>
      <c r="L72" s="165"/>
      <c r="M72" s="163"/>
      <c r="N72" s="129"/>
      <c r="O72" s="121"/>
    </row>
    <row r="73" spans="1:17" ht="18.75" customHeight="1" thickBot="1">
      <c r="A73" s="91"/>
      <c r="D73" s="166"/>
      <c r="E73" s="166"/>
      <c r="H73" s="247" t="s">
        <v>364</v>
      </c>
      <c r="I73" s="168">
        <f>SUM(I6:I72)</f>
        <v>1522088.5</v>
      </c>
      <c r="J73" s="169"/>
      <c r="K73" s="168">
        <f>SUM(K6:K72)</f>
        <v>1522088.5</v>
      </c>
      <c r="L73" s="170"/>
      <c r="M73" s="170"/>
      <c r="N73" s="170"/>
      <c r="O73" s="93"/>
    </row>
    <row r="74" spans="1:17" ht="8.25" customHeight="1" thickTop="1">
      <c r="A74" s="171"/>
      <c r="B74" s="172"/>
      <c r="C74" s="95"/>
      <c r="D74" s="173"/>
      <c r="E74" s="173"/>
      <c r="F74" s="174"/>
      <c r="G74" s="175"/>
      <c r="I74" s="140"/>
      <c r="J74" s="140"/>
      <c r="K74" s="176"/>
      <c r="L74" s="176"/>
      <c r="M74" s="176"/>
      <c r="O74" s="93"/>
    </row>
    <row r="75" spans="1:17">
      <c r="A75" s="171"/>
      <c r="G75" s="177" t="s">
        <v>306</v>
      </c>
      <c r="I75" s="135">
        <f>K71+K63+K56+K53+K35+K20</f>
        <v>837823.5</v>
      </c>
      <c r="O75" s="93"/>
    </row>
    <row r="76" spans="1:17">
      <c r="A76" s="171"/>
      <c r="C76" s="257"/>
      <c r="D76" s="257"/>
      <c r="E76" s="178"/>
      <c r="G76" s="177" t="s">
        <v>307</v>
      </c>
      <c r="I76" s="135">
        <f>K13+K28</f>
        <v>209775</v>
      </c>
      <c r="J76" s="135"/>
      <c r="O76" s="93"/>
    </row>
    <row r="77" spans="1:17">
      <c r="A77" s="171"/>
      <c r="C77" s="257"/>
      <c r="D77" s="257"/>
      <c r="E77" s="178"/>
      <c r="G77" s="177" t="s">
        <v>308</v>
      </c>
      <c r="I77" s="135">
        <f>K44</f>
        <v>453536</v>
      </c>
      <c r="J77" s="135"/>
      <c r="O77" s="93"/>
    </row>
    <row r="78" spans="1:17">
      <c r="A78" s="171"/>
      <c r="C78" s="257"/>
      <c r="D78" s="257"/>
      <c r="E78" s="178"/>
      <c r="G78" s="177" t="s">
        <v>342</v>
      </c>
      <c r="I78" s="135">
        <v>25000</v>
      </c>
      <c r="J78" s="135"/>
      <c r="O78" s="93"/>
    </row>
    <row r="79" spans="1:17" ht="18" customHeight="1">
      <c r="A79" s="171"/>
      <c r="G79" s="175" t="s">
        <v>248</v>
      </c>
      <c r="I79" s="179">
        <f>SUM(I75:I78)</f>
        <v>1526134.5</v>
      </c>
      <c r="J79" s="135"/>
      <c r="O79" s="93"/>
    </row>
    <row r="80" spans="1:17" ht="18" customHeight="1">
      <c r="A80" s="171"/>
      <c r="C80" s="155"/>
      <c r="D80" s="95"/>
      <c r="E80" s="95"/>
      <c r="G80" s="175" t="s">
        <v>309</v>
      </c>
      <c r="I80" s="135">
        <v>47600</v>
      </c>
      <c r="J80" s="135"/>
      <c r="O80" s="93"/>
    </row>
    <row r="81" spans="1:18" ht="18" customHeight="1" thickBot="1">
      <c r="A81" s="171"/>
      <c r="C81" s="155"/>
      <c r="D81" s="95"/>
      <c r="E81" s="95"/>
      <c r="G81" s="175" t="s">
        <v>310</v>
      </c>
      <c r="I81" s="180">
        <f>SUM(I79:I80)</f>
        <v>1573734.5</v>
      </c>
      <c r="J81" s="135"/>
      <c r="O81" s="93"/>
    </row>
    <row r="82" spans="1:18" ht="9.75" customHeight="1" thickTop="1">
      <c r="A82" s="171"/>
      <c r="G82" s="175"/>
      <c r="I82" s="135"/>
      <c r="J82" s="135"/>
      <c r="O82" s="93"/>
    </row>
    <row r="83" spans="1:18">
      <c r="A83" s="171"/>
      <c r="G83" s="175" t="s">
        <v>311</v>
      </c>
      <c r="I83" s="135">
        <v>1525000</v>
      </c>
      <c r="J83" s="135"/>
      <c r="O83" s="93"/>
    </row>
    <row r="84" spans="1:18" ht="7.5" customHeight="1">
      <c r="A84" s="171"/>
      <c r="G84" s="175"/>
      <c r="I84" s="135"/>
      <c r="J84" s="135"/>
      <c r="O84" s="93"/>
    </row>
    <row r="85" spans="1:18" s="123" customFormat="1">
      <c r="A85" s="171"/>
      <c r="B85" s="90"/>
      <c r="C85" s="90"/>
      <c r="D85" s="167"/>
      <c r="E85" s="167"/>
      <c r="F85" s="167"/>
      <c r="G85" s="175" t="s">
        <v>0</v>
      </c>
      <c r="H85" s="250"/>
      <c r="I85" s="135">
        <f>I81-I83</f>
        <v>48734.5</v>
      </c>
      <c r="J85" s="135"/>
      <c r="K85" s="167"/>
      <c r="L85" s="167"/>
      <c r="O85" s="181"/>
      <c r="P85" s="122"/>
      <c r="R85" s="90"/>
    </row>
    <row r="86" spans="1:18" s="123" customFormat="1">
      <c r="A86" s="171"/>
      <c r="B86" s="90"/>
      <c r="C86" s="90"/>
      <c r="D86" s="167"/>
      <c r="E86" s="167"/>
      <c r="F86" s="167"/>
      <c r="G86" s="95"/>
      <c r="H86" s="250"/>
      <c r="I86" s="135"/>
      <c r="J86" s="135"/>
      <c r="K86" s="167"/>
      <c r="L86" s="167"/>
      <c r="M86" s="175"/>
      <c r="O86" s="93"/>
      <c r="P86" s="122"/>
      <c r="R86" s="90"/>
    </row>
    <row r="87" spans="1:18" ht="19.5" customHeight="1">
      <c r="A87" s="182" t="s">
        <v>312</v>
      </c>
      <c r="B87" s="183"/>
      <c r="C87" s="183"/>
      <c r="D87" s="184"/>
      <c r="E87" s="184"/>
      <c r="F87" s="184"/>
      <c r="G87" s="185"/>
      <c r="H87" s="251"/>
      <c r="I87" s="185"/>
      <c r="J87" s="185"/>
      <c r="K87" s="185"/>
      <c r="L87" s="185"/>
      <c r="M87" s="185"/>
      <c r="N87" s="185"/>
      <c r="O87" s="186"/>
      <c r="P87" s="94"/>
      <c r="Q87" s="90"/>
    </row>
    <row r="88" spans="1:18">
      <c r="A88" s="187" t="s">
        <v>313</v>
      </c>
      <c r="B88" s="258" t="s">
        <v>314</v>
      </c>
      <c r="C88" s="258"/>
      <c r="D88" s="258"/>
      <c r="E88" s="258"/>
      <c r="F88" s="258"/>
      <c r="G88" s="258"/>
      <c r="H88" s="258"/>
      <c r="I88" s="258"/>
      <c r="J88" s="258"/>
      <c r="K88" s="258"/>
      <c r="L88" s="258"/>
      <c r="M88" s="258"/>
      <c r="N88" s="258"/>
      <c r="O88" s="259"/>
      <c r="P88" s="94"/>
      <c r="Q88" s="90"/>
    </row>
    <row r="89" spans="1:18" ht="15.95" customHeight="1">
      <c r="A89" s="187" t="s">
        <v>315</v>
      </c>
      <c r="B89" s="260" t="s">
        <v>316</v>
      </c>
      <c r="C89" s="260"/>
      <c r="D89" s="260"/>
      <c r="E89" s="260"/>
      <c r="F89" s="260"/>
      <c r="G89" s="260"/>
      <c r="H89" s="260"/>
      <c r="I89" s="260"/>
      <c r="J89" s="260"/>
      <c r="K89" s="260"/>
      <c r="L89" s="260"/>
      <c r="M89" s="260"/>
      <c r="N89" s="260"/>
      <c r="O89" s="261"/>
      <c r="P89" s="94"/>
      <c r="Q89" s="90"/>
    </row>
    <row r="90" spans="1:18" ht="15.75" customHeight="1">
      <c r="A90" s="188" t="s">
        <v>317</v>
      </c>
      <c r="B90" s="258" t="s">
        <v>318</v>
      </c>
      <c r="C90" s="258"/>
      <c r="D90" s="258"/>
      <c r="E90" s="258"/>
      <c r="F90" s="258"/>
      <c r="G90" s="258"/>
      <c r="H90" s="258"/>
      <c r="I90" s="258"/>
      <c r="J90" s="258"/>
      <c r="K90" s="258"/>
      <c r="L90" s="258"/>
      <c r="M90" s="258"/>
      <c r="N90" s="258"/>
      <c r="O90" s="259"/>
      <c r="P90" s="94"/>
      <c r="Q90" s="90"/>
    </row>
    <row r="91" spans="1:18" ht="15.95" customHeight="1">
      <c r="A91" s="187" t="s">
        <v>319</v>
      </c>
      <c r="B91" s="189" t="s">
        <v>320</v>
      </c>
      <c r="D91" s="89"/>
      <c r="E91" s="89"/>
      <c r="F91" s="89"/>
      <c r="G91" s="90"/>
      <c r="H91" s="252"/>
      <c r="I91" s="90"/>
      <c r="J91" s="90"/>
      <c r="K91" s="90"/>
      <c r="L91" s="90"/>
      <c r="M91" s="190"/>
      <c r="N91" s="90"/>
      <c r="O91" s="93"/>
      <c r="P91" s="94"/>
      <c r="Q91" s="90"/>
    </row>
    <row r="92" spans="1:18" ht="15.95" customHeight="1">
      <c r="A92" s="187" t="s">
        <v>321</v>
      </c>
      <c r="B92" s="254" t="s">
        <v>322</v>
      </c>
      <c r="C92" s="254"/>
      <c r="D92" s="254"/>
      <c r="E92" s="254"/>
      <c r="F92" s="254"/>
      <c r="G92" s="254"/>
      <c r="H92" s="254"/>
      <c r="I92" s="254"/>
      <c r="J92" s="254"/>
      <c r="K92" s="254"/>
      <c r="L92" s="254"/>
      <c r="M92" s="254"/>
      <c r="N92" s="254"/>
      <c r="O92" s="255"/>
      <c r="P92" s="94"/>
      <c r="Q92" s="90"/>
    </row>
    <row r="93" spans="1:18" ht="15.95" customHeight="1">
      <c r="A93" s="187" t="s">
        <v>323</v>
      </c>
      <c r="B93" s="192" t="s">
        <v>324</v>
      </c>
      <c r="C93" s="155"/>
      <c r="D93" s="193"/>
      <c r="E93" s="193"/>
      <c r="F93" s="193"/>
      <c r="G93" s="191"/>
      <c r="H93" s="252"/>
      <c r="I93" s="90"/>
      <c r="J93" s="90"/>
      <c r="K93" s="90"/>
      <c r="L93" s="90"/>
      <c r="M93" s="90"/>
      <c r="N93" s="90"/>
      <c r="O93" s="93"/>
      <c r="P93" s="94"/>
      <c r="Q93" s="90"/>
    </row>
    <row r="94" spans="1:18" ht="15.95" customHeight="1">
      <c r="A94" s="187" t="s">
        <v>325</v>
      </c>
      <c r="B94" s="192" t="s">
        <v>326</v>
      </c>
      <c r="C94" s="155"/>
      <c r="D94" s="194"/>
      <c r="E94" s="194"/>
      <c r="F94" s="194"/>
      <c r="G94" s="155"/>
      <c r="H94" s="252"/>
      <c r="I94" s="90"/>
      <c r="J94" s="90"/>
      <c r="K94" s="90"/>
      <c r="L94" s="90"/>
      <c r="M94" s="90"/>
      <c r="N94" s="90"/>
      <c r="O94" s="93"/>
      <c r="P94" s="94"/>
      <c r="Q94" s="90"/>
    </row>
    <row r="95" spans="1:18" ht="15.95" customHeight="1" thickBot="1">
      <c r="A95" s="195" t="s">
        <v>327</v>
      </c>
      <c r="B95" s="196" t="s">
        <v>328</v>
      </c>
      <c r="C95" s="196"/>
      <c r="D95" s="197"/>
      <c r="E95" s="197"/>
      <c r="F95" s="197"/>
      <c r="G95" s="196"/>
      <c r="H95" s="253"/>
      <c r="I95" s="196"/>
      <c r="J95" s="196"/>
      <c r="K95" s="196"/>
      <c r="L95" s="196"/>
      <c r="M95" s="196"/>
      <c r="N95" s="196"/>
      <c r="O95" s="198"/>
      <c r="P95" s="94"/>
      <c r="Q95" s="90"/>
    </row>
    <row r="96" spans="1:18" s="123" customFormat="1">
      <c r="A96" s="90"/>
      <c r="B96" s="90"/>
      <c r="C96" s="90"/>
      <c r="D96" s="167"/>
      <c r="E96" s="167"/>
      <c r="F96" s="167"/>
      <c r="G96" s="95"/>
      <c r="H96" s="247"/>
      <c r="I96" s="135"/>
      <c r="J96" s="135"/>
      <c r="K96" s="167"/>
      <c r="L96" s="167"/>
      <c r="M96" s="167"/>
      <c r="O96" s="90"/>
      <c r="P96" s="122"/>
      <c r="R96" s="90"/>
    </row>
    <row r="97" spans="1:18" s="123" customFormat="1">
      <c r="A97" s="90"/>
      <c r="B97" s="90"/>
      <c r="C97" s="90"/>
      <c r="D97" s="167"/>
      <c r="E97" s="167"/>
      <c r="F97" s="167"/>
      <c r="G97" s="95"/>
      <c r="H97" s="247"/>
      <c r="I97" s="135"/>
      <c r="J97" s="135"/>
      <c r="K97" s="167"/>
      <c r="L97" s="167"/>
      <c r="M97" s="167"/>
      <c r="O97" s="90"/>
      <c r="P97" s="122"/>
      <c r="R97" s="90"/>
    </row>
  </sheetData>
  <mergeCells count="7">
    <mergeCell ref="B92:O92"/>
    <mergeCell ref="O65:O66"/>
    <mergeCell ref="O70:O71"/>
    <mergeCell ref="C76:D78"/>
    <mergeCell ref="B88:O88"/>
    <mergeCell ref="B89:O89"/>
    <mergeCell ref="B90:O90"/>
  </mergeCells>
  <printOptions horizontalCentered="1"/>
  <pageMargins left="0.2" right="0.2" top="0.5" bottom="0.25" header="0.3" footer="0.3"/>
  <pageSetup scale="6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3CE87-B6F1-4B2E-ADA8-B59D55110958}">
  <sheetPr>
    <pageSetUpPr fitToPage="1"/>
  </sheetPr>
  <dimension ref="A1:K87"/>
  <sheetViews>
    <sheetView workbookViewId="0"/>
  </sheetViews>
  <sheetFormatPr defaultRowHeight="15" outlineLevelCol="1"/>
  <cols>
    <col min="1" max="1" width="24.140625" bestFit="1" customWidth="1"/>
    <col min="2" max="2" width="28.7109375" bestFit="1" customWidth="1"/>
    <col min="3" max="3" width="4.7109375" customWidth="1"/>
    <col min="4" max="4" width="18.28515625" style="2" bestFit="1" customWidth="1"/>
    <col min="5" max="5" width="15.140625" style="2" hidden="1" customWidth="1" outlineLevel="1"/>
    <col min="6" max="6" width="15.140625" style="2" customWidth="1" collapsed="1"/>
    <col min="7" max="7" width="0" hidden="1" customWidth="1"/>
    <col min="8" max="8" width="44.85546875" hidden="1" customWidth="1"/>
    <col min="9" max="9" width="10.5703125" style="81" customWidth="1"/>
    <col min="10" max="10" width="108.7109375" bestFit="1" customWidth="1"/>
    <col min="11" max="11" width="11.140625" bestFit="1" customWidth="1"/>
  </cols>
  <sheetData>
    <row r="1" spans="1:11" ht="21">
      <c r="A1" s="1" t="s">
        <v>1</v>
      </c>
    </row>
    <row r="2" spans="1:11" ht="21">
      <c r="A2" s="1" t="s">
        <v>2</v>
      </c>
    </row>
    <row r="3" spans="1:11" ht="21">
      <c r="A3" s="1" t="s">
        <v>114</v>
      </c>
    </row>
    <row r="4" spans="1:11">
      <c r="A4" t="s">
        <v>3</v>
      </c>
      <c r="D4"/>
      <c r="E4"/>
      <c r="F4"/>
    </row>
    <row r="5" spans="1:11">
      <c r="D5"/>
      <c r="E5"/>
      <c r="F5"/>
    </row>
    <row r="6" spans="1:11" s="3" customFormat="1">
      <c r="D6" s="4" t="s">
        <v>343</v>
      </c>
      <c r="E6" s="4" t="s">
        <v>105</v>
      </c>
      <c r="F6" s="4" t="s">
        <v>344</v>
      </c>
      <c r="H6" s="4" t="s">
        <v>107</v>
      </c>
      <c r="I6" s="80"/>
    </row>
    <row r="7" spans="1:11">
      <c r="A7" s="208" t="s">
        <v>4</v>
      </c>
      <c r="D7" s="209"/>
      <c r="E7" s="209"/>
      <c r="F7" s="209"/>
    </row>
    <row r="8" spans="1:11">
      <c r="A8" t="s">
        <v>5</v>
      </c>
      <c r="B8" t="s">
        <v>6</v>
      </c>
      <c r="D8" s="2">
        <f>'2023 Revenue Projection'!I75</f>
        <v>837823.5</v>
      </c>
      <c r="F8" s="2">
        <v>757110</v>
      </c>
      <c r="H8" t="s">
        <v>7</v>
      </c>
      <c r="I8" s="210">
        <f t="shared" ref="I8:I13" si="0">D8-F8</f>
        <v>80713.5</v>
      </c>
      <c r="J8" s="211">
        <f>D8/F8-1</f>
        <v>0.10660736220628442</v>
      </c>
      <c r="K8" s="5"/>
    </row>
    <row r="9" spans="1:11">
      <c r="A9" t="s">
        <v>8</v>
      </c>
      <c r="B9" t="s">
        <v>9</v>
      </c>
      <c r="D9" s="2">
        <f>F9</f>
        <v>47600.36</v>
      </c>
      <c r="F9" s="2">
        <f>SUM('[3]Restaurant Rent'!I6:N6)+SUM('[3]Restaurant Rent'!C7:H7)</f>
        <v>47600.36</v>
      </c>
      <c r="H9" t="s">
        <v>10</v>
      </c>
      <c r="I9" s="210">
        <f t="shared" si="0"/>
        <v>0</v>
      </c>
      <c r="J9" s="212" t="s">
        <v>234</v>
      </c>
      <c r="K9" s="5"/>
    </row>
    <row r="10" spans="1:11">
      <c r="A10" t="s">
        <v>11</v>
      </c>
      <c r="B10" t="s">
        <v>12</v>
      </c>
      <c r="D10" s="2">
        <f>'2023 Revenue Projection'!I76</f>
        <v>209775</v>
      </c>
      <c r="F10" s="2">
        <v>186625</v>
      </c>
      <c r="H10" t="s">
        <v>7</v>
      </c>
      <c r="I10" s="210">
        <f t="shared" si="0"/>
        <v>23150</v>
      </c>
      <c r="J10" s="212" t="s">
        <v>345</v>
      </c>
      <c r="K10" s="5"/>
    </row>
    <row r="11" spans="1:11">
      <c r="A11" t="s">
        <v>13</v>
      </c>
      <c r="B11" t="s">
        <v>14</v>
      </c>
      <c r="D11" s="2">
        <v>0</v>
      </c>
      <c r="F11" s="2">
        <v>2770</v>
      </c>
      <c r="H11" t="s">
        <v>10</v>
      </c>
      <c r="I11" s="210">
        <f t="shared" si="0"/>
        <v>-2770</v>
      </c>
      <c r="J11" s="212" t="s">
        <v>231</v>
      </c>
      <c r="K11" s="5"/>
    </row>
    <row r="12" spans="1:11">
      <c r="A12" t="s">
        <v>15</v>
      </c>
      <c r="B12" t="s">
        <v>16</v>
      </c>
      <c r="D12" s="2">
        <f>'2023 Revenue Projection'!I77</f>
        <v>453536</v>
      </c>
      <c r="F12" s="2">
        <v>388474</v>
      </c>
      <c r="H12" t="s">
        <v>7</v>
      </c>
      <c r="I12" s="210">
        <f t="shared" si="0"/>
        <v>65062</v>
      </c>
      <c r="J12" s="212" t="s">
        <v>233</v>
      </c>
      <c r="K12" s="5"/>
    </row>
    <row r="13" spans="1:11">
      <c r="A13" t="s">
        <v>229</v>
      </c>
      <c r="B13" t="s">
        <v>230</v>
      </c>
      <c r="D13" s="2">
        <v>25000</v>
      </c>
      <c r="F13" s="2">
        <f>D13/2</f>
        <v>12500</v>
      </c>
      <c r="I13" s="210">
        <f t="shared" si="0"/>
        <v>12500</v>
      </c>
      <c r="J13" s="212" t="s">
        <v>346</v>
      </c>
      <c r="K13" s="5"/>
    </row>
    <row r="14" spans="1:11" ht="15.75" thickBot="1">
      <c r="D14" s="213">
        <f>SUM(D8:D13)</f>
        <v>1573734.8599999999</v>
      </c>
      <c r="E14" s="213">
        <f t="shared" ref="E14:F14" si="1">SUM(E8:E13)</f>
        <v>0</v>
      </c>
      <c r="F14" s="213">
        <f t="shared" si="1"/>
        <v>1395079.3599999999</v>
      </c>
      <c r="I14" s="210">
        <f>D14-F14</f>
        <v>178655.5</v>
      </c>
    </row>
    <row r="15" spans="1:11" ht="15.75" thickTop="1"/>
    <row r="16" spans="1:11">
      <c r="A16" s="214" t="s">
        <v>17</v>
      </c>
      <c r="B16" s="214"/>
      <c r="C16" s="214"/>
      <c r="D16" s="215">
        <v>0</v>
      </c>
      <c r="E16" s="215">
        <v>0</v>
      </c>
      <c r="F16" s="215">
        <v>0</v>
      </c>
    </row>
    <row r="18" spans="1:10">
      <c r="A18" s="208" t="s">
        <v>18</v>
      </c>
      <c r="D18" s="216"/>
      <c r="E18" s="216"/>
      <c r="F18" s="216"/>
    </row>
    <row r="19" spans="1:10">
      <c r="A19" t="s">
        <v>19</v>
      </c>
      <c r="B19" t="s">
        <v>20</v>
      </c>
      <c r="D19" s="2">
        <f>75000*1.035</f>
        <v>77625</v>
      </c>
      <c r="F19" s="2">
        <v>59727</v>
      </c>
      <c r="I19" s="210">
        <f t="shared" ref="I19:I26" si="2">D19-F19</f>
        <v>17898</v>
      </c>
      <c r="J19" t="s">
        <v>347</v>
      </c>
    </row>
    <row r="20" spans="1:10">
      <c r="A20" t="s">
        <v>21</v>
      </c>
      <c r="B20" t="s">
        <v>22</v>
      </c>
      <c r="D20" s="2">
        <v>103041</v>
      </c>
      <c r="F20" s="2">
        <v>99450</v>
      </c>
      <c r="H20" t="s">
        <v>23</v>
      </c>
      <c r="I20" s="210">
        <f t="shared" si="2"/>
        <v>3591</v>
      </c>
      <c r="J20" s="217"/>
    </row>
    <row r="21" spans="1:10">
      <c r="A21" t="s">
        <v>24</v>
      </c>
      <c r="B21" t="s">
        <v>25</v>
      </c>
      <c r="D21" s="2">
        <f>[4]Staffing!C8+[4]Staffing!C9+[4]Staffing!G17</f>
        <v>200771.25</v>
      </c>
      <c r="F21" s="2">
        <v>221092</v>
      </c>
      <c r="H21" t="s">
        <v>26</v>
      </c>
      <c r="I21" s="210">
        <f t="shared" si="2"/>
        <v>-20320.75</v>
      </c>
      <c r="J21" s="218" t="s">
        <v>348</v>
      </c>
    </row>
    <row r="22" spans="1:10">
      <c r="A22" t="s">
        <v>27</v>
      </c>
      <c r="B22" t="s">
        <v>28</v>
      </c>
      <c r="D22" s="2">
        <f>[4]Staffing!B28</f>
        <v>139776</v>
      </c>
      <c r="F22" s="2">
        <v>40000</v>
      </c>
      <c r="H22" t="s">
        <v>29</v>
      </c>
      <c r="I22" s="210">
        <f t="shared" si="2"/>
        <v>99776</v>
      </c>
      <c r="J22" t="s">
        <v>232</v>
      </c>
    </row>
    <row r="23" spans="1:10">
      <c r="A23" t="s">
        <v>30</v>
      </c>
      <c r="B23" t="s">
        <v>31</v>
      </c>
      <c r="D23" s="2">
        <v>1625</v>
      </c>
      <c r="F23" s="2">
        <v>1625</v>
      </c>
      <c r="H23" t="s">
        <v>32</v>
      </c>
      <c r="I23" s="210">
        <f t="shared" si="2"/>
        <v>0</v>
      </c>
    </row>
    <row r="24" spans="1:10">
      <c r="A24" t="s">
        <v>33</v>
      </c>
      <c r="B24" t="s">
        <v>34</v>
      </c>
      <c r="D24" s="2">
        <v>31226</v>
      </c>
      <c r="F24" s="2">
        <v>31226</v>
      </c>
      <c r="H24" t="s">
        <v>32</v>
      </c>
      <c r="I24" s="210">
        <f t="shared" si="2"/>
        <v>0</v>
      </c>
    </row>
    <row r="25" spans="1:10">
      <c r="A25" t="s">
        <v>35</v>
      </c>
      <c r="B25" t="s">
        <v>36</v>
      </c>
      <c r="D25" s="2">
        <v>50000</v>
      </c>
      <c r="F25" s="2">
        <v>84149</v>
      </c>
      <c r="H25" t="s">
        <v>29</v>
      </c>
      <c r="I25" s="210">
        <f t="shared" si="2"/>
        <v>-34149</v>
      </c>
      <c r="J25" t="s">
        <v>349</v>
      </c>
    </row>
    <row r="26" spans="1:10">
      <c r="A26" t="s">
        <v>37</v>
      </c>
      <c r="B26" t="s">
        <v>38</v>
      </c>
      <c r="D26" s="2">
        <v>3300</v>
      </c>
      <c r="F26" s="2">
        <v>3300</v>
      </c>
      <c r="H26" t="s">
        <v>32</v>
      </c>
      <c r="I26" s="210">
        <f t="shared" si="2"/>
        <v>0</v>
      </c>
    </row>
    <row r="27" spans="1:10">
      <c r="D27" s="219">
        <f>SUM(D19:D26)</f>
        <v>607364.25</v>
      </c>
      <c r="E27" s="219">
        <f>SUM(E19:E26)</f>
        <v>0</v>
      </c>
      <c r="F27" s="219">
        <f>SUM(F19:F26)</f>
        <v>540569</v>
      </c>
      <c r="I27" s="210">
        <f>D27-F27</f>
        <v>66795.25</v>
      </c>
    </row>
    <row r="29" spans="1:10">
      <c r="A29" t="s">
        <v>39</v>
      </c>
      <c r="B29" t="s">
        <v>40</v>
      </c>
      <c r="D29" s="2">
        <v>21594</v>
      </c>
      <c r="F29" s="2">
        <v>17587</v>
      </c>
      <c r="I29" s="210">
        <f t="shared" ref="I29:I35" si="3">D29-F29</f>
        <v>4007</v>
      </c>
    </row>
    <row r="30" spans="1:10">
      <c r="A30" t="s">
        <v>41</v>
      </c>
      <c r="B30" t="s">
        <v>42</v>
      </c>
      <c r="D30" s="2">
        <v>46379</v>
      </c>
      <c r="F30" s="2">
        <v>41931</v>
      </c>
      <c r="I30" s="210">
        <f t="shared" si="3"/>
        <v>4448</v>
      </c>
    </row>
    <row r="31" spans="1:10">
      <c r="A31" t="s">
        <v>43</v>
      </c>
      <c r="B31" t="s">
        <v>44</v>
      </c>
      <c r="D31" s="2">
        <v>17500</v>
      </c>
      <c r="F31" s="2">
        <v>30000</v>
      </c>
      <c r="I31" s="210">
        <f t="shared" si="3"/>
        <v>-12500</v>
      </c>
    </row>
    <row r="32" spans="1:10">
      <c r="A32" t="s">
        <v>45</v>
      </c>
      <c r="B32" t="s">
        <v>46</v>
      </c>
      <c r="D32" s="2">
        <v>32460</v>
      </c>
      <c r="F32" s="2">
        <v>32054</v>
      </c>
      <c r="I32" s="210">
        <f t="shared" si="3"/>
        <v>406</v>
      </c>
    </row>
    <row r="33" spans="1:11">
      <c r="A33" t="s">
        <v>47</v>
      </c>
      <c r="B33" t="s">
        <v>48</v>
      </c>
      <c r="D33" s="2">
        <v>2007</v>
      </c>
      <c r="F33" s="2">
        <v>1893</v>
      </c>
      <c r="I33" s="210">
        <f t="shared" si="3"/>
        <v>114</v>
      </c>
    </row>
    <row r="34" spans="1:11">
      <c r="A34" t="s">
        <v>49</v>
      </c>
      <c r="B34" t="s">
        <v>50</v>
      </c>
      <c r="D34" s="2">
        <v>97672</v>
      </c>
      <c r="F34" s="2">
        <v>63480</v>
      </c>
      <c r="H34" t="s">
        <v>51</v>
      </c>
      <c r="I34" s="210">
        <f t="shared" si="3"/>
        <v>34192</v>
      </c>
    </row>
    <row r="35" spans="1:11">
      <c r="A35" t="s">
        <v>52</v>
      </c>
      <c r="B35" t="s">
        <v>53</v>
      </c>
      <c r="D35" s="2">
        <f>F35+1600</f>
        <v>7000</v>
      </c>
      <c r="F35" s="2">
        <v>5400</v>
      </c>
      <c r="H35" t="s">
        <v>32</v>
      </c>
      <c r="I35" s="210">
        <f t="shared" si="3"/>
        <v>1600</v>
      </c>
      <c r="J35" t="s">
        <v>228</v>
      </c>
    </row>
    <row r="36" spans="1:11">
      <c r="D36" s="219">
        <f>SUM(D29:D35)</f>
        <v>224612</v>
      </c>
      <c r="E36" s="219">
        <f>SUM(E29:E35)</f>
        <v>0</v>
      </c>
      <c r="F36" s="219">
        <f>SUM(F29:F35)</f>
        <v>192345</v>
      </c>
      <c r="I36" s="210">
        <f>D36-F36</f>
        <v>32267</v>
      </c>
    </row>
    <row r="38" spans="1:11">
      <c r="A38" t="s">
        <v>54</v>
      </c>
      <c r="B38" t="s">
        <v>55</v>
      </c>
      <c r="D38" s="220">
        <f>ROUND(46500*1.15^2*(1+(0.5*0.25*1.25)),0)</f>
        <v>71105</v>
      </c>
      <c r="E38" s="2">
        <v>68156</v>
      </c>
      <c r="F38" s="2">
        <v>68156</v>
      </c>
      <c r="G38" s="2"/>
      <c r="H38" t="s">
        <v>119</v>
      </c>
      <c r="I38" s="210">
        <f t="shared" ref="I38:I61" si="4">D38-F38</f>
        <v>2949</v>
      </c>
      <c r="J38" s="212" t="s">
        <v>350</v>
      </c>
      <c r="K38" s="5"/>
    </row>
    <row r="39" spans="1:11">
      <c r="A39" t="s">
        <v>56</v>
      </c>
      <c r="B39" t="s">
        <v>57</v>
      </c>
      <c r="D39" s="2">
        <v>22500</v>
      </c>
      <c r="E39" s="2">
        <v>22500</v>
      </c>
      <c r="F39" s="2">
        <v>21428</v>
      </c>
      <c r="G39" s="2"/>
      <c r="H39" t="s">
        <v>109</v>
      </c>
      <c r="I39" s="210">
        <f t="shared" si="4"/>
        <v>1072</v>
      </c>
      <c r="J39" s="221"/>
      <c r="K39" s="5"/>
    </row>
    <row r="40" spans="1:11">
      <c r="A40" t="s">
        <v>58</v>
      </c>
      <c r="B40" t="s">
        <v>59</v>
      </c>
      <c r="D40" s="220">
        <f>3.02*10000+3.16*3500</f>
        <v>41260</v>
      </c>
      <c r="E40" s="2">
        <f>10000*3+3500*6</f>
        <v>51000</v>
      </c>
      <c r="F40" s="2">
        <v>37500</v>
      </c>
      <c r="G40" s="2"/>
      <c r="H40" t="s">
        <v>118</v>
      </c>
      <c r="I40" s="210">
        <f t="shared" si="4"/>
        <v>3760</v>
      </c>
      <c r="J40" s="212"/>
      <c r="K40" s="5"/>
    </row>
    <row r="41" spans="1:11">
      <c r="A41" t="s">
        <v>60</v>
      </c>
      <c r="B41" t="s">
        <v>61</v>
      </c>
      <c r="D41" s="2">
        <v>4500</v>
      </c>
      <c r="E41" s="2">
        <v>3000</v>
      </c>
      <c r="F41" s="2">
        <v>3000</v>
      </c>
      <c r="G41" s="2"/>
      <c r="H41" t="s">
        <v>108</v>
      </c>
      <c r="I41" s="210">
        <f t="shared" si="4"/>
        <v>1500</v>
      </c>
      <c r="J41" s="212" t="s">
        <v>220</v>
      </c>
      <c r="K41" s="5"/>
    </row>
    <row r="42" spans="1:11">
      <c r="A42" t="s">
        <v>62</v>
      </c>
      <c r="B42" t="s">
        <v>63</v>
      </c>
      <c r="D42" s="2">
        <v>22500</v>
      </c>
      <c r="E42" s="2">
        <v>22500</v>
      </c>
      <c r="F42" s="2">
        <v>17000</v>
      </c>
      <c r="G42" s="2"/>
      <c r="H42" t="s">
        <v>112</v>
      </c>
      <c r="I42" s="210">
        <f t="shared" si="4"/>
        <v>5500</v>
      </c>
      <c r="J42" s="212"/>
      <c r="K42" s="5"/>
    </row>
    <row r="43" spans="1:11">
      <c r="A43" t="s">
        <v>64</v>
      </c>
      <c r="B43" t="s">
        <v>65</v>
      </c>
      <c r="D43" s="2">
        <v>10000</v>
      </c>
      <c r="E43" s="2">
        <v>10000</v>
      </c>
      <c r="F43" s="2">
        <v>7500</v>
      </c>
      <c r="G43" s="2"/>
      <c r="I43" s="210">
        <f t="shared" si="4"/>
        <v>2500</v>
      </c>
      <c r="J43" s="212"/>
      <c r="K43" s="5"/>
    </row>
    <row r="44" spans="1:11">
      <c r="A44" t="s">
        <v>66</v>
      </c>
      <c r="B44" t="s">
        <v>67</v>
      </c>
      <c r="D44" s="2">
        <v>7500</v>
      </c>
      <c r="E44" s="2">
        <v>7500</v>
      </c>
      <c r="F44" s="2">
        <v>7500</v>
      </c>
      <c r="G44" s="2"/>
      <c r="I44" s="210">
        <f t="shared" si="4"/>
        <v>0</v>
      </c>
      <c r="J44" s="212"/>
      <c r="K44" s="5"/>
    </row>
    <row r="45" spans="1:11">
      <c r="A45" t="s">
        <v>68</v>
      </c>
      <c r="B45" t="s">
        <v>69</v>
      </c>
      <c r="D45" s="2">
        <v>35500</v>
      </c>
      <c r="E45" s="2">
        <v>35500</v>
      </c>
      <c r="F45" s="2">
        <v>30000</v>
      </c>
      <c r="G45" s="2"/>
      <c r="H45" t="s">
        <v>110</v>
      </c>
      <c r="I45" s="210">
        <f t="shared" si="4"/>
        <v>5500</v>
      </c>
      <c r="J45" s="212"/>
      <c r="K45" s="5"/>
    </row>
    <row r="46" spans="1:11">
      <c r="A46" t="s">
        <v>70</v>
      </c>
      <c r="B46" t="s">
        <v>71</v>
      </c>
      <c r="D46" s="2">
        <v>13000</v>
      </c>
      <c r="E46" s="2">
        <v>13000</v>
      </c>
      <c r="F46" s="2">
        <v>10000</v>
      </c>
      <c r="G46" s="2"/>
      <c r="H46" s="214"/>
      <c r="I46" s="210">
        <f t="shared" si="4"/>
        <v>3000</v>
      </c>
      <c r="J46" s="212"/>
      <c r="K46" s="5"/>
    </row>
    <row r="47" spans="1:11">
      <c r="A47" t="s">
        <v>72</v>
      </c>
      <c r="B47" t="s">
        <v>73</v>
      </c>
      <c r="D47" s="2">
        <v>130000</v>
      </c>
      <c r="E47" s="2">
        <v>130000</v>
      </c>
      <c r="F47" s="2">
        <v>120000</v>
      </c>
      <c r="G47" s="2"/>
      <c r="H47" t="s">
        <v>111</v>
      </c>
      <c r="I47" s="210">
        <f t="shared" si="4"/>
        <v>10000</v>
      </c>
      <c r="J47" s="212"/>
      <c r="K47" s="5"/>
    </row>
    <row r="48" spans="1:11">
      <c r="A48" t="s">
        <v>74</v>
      </c>
      <c r="B48" t="s">
        <v>75</v>
      </c>
      <c r="D48" s="2">
        <v>30000</v>
      </c>
      <c r="E48" s="2">
        <v>30000</v>
      </c>
      <c r="F48" s="2">
        <v>27500</v>
      </c>
      <c r="G48" s="2"/>
      <c r="I48" s="210">
        <f t="shared" si="4"/>
        <v>2500</v>
      </c>
      <c r="J48" s="212"/>
      <c r="K48" s="5"/>
    </row>
    <row r="49" spans="1:11">
      <c r="A49" t="s">
        <v>76</v>
      </c>
      <c r="B49" t="s">
        <v>77</v>
      </c>
      <c r="D49" s="2">
        <v>0</v>
      </c>
      <c r="E49" s="2">
        <v>0</v>
      </c>
      <c r="F49" s="2">
        <v>18747</v>
      </c>
      <c r="G49" s="2"/>
      <c r="H49" s="222" t="s">
        <v>106</v>
      </c>
      <c r="I49" s="210">
        <f t="shared" si="4"/>
        <v>-18747</v>
      </c>
      <c r="J49" s="212"/>
      <c r="K49" s="5"/>
    </row>
    <row r="50" spans="1:11">
      <c r="A50" t="s">
        <v>78</v>
      </c>
      <c r="B50" t="s">
        <v>79</v>
      </c>
      <c r="D50" s="2">
        <v>90000</v>
      </c>
      <c r="E50" s="2">
        <v>90000</v>
      </c>
      <c r="F50" s="2">
        <v>115820</v>
      </c>
      <c r="G50" s="2"/>
      <c r="H50" t="s">
        <v>116</v>
      </c>
      <c r="I50" s="210">
        <f t="shared" si="4"/>
        <v>-25820</v>
      </c>
      <c r="J50" s="212" t="s">
        <v>221</v>
      </c>
      <c r="K50" s="5"/>
    </row>
    <row r="51" spans="1:11">
      <c r="A51" t="s">
        <v>80</v>
      </c>
      <c r="B51" t="s">
        <v>81</v>
      </c>
      <c r="D51" s="2">
        <f>56362+16844.45+5543.49</f>
        <v>78749.94</v>
      </c>
      <c r="E51" s="2">
        <f>56362+16844.45+5543.49</f>
        <v>78749.94</v>
      </c>
      <c r="F51" s="2">
        <v>52741</v>
      </c>
      <c r="G51" s="2"/>
      <c r="H51" t="s">
        <v>117</v>
      </c>
      <c r="I51" s="210">
        <f t="shared" si="4"/>
        <v>26008.940000000002</v>
      </c>
      <c r="J51" s="212"/>
      <c r="K51" s="5"/>
    </row>
    <row r="52" spans="1:11">
      <c r="A52" t="s">
        <v>82</v>
      </c>
      <c r="B52" t="s">
        <v>83</v>
      </c>
      <c r="D52" s="2">
        <v>32289</v>
      </c>
      <c r="F52" s="2">
        <v>37664</v>
      </c>
      <c r="G52" s="2"/>
      <c r="H52" s="214" t="s">
        <v>113</v>
      </c>
      <c r="I52" s="210">
        <f t="shared" si="4"/>
        <v>-5375</v>
      </c>
      <c r="J52" s="212"/>
      <c r="K52" s="5"/>
    </row>
    <row r="53" spans="1:11">
      <c r="A53" t="s">
        <v>84</v>
      </c>
      <c r="B53" t="s">
        <v>85</v>
      </c>
      <c r="D53" s="2">
        <f>8000+760*12</f>
        <v>17120</v>
      </c>
      <c r="E53" s="2">
        <v>8000</v>
      </c>
      <c r="F53" s="2">
        <v>8000</v>
      </c>
      <c r="G53" s="2"/>
      <c r="H53" t="s">
        <v>108</v>
      </c>
      <c r="I53" s="210">
        <f t="shared" si="4"/>
        <v>9120</v>
      </c>
      <c r="J53" s="212" t="s">
        <v>222</v>
      </c>
      <c r="K53" s="5"/>
    </row>
    <row r="54" spans="1:11">
      <c r="A54" t="s">
        <v>86</v>
      </c>
      <c r="B54" t="s">
        <v>87</v>
      </c>
      <c r="D54" s="2">
        <f>F54*1.15</f>
        <v>7890.15</v>
      </c>
      <c r="F54" s="2">
        <v>6861</v>
      </c>
      <c r="G54" s="2"/>
      <c r="H54" s="214" t="s">
        <v>113</v>
      </c>
      <c r="I54" s="210">
        <f t="shared" si="4"/>
        <v>1029.1499999999996</v>
      </c>
      <c r="J54" s="212" t="s">
        <v>223</v>
      </c>
      <c r="K54" s="5"/>
    </row>
    <row r="55" spans="1:11">
      <c r="A55" t="s">
        <v>89</v>
      </c>
      <c r="B55" t="s">
        <v>90</v>
      </c>
      <c r="D55" s="2">
        <v>4000</v>
      </c>
      <c r="E55" s="2">
        <v>2000</v>
      </c>
      <c r="F55" s="2">
        <v>2000</v>
      </c>
      <c r="G55" s="2"/>
      <c r="H55" t="s">
        <v>108</v>
      </c>
      <c r="I55" s="210">
        <f t="shared" si="4"/>
        <v>2000</v>
      </c>
      <c r="J55" s="212" t="s">
        <v>226</v>
      </c>
      <c r="K55" s="5"/>
    </row>
    <row r="56" spans="1:11">
      <c r="A56" t="s">
        <v>91</v>
      </c>
      <c r="B56" t="s">
        <v>92</v>
      </c>
      <c r="D56" s="2">
        <f>13310+1331</f>
        <v>14641</v>
      </c>
      <c r="E56" s="2">
        <f>13310+1331</f>
        <v>14641</v>
      </c>
      <c r="F56" s="2">
        <v>13310</v>
      </c>
      <c r="G56" s="2"/>
      <c r="H56" t="s">
        <v>88</v>
      </c>
      <c r="I56" s="210">
        <f t="shared" si="4"/>
        <v>1331</v>
      </c>
      <c r="J56" s="212"/>
      <c r="K56" s="5"/>
    </row>
    <row r="57" spans="1:11">
      <c r="A57" t="s">
        <v>93</v>
      </c>
      <c r="B57" t="s">
        <v>94</v>
      </c>
      <c r="D57" s="2">
        <v>10000</v>
      </c>
      <c r="E57" s="2">
        <v>10000</v>
      </c>
      <c r="F57" s="2">
        <v>8500</v>
      </c>
      <c r="G57" s="2"/>
      <c r="H57" t="s">
        <v>95</v>
      </c>
      <c r="I57" s="210">
        <f t="shared" si="4"/>
        <v>1500</v>
      </c>
      <c r="J57" s="212"/>
      <c r="K57" s="5"/>
    </row>
    <row r="58" spans="1:11">
      <c r="A58" t="s">
        <v>96</v>
      </c>
      <c r="B58" t="s">
        <v>97</v>
      </c>
      <c r="D58" s="220">
        <f>ROUND((D14-D9)*0.75*0.03,0)</f>
        <v>34338</v>
      </c>
      <c r="F58" s="2">
        <v>28996</v>
      </c>
      <c r="G58" s="2"/>
      <c r="H58" s="214" t="s">
        <v>113</v>
      </c>
      <c r="I58" s="210">
        <f t="shared" si="4"/>
        <v>5342</v>
      </c>
      <c r="J58" s="212" t="s">
        <v>224</v>
      </c>
      <c r="K58" s="5"/>
    </row>
    <row r="59" spans="1:11">
      <c r="A59" t="s">
        <v>98</v>
      </c>
      <c r="B59" t="s">
        <v>99</v>
      </c>
      <c r="D59" s="2">
        <v>2000</v>
      </c>
      <c r="E59" s="2">
        <v>655</v>
      </c>
      <c r="F59" s="2">
        <v>650</v>
      </c>
      <c r="G59" s="2"/>
      <c r="H59" t="s">
        <v>108</v>
      </c>
      <c r="I59" s="210">
        <f t="shared" si="4"/>
        <v>1350</v>
      </c>
      <c r="J59" s="212" t="s">
        <v>225</v>
      </c>
      <c r="K59" s="5"/>
    </row>
    <row r="60" spans="1:11">
      <c r="A60" t="s">
        <v>100</v>
      </c>
      <c r="B60" t="s">
        <v>101</v>
      </c>
      <c r="D60" s="2">
        <v>300</v>
      </c>
      <c r="E60" s="2">
        <v>300</v>
      </c>
      <c r="F60" s="2">
        <v>300</v>
      </c>
      <c r="G60" s="2"/>
      <c r="H60" t="s">
        <v>108</v>
      </c>
      <c r="I60" s="210">
        <f t="shared" si="4"/>
        <v>0</v>
      </c>
      <c r="J60" s="212"/>
      <c r="K60" s="5"/>
    </row>
    <row r="61" spans="1:11">
      <c r="A61" t="s">
        <v>102</v>
      </c>
      <c r="B61" t="s">
        <v>103</v>
      </c>
      <c r="D61" s="2">
        <f>F61*2</f>
        <v>11762</v>
      </c>
      <c r="F61" s="2">
        <v>5881</v>
      </c>
      <c r="G61" s="2"/>
      <c r="H61" s="214" t="s">
        <v>113</v>
      </c>
      <c r="I61" s="210">
        <f t="shared" si="4"/>
        <v>5881</v>
      </c>
      <c r="J61" s="212" t="s">
        <v>227</v>
      </c>
      <c r="K61" s="5"/>
    </row>
    <row r="62" spans="1:11">
      <c r="D62" s="219">
        <f>SUM(D38:D61)</f>
        <v>690955.09</v>
      </c>
      <c r="E62" s="219">
        <f>SUM(E38:E61)</f>
        <v>597501.93999999994</v>
      </c>
      <c r="F62" s="219">
        <f>SUM(F38:F61)</f>
        <v>649054</v>
      </c>
      <c r="I62" s="210">
        <f>D62-F62</f>
        <v>41901.089999999967</v>
      </c>
    </row>
    <row r="64" spans="1:11" ht="15.75" thickBot="1">
      <c r="A64" t="s">
        <v>104</v>
      </c>
      <c r="D64" s="213">
        <f>D62+D36+D27</f>
        <v>1522931.3399999999</v>
      </c>
      <c r="E64" s="213">
        <f>E62+E36+E27</f>
        <v>597501.93999999994</v>
      </c>
      <c r="F64" s="213">
        <f>F62+F36+F27</f>
        <v>1381968</v>
      </c>
      <c r="I64" s="210">
        <f>D64-F64</f>
        <v>140963.33999999985</v>
      </c>
    </row>
    <row r="65" spans="1:9" ht="15.75" thickTop="1">
      <c r="A65" t="s">
        <v>115</v>
      </c>
      <c r="F65" s="223"/>
    </row>
    <row r="66" spans="1:9">
      <c r="D66" s="223"/>
      <c r="E66" s="223"/>
    </row>
    <row r="67" spans="1:9">
      <c r="A67" t="s">
        <v>0</v>
      </c>
      <c r="D67" s="2">
        <f>D14+D16-(D27+D36+D62)</f>
        <v>50803.520000000019</v>
      </c>
      <c r="E67" s="2">
        <f>E14+E16-(E27+E36+E62)</f>
        <v>-597501.93999999994</v>
      </c>
      <c r="F67" s="2">
        <f>F14+F16-(F27+F36+F62)</f>
        <v>13111.35999999987</v>
      </c>
    </row>
    <row r="68" spans="1:9" ht="15.75" thickBot="1"/>
    <row r="69" spans="1:9">
      <c r="A69" s="224"/>
      <c r="B69" s="225"/>
      <c r="C69" s="225"/>
      <c r="D69" s="225"/>
      <c r="E69" s="225"/>
      <c r="F69" s="225"/>
      <c r="G69" s="225"/>
      <c r="H69" s="225"/>
      <c r="I69" s="226"/>
    </row>
    <row r="70" spans="1:9">
      <c r="A70" s="227" t="s">
        <v>351</v>
      </c>
      <c r="B70" s="228"/>
      <c r="C70" s="228"/>
      <c r="D70" s="228"/>
      <c r="E70" s="228"/>
      <c r="F70" s="228"/>
      <c r="G70" s="228"/>
      <c r="H70" s="228"/>
      <c r="I70" s="229"/>
    </row>
    <row r="71" spans="1:9">
      <c r="A71" s="230" t="s">
        <v>352</v>
      </c>
      <c r="B71" s="228"/>
      <c r="C71" s="228"/>
      <c r="D71" s="228"/>
      <c r="E71" s="228"/>
      <c r="F71" s="228"/>
      <c r="G71" s="228"/>
      <c r="H71" s="228"/>
      <c r="I71" s="229">
        <f>-F67</f>
        <v>-13111.35999999987</v>
      </c>
    </row>
    <row r="72" spans="1:9">
      <c r="A72" s="231"/>
      <c r="B72" s="228"/>
      <c r="C72" s="228"/>
      <c r="D72" s="228"/>
      <c r="E72" s="228"/>
      <c r="F72" s="228"/>
      <c r="G72" s="228"/>
      <c r="H72" s="228"/>
      <c r="I72" s="229"/>
    </row>
    <row r="73" spans="1:9">
      <c r="A73" s="230" t="s">
        <v>353</v>
      </c>
      <c r="B73" s="232"/>
      <c r="C73" s="232"/>
      <c r="D73" s="233"/>
      <c r="E73" s="233"/>
      <c r="F73" s="233"/>
      <c r="G73" s="232"/>
      <c r="H73" s="232"/>
      <c r="I73" s="234">
        <f>I27</f>
        <v>66795.25</v>
      </c>
    </row>
    <row r="74" spans="1:9">
      <c r="A74" s="230" t="s">
        <v>354</v>
      </c>
      <c r="B74" s="232"/>
      <c r="C74" s="232"/>
      <c r="D74" s="233"/>
      <c r="E74" s="233"/>
      <c r="F74" s="233"/>
      <c r="G74" s="232"/>
      <c r="H74" s="232"/>
      <c r="I74" s="234">
        <f>I36</f>
        <v>32267</v>
      </c>
    </row>
    <row r="75" spans="1:9">
      <c r="A75" s="230" t="s">
        <v>355</v>
      </c>
      <c r="B75" s="232"/>
      <c r="C75" s="232"/>
      <c r="D75" s="233"/>
      <c r="E75" s="233"/>
      <c r="F75" s="233"/>
      <c r="G75" s="232"/>
      <c r="H75" s="232"/>
      <c r="I75" s="234">
        <f>I62</f>
        <v>41901.089999999967</v>
      </c>
    </row>
    <row r="76" spans="1:9">
      <c r="A76" s="230"/>
      <c r="B76" s="232"/>
      <c r="C76" s="232"/>
      <c r="D76" s="233"/>
      <c r="E76" s="233"/>
      <c r="F76" s="233"/>
      <c r="G76" s="232"/>
      <c r="H76" s="232"/>
      <c r="I76" s="234"/>
    </row>
    <row r="77" spans="1:9">
      <c r="A77" s="230" t="s">
        <v>356</v>
      </c>
      <c r="B77" s="232"/>
      <c r="C77" s="232"/>
      <c r="D77" s="233"/>
      <c r="E77" s="233"/>
      <c r="F77" s="233"/>
      <c r="G77" s="232"/>
      <c r="H77" s="232"/>
      <c r="I77" s="234">
        <f>-I13</f>
        <v>-12500</v>
      </c>
    </row>
    <row r="78" spans="1:9">
      <c r="A78" s="230" t="s">
        <v>357</v>
      </c>
      <c r="B78" s="232"/>
      <c r="C78" s="232"/>
      <c r="D78" s="233"/>
      <c r="E78" s="233"/>
      <c r="F78" s="233"/>
      <c r="G78" s="232"/>
      <c r="H78" s="232"/>
      <c r="I78" s="234">
        <f>-I10</f>
        <v>-23150</v>
      </c>
    </row>
    <row r="79" spans="1:9">
      <c r="A79" s="230" t="s">
        <v>358</v>
      </c>
      <c r="B79" s="232"/>
      <c r="C79" s="232"/>
      <c r="D79" s="233"/>
      <c r="E79" s="233"/>
      <c r="F79" s="233"/>
      <c r="G79" s="232"/>
      <c r="H79" s="232"/>
      <c r="I79" s="234">
        <f>-I11</f>
        <v>2770</v>
      </c>
    </row>
    <row r="80" spans="1:9">
      <c r="A80" s="230" t="s">
        <v>359</v>
      </c>
      <c r="B80" s="232"/>
      <c r="C80" s="232"/>
      <c r="D80" s="233"/>
      <c r="E80" s="233"/>
      <c r="F80" s="233"/>
      <c r="G80" s="232"/>
      <c r="H80" s="232"/>
      <c r="I80" s="234">
        <f>-I8</f>
        <v>-80713.5</v>
      </c>
    </row>
    <row r="81" spans="1:9">
      <c r="A81" s="230"/>
      <c r="B81" s="232"/>
      <c r="C81" s="232"/>
      <c r="D81" s="233"/>
      <c r="E81" s="233"/>
      <c r="F81" s="233"/>
      <c r="G81" s="232"/>
      <c r="H81" s="232"/>
      <c r="I81" s="234"/>
    </row>
    <row r="82" spans="1:9">
      <c r="A82" s="230" t="s">
        <v>360</v>
      </c>
      <c r="B82" s="232"/>
      <c r="C82" s="232"/>
      <c r="D82" s="233"/>
      <c r="E82" s="233"/>
      <c r="F82" s="233"/>
      <c r="G82" s="232"/>
      <c r="H82" s="232"/>
      <c r="I82" s="234">
        <f>SUM(I71:I80)</f>
        <v>14258.480000000098</v>
      </c>
    </row>
    <row r="83" spans="1:9" ht="15.75" thickBot="1">
      <c r="A83" s="235"/>
      <c r="B83" s="236"/>
      <c r="C83" s="236"/>
      <c r="D83" s="237"/>
      <c r="E83" s="237"/>
      <c r="F83" s="237"/>
      <c r="G83" s="236"/>
      <c r="H83" s="236"/>
      <c r="I83" s="238"/>
    </row>
    <row r="85" spans="1:9">
      <c r="A85" t="s">
        <v>361</v>
      </c>
      <c r="D85" s="2">
        <f>D64-D19+75000</f>
        <v>1520306.3399999999</v>
      </c>
    </row>
    <row r="86" spans="1:9">
      <c r="A86" t="s">
        <v>362</v>
      </c>
      <c r="D86" s="2">
        <v>1519210</v>
      </c>
    </row>
    <row r="87" spans="1:9">
      <c r="A87" t="s">
        <v>363</v>
      </c>
      <c r="D87" s="2">
        <f>D85-D86</f>
        <v>1096.339999999851</v>
      </c>
    </row>
  </sheetData>
  <pageMargins left="0.3" right="0.3" top="0.25" bottom="0.25" header="0" footer="0"/>
  <pageSetup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C1D32-AB45-4822-A8AE-48357978209B}">
  <dimension ref="A1:M63"/>
  <sheetViews>
    <sheetView zoomScaleNormal="100" workbookViewId="0">
      <pane ySplit="8" topLeftCell="A9" activePane="bottomLeft" state="frozen"/>
      <selection activeCell="A61" activeCellId="1" sqref="A61 A61:IV61"/>
      <selection pane="bottomLeft"/>
    </sheetView>
  </sheetViews>
  <sheetFormatPr defaultColWidth="9.140625" defaultRowHeight="12.75"/>
  <cols>
    <col min="1" max="1" width="16.42578125" style="9" customWidth="1"/>
    <col min="2" max="2" width="21.140625" style="9" customWidth="1"/>
    <col min="3" max="3" width="13.42578125" style="8" customWidth="1"/>
    <col min="4" max="4" width="1.5703125" style="6" customWidth="1"/>
    <col min="5" max="5" width="116.140625" style="6" customWidth="1"/>
    <col min="6" max="6" width="7.5703125" style="7" customWidth="1"/>
    <col min="7" max="7" width="9.140625" style="6" bestFit="1" customWidth="1"/>
    <col min="8" max="8" width="10.42578125" style="6" bestFit="1" customWidth="1"/>
    <col min="9" max="16384" width="9.140625" style="6"/>
  </cols>
  <sheetData>
    <row r="1" spans="1:6" s="10" customFormat="1" ht="17.25" customHeight="1">
      <c r="A1" s="79"/>
      <c r="B1" s="79"/>
      <c r="C1" s="78"/>
      <c r="E1" s="77"/>
      <c r="F1" s="7"/>
    </row>
    <row r="2" spans="1:6" s="64" customFormat="1" ht="15.75">
      <c r="B2" s="69" t="s">
        <v>213</v>
      </c>
      <c r="C2" s="76">
        <f>+C63</f>
        <v>1135066.3399999999</v>
      </c>
      <c r="D2" s="75"/>
      <c r="E2" s="74">
        <f>+C2-'[5]Budget Request'!I60</f>
        <v>-216207.66000000015</v>
      </c>
    </row>
    <row r="3" spans="1:6" s="7" customFormat="1" ht="24.75">
      <c r="A3" s="73" t="s">
        <v>212</v>
      </c>
      <c r="C3" s="63"/>
      <c r="D3" s="28"/>
      <c r="E3" s="72" t="s">
        <v>211</v>
      </c>
    </row>
    <row r="4" spans="1:6" s="64" customFormat="1" ht="15.75">
      <c r="A4" s="68" t="s">
        <v>210</v>
      </c>
      <c r="B4" s="71"/>
      <c r="C4" s="70" t="s">
        <v>209</v>
      </c>
      <c r="E4" s="69" t="s">
        <v>208</v>
      </c>
    </row>
    <row r="5" spans="1:6" s="64" customFormat="1" ht="15.75">
      <c r="A5" s="68" t="s">
        <v>207</v>
      </c>
      <c r="B5" s="67"/>
      <c r="C5" s="66" t="s">
        <v>206</v>
      </c>
      <c r="E5" s="65">
        <f ca="1">+NOW()</f>
        <v>44935.567127430557</v>
      </c>
    </row>
    <row r="6" spans="1:6" s="7" customFormat="1">
      <c r="C6" s="63"/>
      <c r="D6" s="28"/>
      <c r="E6" s="62"/>
    </row>
    <row r="7" spans="1:6" s="49" customFormat="1">
      <c r="B7" s="61" t="s">
        <v>205</v>
      </c>
      <c r="C7" s="60" t="s">
        <v>204</v>
      </c>
      <c r="D7" s="59"/>
    </row>
    <row r="8" spans="1:6" s="49" customFormat="1">
      <c r="A8" s="58" t="s">
        <v>203</v>
      </c>
      <c r="B8" s="58" t="s">
        <v>202</v>
      </c>
      <c r="C8" s="57" t="s">
        <v>201</v>
      </c>
      <c r="D8" s="56"/>
      <c r="E8" s="55" t="s">
        <v>200</v>
      </c>
    </row>
    <row r="9" spans="1:6">
      <c r="A9" s="54" t="s">
        <v>199</v>
      </c>
      <c r="B9" s="53"/>
      <c r="C9" s="52"/>
      <c r="D9" s="14"/>
      <c r="E9" s="14"/>
    </row>
    <row r="10" spans="1:6" ht="33" customHeight="1">
      <c r="A10" s="23" t="s">
        <v>198</v>
      </c>
      <c r="B10" s="14" t="s">
        <v>20</v>
      </c>
      <c r="C10" s="20">
        <f>Budget!D19</f>
        <v>77625</v>
      </c>
      <c r="D10" s="14"/>
      <c r="E10" s="51" t="s">
        <v>197</v>
      </c>
    </row>
    <row r="11" spans="1:6" ht="31.15" customHeight="1">
      <c r="A11" s="21" t="s">
        <v>196</v>
      </c>
      <c r="B11" s="14" t="s">
        <v>22</v>
      </c>
      <c r="C11" s="20">
        <f>Budget!D20</f>
        <v>103041</v>
      </c>
      <c r="D11" s="14"/>
      <c r="E11" s="24" t="s">
        <v>195</v>
      </c>
      <c r="F11" s="24"/>
    </row>
    <row r="12" spans="1:6" ht="58.15" customHeight="1">
      <c r="A12" s="21" t="s">
        <v>194</v>
      </c>
      <c r="B12" s="14" t="s">
        <v>25</v>
      </c>
      <c r="C12" s="20">
        <f>Budget!D21</f>
        <v>200771.25</v>
      </c>
      <c r="D12" s="14"/>
      <c r="E12" s="24" t="s">
        <v>193</v>
      </c>
      <c r="F12" s="22"/>
    </row>
    <row r="13" spans="1:6" ht="30">
      <c r="A13" s="21" t="s">
        <v>192</v>
      </c>
      <c r="B13" s="14" t="s">
        <v>235</v>
      </c>
      <c r="C13" s="20">
        <f>Budget!D22</f>
        <v>139776</v>
      </c>
      <c r="D13" s="14"/>
      <c r="E13" s="82" t="s">
        <v>236</v>
      </c>
      <c r="F13" s="49"/>
    </row>
    <row r="14" spans="1:6" ht="47.1" customHeight="1">
      <c r="A14" s="50" t="s">
        <v>191</v>
      </c>
      <c r="B14" s="7" t="s">
        <v>190</v>
      </c>
      <c r="C14" s="20">
        <f>Budget!D23</f>
        <v>1625</v>
      </c>
      <c r="D14" s="14"/>
      <c r="E14" s="24" t="s">
        <v>189</v>
      </c>
      <c r="F14" s="49"/>
    </row>
    <row r="15" spans="1:6" ht="86.1" customHeight="1">
      <c r="A15" s="21" t="s">
        <v>188</v>
      </c>
      <c r="B15" s="14" t="s">
        <v>34</v>
      </c>
      <c r="C15" s="20">
        <f>Budget!D24</f>
        <v>31226</v>
      </c>
      <c r="D15" s="14"/>
      <c r="E15" s="22" t="s">
        <v>187</v>
      </c>
    </row>
    <row r="16" spans="1:6" ht="59.25" customHeight="1">
      <c r="A16" s="36"/>
      <c r="B16" s="14"/>
      <c r="D16" s="14"/>
      <c r="E16" s="14" t="s">
        <v>186</v>
      </c>
    </row>
    <row r="17" spans="1:6" ht="38.25">
      <c r="A17" s="21" t="s">
        <v>185</v>
      </c>
      <c r="B17" s="14" t="s">
        <v>36</v>
      </c>
      <c r="C17" s="20">
        <f>Budget!D25</f>
        <v>50000</v>
      </c>
      <c r="D17" s="14"/>
      <c r="E17" s="48" t="s">
        <v>184</v>
      </c>
    </row>
    <row r="18" spans="1:6" ht="27.75" customHeight="1">
      <c r="A18" s="21" t="s">
        <v>183</v>
      </c>
      <c r="B18" s="14" t="s">
        <v>38</v>
      </c>
      <c r="C18" s="20">
        <f>Budget!D26</f>
        <v>3300</v>
      </c>
      <c r="E18" s="26" t="s">
        <v>182</v>
      </c>
      <c r="F18" s="47"/>
    </row>
    <row r="19" spans="1:6">
      <c r="A19" s="36"/>
      <c r="B19" s="14"/>
      <c r="C19" s="20"/>
      <c r="D19" s="14"/>
      <c r="E19" s="45" t="s">
        <v>181</v>
      </c>
      <c r="F19" s="44"/>
    </row>
    <row r="20" spans="1:6" ht="15" customHeight="1">
      <c r="A20" s="46"/>
      <c r="B20" s="14"/>
      <c r="C20" s="20"/>
      <c r="D20" s="14"/>
      <c r="E20" s="45" t="s">
        <v>180</v>
      </c>
      <c r="F20" s="44"/>
    </row>
    <row r="21" spans="1:6">
      <c r="A21" s="17"/>
      <c r="B21" s="19" t="s">
        <v>179</v>
      </c>
      <c r="C21" s="43">
        <f>SUM(C10:C20)</f>
        <v>607364.25</v>
      </c>
      <c r="D21" s="14" t="s">
        <v>121</v>
      </c>
      <c r="E21" s="14"/>
    </row>
    <row r="22" spans="1:6">
      <c r="A22" s="17"/>
      <c r="B22" s="16"/>
      <c r="C22" s="15"/>
      <c r="D22" s="14"/>
      <c r="E22" s="14"/>
    </row>
    <row r="23" spans="1:6">
      <c r="A23" s="42" t="s">
        <v>178</v>
      </c>
      <c r="B23" s="41"/>
      <c r="C23" s="40"/>
      <c r="D23" s="39"/>
      <c r="E23" s="39"/>
      <c r="F23" s="38"/>
    </row>
    <row r="24" spans="1:6" ht="29.25" customHeight="1">
      <c r="A24" s="21" t="s">
        <v>177</v>
      </c>
      <c r="B24" s="14" t="s">
        <v>40</v>
      </c>
      <c r="C24" s="20">
        <f>Budget!D29</f>
        <v>21594</v>
      </c>
      <c r="D24" s="14"/>
      <c r="E24" s="24" t="s">
        <v>176</v>
      </c>
    </row>
    <row r="25" spans="1:6" ht="23.1" customHeight="1">
      <c r="A25" s="21" t="s">
        <v>175</v>
      </c>
      <c r="B25" s="14" t="s">
        <v>42</v>
      </c>
      <c r="C25" s="20">
        <f>Budget!D30</f>
        <v>46379</v>
      </c>
      <c r="D25" s="14"/>
      <c r="E25" s="24" t="s">
        <v>174</v>
      </c>
    </row>
    <row r="26" spans="1:6" ht="48.75" customHeight="1">
      <c r="A26" s="21" t="s">
        <v>173</v>
      </c>
      <c r="B26" s="14" t="s">
        <v>44</v>
      </c>
      <c r="C26" s="20">
        <f>Budget!D31</f>
        <v>17500</v>
      </c>
      <c r="D26" s="14"/>
      <c r="E26" s="24" t="s">
        <v>172</v>
      </c>
    </row>
    <row r="27" spans="1:6" ht="20.45" customHeight="1">
      <c r="A27" s="21" t="s">
        <v>171</v>
      </c>
      <c r="B27" s="14" t="s">
        <v>46</v>
      </c>
      <c r="C27" s="20">
        <f>Budget!D32</f>
        <v>32460</v>
      </c>
      <c r="D27" s="14"/>
      <c r="E27" s="24" t="s">
        <v>170</v>
      </c>
    </row>
    <row r="28" spans="1:6" ht="27.75" customHeight="1">
      <c r="A28" s="21" t="s">
        <v>169</v>
      </c>
      <c r="B28" s="14" t="s">
        <v>48</v>
      </c>
      <c r="C28" s="20">
        <f>Budget!D33</f>
        <v>2007</v>
      </c>
      <c r="D28" s="14"/>
      <c r="E28" s="24" t="s">
        <v>168</v>
      </c>
    </row>
    <row r="29" spans="1:6" ht="32.1" customHeight="1">
      <c r="A29" s="21" t="s">
        <v>167</v>
      </c>
      <c r="B29" s="14" t="s">
        <v>50</v>
      </c>
      <c r="C29" s="20">
        <f>Budget!D34</f>
        <v>97672</v>
      </c>
      <c r="D29" s="14"/>
      <c r="E29" s="24" t="s">
        <v>166</v>
      </c>
    </row>
    <row r="30" spans="1:6" ht="31.5" customHeight="1">
      <c r="A30" s="21" t="s">
        <v>165</v>
      </c>
      <c r="B30" s="14" t="s">
        <v>53</v>
      </c>
      <c r="C30" s="20">
        <f>Budget!D35</f>
        <v>7000</v>
      </c>
      <c r="E30" s="22" t="s">
        <v>164</v>
      </c>
    </row>
    <row r="31" spans="1:6" ht="12" customHeight="1">
      <c r="B31" s="19" t="s">
        <v>163</v>
      </c>
      <c r="C31" s="43">
        <f>SUM(C24:C30)</f>
        <v>224612</v>
      </c>
      <c r="D31" s="14" t="s">
        <v>121</v>
      </c>
      <c r="E31" s="14"/>
    </row>
    <row r="32" spans="1:6" ht="12" customHeight="1">
      <c r="A32" s="17"/>
      <c r="B32" s="16"/>
      <c r="C32" s="15"/>
      <c r="D32" s="14"/>
      <c r="E32" s="14"/>
    </row>
    <row r="33" spans="1:8">
      <c r="A33" s="42" t="s">
        <v>162</v>
      </c>
      <c r="B33" s="41"/>
      <c r="C33" s="40"/>
      <c r="D33" s="39"/>
      <c r="E33" s="39"/>
      <c r="F33" s="38"/>
    </row>
    <row r="34" spans="1:8" ht="30" customHeight="1">
      <c r="A34" s="21" t="s">
        <v>161</v>
      </c>
      <c r="B34" s="14" t="s">
        <v>55</v>
      </c>
      <c r="C34" s="20">
        <f>Budget!D38</f>
        <v>71105</v>
      </c>
      <c r="E34" s="22" t="s">
        <v>219</v>
      </c>
    </row>
    <row r="35" spans="1:8" ht="33" customHeight="1">
      <c r="A35" s="21" t="s">
        <v>160</v>
      </c>
      <c r="B35" s="14" t="s">
        <v>57</v>
      </c>
      <c r="C35" s="20">
        <f>Budget!D39</f>
        <v>22500</v>
      </c>
      <c r="E35" s="14" t="s">
        <v>159</v>
      </c>
    </row>
    <row r="36" spans="1:8" ht="32.1" customHeight="1">
      <c r="A36" s="21" t="s">
        <v>158</v>
      </c>
      <c r="B36" s="14" t="s">
        <v>59</v>
      </c>
      <c r="C36" s="20">
        <f>Budget!D40</f>
        <v>41260</v>
      </c>
      <c r="E36" s="14" t="s">
        <v>157</v>
      </c>
    </row>
    <row r="37" spans="1:8">
      <c r="A37" s="36"/>
      <c r="B37" s="14"/>
      <c r="E37" s="35" t="s">
        <v>218</v>
      </c>
      <c r="F37" s="34"/>
      <c r="G37" s="33"/>
      <c r="H37" s="33"/>
    </row>
    <row r="38" spans="1:8">
      <c r="A38" s="36"/>
      <c r="B38" s="14"/>
      <c r="C38" s="28"/>
      <c r="E38" s="35" t="s">
        <v>217</v>
      </c>
      <c r="F38" s="34"/>
      <c r="G38" s="33"/>
      <c r="H38" s="37"/>
    </row>
    <row r="39" spans="1:8">
      <c r="A39" s="36"/>
      <c r="B39" s="14"/>
      <c r="C39" s="28"/>
      <c r="E39" s="35"/>
      <c r="F39" s="34"/>
      <c r="G39" s="33"/>
      <c r="H39" s="32"/>
    </row>
    <row r="40" spans="1:8" ht="45" customHeight="1">
      <c r="A40" s="21" t="s">
        <v>156</v>
      </c>
      <c r="B40" s="14" t="s">
        <v>61</v>
      </c>
      <c r="C40" s="20">
        <f>Budget!D41</f>
        <v>4500</v>
      </c>
      <c r="D40" s="14"/>
      <c r="E40" s="14" t="s">
        <v>155</v>
      </c>
      <c r="F40" s="28"/>
      <c r="G40" s="28"/>
    </row>
    <row r="41" spans="1:8" ht="34.5" customHeight="1">
      <c r="A41" s="30">
        <v>53202</v>
      </c>
      <c r="B41" s="14" t="s">
        <v>63</v>
      </c>
      <c r="C41" s="20">
        <f>Budget!D42</f>
        <v>22500</v>
      </c>
      <c r="E41" s="14" t="s">
        <v>154</v>
      </c>
      <c r="F41" s="28"/>
      <c r="G41" s="28"/>
    </row>
    <row r="42" spans="1:8" ht="31.5" customHeight="1">
      <c r="A42" s="31">
        <v>53208</v>
      </c>
      <c r="B42" s="7" t="s">
        <v>65</v>
      </c>
      <c r="C42" s="20">
        <f>Budget!D43</f>
        <v>10000</v>
      </c>
      <c r="D42" s="14"/>
      <c r="E42" s="14" t="s">
        <v>153</v>
      </c>
      <c r="F42" s="28"/>
      <c r="G42" s="28"/>
    </row>
    <row r="43" spans="1:8" ht="31.5" customHeight="1">
      <c r="A43" s="21" t="s">
        <v>152</v>
      </c>
      <c r="B43" s="14" t="s">
        <v>67</v>
      </c>
      <c r="C43" s="20">
        <f>Budget!D44</f>
        <v>7500</v>
      </c>
      <c r="D43" s="14"/>
      <c r="E43" s="14" t="s">
        <v>151</v>
      </c>
      <c r="F43" s="28"/>
      <c r="G43" s="28"/>
    </row>
    <row r="44" spans="1:8" ht="27" customHeight="1">
      <c r="A44" s="21" t="s">
        <v>150</v>
      </c>
      <c r="B44" s="14" t="s">
        <v>149</v>
      </c>
      <c r="C44" s="20">
        <f>Budget!D45</f>
        <v>35500</v>
      </c>
      <c r="E44" s="14" t="s">
        <v>148</v>
      </c>
    </row>
    <row r="45" spans="1:8" ht="26.25" customHeight="1">
      <c r="A45" s="30">
        <v>53241</v>
      </c>
      <c r="B45" s="14" t="s">
        <v>147</v>
      </c>
      <c r="C45" s="20">
        <f>Budget!D46</f>
        <v>13000</v>
      </c>
      <c r="E45" s="14" t="s">
        <v>146</v>
      </c>
    </row>
    <row r="46" spans="1:8" ht="51" customHeight="1">
      <c r="A46" s="21" t="s">
        <v>145</v>
      </c>
      <c r="B46" s="14" t="s">
        <v>73</v>
      </c>
      <c r="C46" s="20">
        <f>Budget!D47</f>
        <v>130000</v>
      </c>
      <c r="E46" s="14" t="s">
        <v>216</v>
      </c>
    </row>
    <row r="47" spans="1:8" ht="39.75" customHeight="1">
      <c r="A47" s="21" t="s">
        <v>144</v>
      </c>
      <c r="B47" s="14" t="s">
        <v>75</v>
      </c>
      <c r="C47" s="20">
        <f>Budget!D48</f>
        <v>30000</v>
      </c>
      <c r="D47" s="14"/>
      <c r="E47" s="14" t="s">
        <v>143</v>
      </c>
    </row>
    <row r="48" spans="1:8" ht="30" hidden="1" customHeight="1">
      <c r="A48" s="21" t="s">
        <v>142</v>
      </c>
      <c r="B48" s="14" t="s">
        <v>141</v>
      </c>
      <c r="C48" s="20" t="e">
        <f>#REF!</f>
        <v>#REF!</v>
      </c>
      <c r="E48" s="29" t="s">
        <v>140</v>
      </c>
    </row>
    <row r="49" spans="1:13" ht="42" customHeight="1">
      <c r="A49" s="21" t="s">
        <v>139</v>
      </c>
      <c r="B49" s="14" t="s">
        <v>138</v>
      </c>
      <c r="C49" s="20">
        <f>Budget!D50</f>
        <v>90000</v>
      </c>
      <c r="D49" s="28"/>
      <c r="E49" s="14" t="s">
        <v>215</v>
      </c>
    </row>
    <row r="50" spans="1:13" ht="33.75" customHeight="1">
      <c r="A50" s="21" t="s">
        <v>137</v>
      </c>
      <c r="B50" s="7" t="s">
        <v>81</v>
      </c>
      <c r="C50" s="20">
        <f>Budget!D51</f>
        <v>78749.94</v>
      </c>
      <c r="E50" s="14" t="s">
        <v>214</v>
      </c>
    </row>
    <row r="51" spans="1:13" ht="24" customHeight="1">
      <c r="A51" s="21" t="s">
        <v>136</v>
      </c>
      <c r="B51" s="14" t="s">
        <v>83</v>
      </c>
      <c r="C51" s="20">
        <f>Budget!D52</f>
        <v>32289</v>
      </c>
      <c r="E51" s="14" t="s">
        <v>135</v>
      </c>
      <c r="F51" s="28"/>
    </row>
    <row r="52" spans="1:13" ht="45.75" customHeight="1">
      <c r="A52" s="21" t="s">
        <v>134</v>
      </c>
      <c r="B52" s="14" t="s">
        <v>85</v>
      </c>
      <c r="C52" s="20">
        <f>Budget!D53</f>
        <v>17120</v>
      </c>
      <c r="E52" s="14" t="s">
        <v>237</v>
      </c>
    </row>
    <row r="53" spans="1:13" ht="24.75" customHeight="1">
      <c r="A53" s="21" t="s">
        <v>133</v>
      </c>
      <c r="B53" s="14" t="s">
        <v>87</v>
      </c>
      <c r="C53" s="20">
        <f>Budget!D54</f>
        <v>7890.15</v>
      </c>
      <c r="E53" s="14" t="s">
        <v>238</v>
      </c>
    </row>
    <row r="54" spans="1:13" ht="33" customHeight="1">
      <c r="A54" s="21" t="s">
        <v>132</v>
      </c>
      <c r="B54" s="14" t="s">
        <v>90</v>
      </c>
      <c r="C54" s="20">
        <f>Budget!D55</f>
        <v>4000</v>
      </c>
      <c r="E54" s="14" t="s">
        <v>239</v>
      </c>
    </row>
    <row r="55" spans="1:13" ht="35.450000000000003" customHeight="1">
      <c r="A55" s="27" t="s">
        <v>131</v>
      </c>
      <c r="B55" s="14" t="s">
        <v>92</v>
      </c>
      <c r="C55" s="20">
        <f>Budget!D56</f>
        <v>14641</v>
      </c>
      <c r="E55" s="26" t="s">
        <v>130</v>
      </c>
    </row>
    <row r="56" spans="1:13" ht="32.25" customHeight="1">
      <c r="A56" s="21" t="s">
        <v>129</v>
      </c>
      <c r="B56" s="25" t="s">
        <v>94</v>
      </c>
      <c r="C56" s="20">
        <f>Budget!D57</f>
        <v>10000</v>
      </c>
      <c r="D56" s="14"/>
      <c r="E56" s="14" t="s">
        <v>128</v>
      </c>
    </row>
    <row r="57" spans="1:13" ht="30.75" customHeight="1">
      <c r="A57" s="21" t="s">
        <v>127</v>
      </c>
      <c r="B57" s="25" t="s">
        <v>126</v>
      </c>
      <c r="C57" s="20">
        <f>Budget!D58</f>
        <v>34338</v>
      </c>
      <c r="E57" s="24" t="s">
        <v>240</v>
      </c>
      <c r="F57" s="22"/>
    </row>
    <row r="58" spans="1:13" ht="27.75" customHeight="1">
      <c r="A58" s="23" t="s">
        <v>125</v>
      </c>
      <c r="B58" s="14" t="s">
        <v>99</v>
      </c>
      <c r="C58" s="20">
        <f>Budget!D59</f>
        <v>2000</v>
      </c>
      <c r="E58" s="22" t="s">
        <v>241</v>
      </c>
    </row>
    <row r="59" spans="1:13" ht="35.25" customHeight="1">
      <c r="A59" s="21" t="s">
        <v>124</v>
      </c>
      <c r="B59" s="14" t="s">
        <v>101</v>
      </c>
      <c r="C59" s="20">
        <f>Budget!D60</f>
        <v>300</v>
      </c>
      <c r="E59" s="22" t="s">
        <v>242</v>
      </c>
      <c r="M59" s="13"/>
    </row>
    <row r="60" spans="1:13" ht="91.5" customHeight="1">
      <c r="A60" s="21" t="s">
        <v>123</v>
      </c>
      <c r="B60" s="14" t="s">
        <v>103</v>
      </c>
      <c r="C60" s="20">
        <f>Budget!D61</f>
        <v>11762</v>
      </c>
      <c r="E60" s="14" t="s">
        <v>243</v>
      </c>
      <c r="M60" s="13"/>
    </row>
    <row r="61" spans="1:13" ht="15">
      <c r="A61" s="17"/>
      <c r="B61" s="19" t="s">
        <v>122</v>
      </c>
      <c r="C61" s="18">
        <f>SUM(C49:C60)</f>
        <v>303090.08999999997</v>
      </c>
      <c r="D61" s="14" t="s">
        <v>121</v>
      </c>
      <c r="E61" s="14"/>
      <c r="M61" s="13"/>
    </row>
    <row r="62" spans="1:13" ht="15">
      <c r="A62" s="17"/>
      <c r="B62" s="16"/>
      <c r="C62" s="15"/>
      <c r="D62" s="14"/>
      <c r="M62" s="13"/>
    </row>
    <row r="63" spans="1:13" s="10" customFormat="1">
      <c r="A63" s="12" t="s">
        <v>120</v>
      </c>
      <c r="B63" s="12"/>
      <c r="C63" s="11">
        <f>+C61+C31+C21</f>
        <v>1135066.3399999999</v>
      </c>
      <c r="E63" s="6"/>
      <c r="F63" s="7"/>
    </row>
  </sheetData>
  <printOptions gridLines="1"/>
  <pageMargins left="0.41" right="0.46" top="0.79" bottom="0.5" header="0.35" footer="0.17"/>
  <pageSetup scale="76" orientation="landscape" r:id="rId1"/>
  <headerFooter alignWithMargins="0">
    <oddFooter>&amp;L&amp;"Arial,Bold"&amp;F - &amp;A&amp;C&amp;"Arial,Bold"&amp;P/&amp;N&amp;R&amp;"Arial,Bold"&amp;D</oddFooter>
  </headerFooter>
  <rowBreaks count="1" manualBreakCount="1">
    <brk id="1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2023 Revenue Projection</vt:lpstr>
      <vt:lpstr>Budget</vt:lpstr>
      <vt:lpstr>Narrative</vt:lpstr>
      <vt:lpstr>'2023 Revenue Projection'!Print_Area</vt:lpstr>
      <vt:lpstr>Budget!Print_Area</vt:lpstr>
      <vt:lpstr>Narrative!Print_Area</vt:lpstr>
      <vt:lpstr>'2023 Revenue Projection'!Print_Titles</vt:lpstr>
      <vt:lpstr>Budget!Print_Titles</vt:lpstr>
      <vt:lpstr>Narrative!Print_Titles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 Salvios</dc:creator>
  <cp:lastModifiedBy>Sol Guerrero</cp:lastModifiedBy>
  <cp:lastPrinted>2022-12-02T01:08:50Z</cp:lastPrinted>
  <dcterms:created xsi:type="dcterms:W3CDTF">2022-01-15T00:18:11Z</dcterms:created>
  <dcterms:modified xsi:type="dcterms:W3CDTF">2023-01-09T18:37:06Z</dcterms:modified>
</cp:coreProperties>
</file>