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120" yWindow="-120" windowWidth="20730" windowHeight="11760" tabRatio="819" firstSheet="9" activeTab="9"/>
  </bookViews>
  <sheets>
    <sheet name="Project Details by Yr - MASTER" sheetId="1" state="hidden" r:id="rId1"/>
    <sheet name="Project Details by Yr" sheetId="2" state="hidden" r:id="rId2"/>
    <sheet name="FY 2018-19 Capital Requests" sheetId="3" state="hidden" r:id="rId3"/>
    <sheet name="Summary" sheetId="4" state="hidden" r:id="rId4"/>
    <sheet name="Capital-Debt Strategy" sheetId="22" state="hidden" r:id="rId5"/>
    <sheet name="Capital Graphic" sheetId="25" state="hidden" r:id="rId6"/>
    <sheet name="Requested Graphic" sheetId="23" state="hidden" r:id="rId7"/>
    <sheet name="Committee Graphic" sheetId="24" state="hidden" r:id="rId8"/>
    <sheet name="Capital Graphic (2)" sheetId="26" state="hidden" r:id="rId9"/>
    <sheet name="CIP Details" sheetId="5" r:id="rId10"/>
    <sheet name="Bond Details" sheetId="8" r:id="rId11"/>
    <sheet name="Water Control" sheetId="7" r:id="rId12"/>
    <sheet name="Capital-Funding Budget Summary" sheetId="20" state="hidden" r:id="rId13"/>
    <sheet name="GF Budget Tracking" sheetId="21" state="hidden" r:id="rId14"/>
    <sheet name="Ops amts removed from plan" sheetId="6" state="hidden" r:id="rId15"/>
    <sheet name="Other Capital Needs" sheetId="9" state="hidden" r:id="rId16"/>
    <sheet name="Public Grounds" sheetId="10" state="hidden" r:id="rId17"/>
    <sheet name="Public Buildings" sheetId="11" state="hidden" r:id="rId18"/>
    <sheet name="Bridges" sheetId="12" state="hidden" r:id="rId19"/>
    <sheet name="Parking Lots &amp; Playgrounds" sheetId="13" state="hidden" r:id="rId20"/>
    <sheet name="Vehicles" sheetId="14" state="hidden" r:id="rId21"/>
    <sheet name="GF Detail (CY only)" sheetId="15" state="hidden" r:id="rId22"/>
    <sheet name="GF Details (FY20 ONLY)" sheetId="16" state="hidden" r:id="rId23"/>
    <sheet name="GF Details (FY21 ONLY)" sheetId="17" state="hidden" r:id="rId24"/>
    <sheet name="FY21 Capital Budget Summary" sheetId="18" state="hidden" r:id="rId25"/>
    <sheet name="Bridge Funding" sheetId="19" state="hidden" r:id="rId26"/>
  </sheets>
  <definedNames>
    <definedName name="_xlnm._FilterDatabase" localSheetId="21" hidden="1">'GF Detail (CY only)'!$A$2:$E$65</definedName>
    <definedName name="_xlnm.Print_Area" localSheetId="8">'Capital Graphic (2)'!$A$1:$N$95</definedName>
    <definedName name="_xlnm.Print_Area" localSheetId="12">'Capital-Funding Budget Summary'!$C$1:$T$130</definedName>
    <definedName name="_xlnm.Print_Area" localSheetId="9">'CIP Details'!$C$1:$Y$423</definedName>
    <definedName name="_xlnm.Print_Area" localSheetId="24">'FY21 Capital Budget Summary'!$C$1:$L$185</definedName>
    <definedName name="_xlnm.Print_Area" localSheetId="13">'GF Budget Tracking'!$C$1:$T$78</definedName>
    <definedName name="_xlnm.Print_Area" localSheetId="21">'GF Detail (CY only)'!$A$2:$G$71</definedName>
    <definedName name="_xlnm.Print_Area" localSheetId="22">'GF Details (FY20 ONLY)'!$C$1:$M$60</definedName>
    <definedName name="_xlnm.Print_Area" localSheetId="23">'GF Details (FY21 ONLY)'!#REF!</definedName>
    <definedName name="_xlnm.Print_Area" localSheetId="15">'Other Capital Needs'!$A$1:$Q$132</definedName>
    <definedName name="_xlnm.Print_Area" localSheetId="1">'Project Details by Yr'!$A$1:$K$300</definedName>
    <definedName name="_xlnm.Print_Area" localSheetId="17">'Public Buildings'!$A$1:$O$131</definedName>
    <definedName name="_xlnm.Print_Area" localSheetId="16">'Public Grounds'!$A$1:$O$84</definedName>
    <definedName name="_xlnm.Print_Titles" localSheetId="12">'Capital-Funding Budget Summary'!$1:$8</definedName>
    <definedName name="_xlnm.Print_Titles" localSheetId="9">'CIP Details'!$1:$8</definedName>
    <definedName name="_xlnm.Print_Titles" localSheetId="24">'FY21 Capital Budget Summary'!$1:$4</definedName>
    <definedName name="_xlnm.Print_Titles" localSheetId="13">'GF Budget Tracking'!$1:$8</definedName>
    <definedName name="_xlnm.Print_Titles" localSheetId="22">'GF Details (FY20 ONLY)'!$1:$1</definedName>
    <definedName name="_xlnm.Print_Titles" localSheetId="23">'GF Details (FY21 ONLY)'!#REF!</definedName>
    <definedName name="Z_BB410D8C_36DE_400F_AB69_DB51CF9CA663_.wvu.Cols" localSheetId="10" hidden="1">'Bond Details'!$A:$A</definedName>
    <definedName name="Z_BB410D8C_36DE_400F_AB69_DB51CF9CA663_.wvu.Cols" localSheetId="12" hidden="1">'Capital-Funding Budget Summary'!$A:$B</definedName>
    <definedName name="Z_BB410D8C_36DE_400F_AB69_DB51CF9CA663_.wvu.Cols" localSheetId="9" hidden="1">'CIP Details'!$A:$B</definedName>
    <definedName name="Z_BB410D8C_36DE_400F_AB69_DB51CF9CA663_.wvu.Cols" localSheetId="24" hidden="1">'FY21 Capital Budget Summary'!$A:$B</definedName>
    <definedName name="Z_BB410D8C_36DE_400F_AB69_DB51CF9CA663_.wvu.Cols" localSheetId="13" hidden="1">'GF Budget Tracking'!$A:$B</definedName>
    <definedName name="Z_BB410D8C_36DE_400F_AB69_DB51CF9CA663_.wvu.Cols" localSheetId="21" hidden="1">'GF Detail (CY only)'!$L:$N</definedName>
    <definedName name="Z_BB410D8C_36DE_400F_AB69_DB51CF9CA663_.wvu.FilterData" localSheetId="21" hidden="1">'GF Detail (CY only)'!$A$2:$E$65</definedName>
    <definedName name="Z_BB410D8C_36DE_400F_AB69_DB51CF9CA663_.wvu.PrintArea" localSheetId="12" hidden="1">'Capital-Funding Budget Summary'!$C$1:$L$124</definedName>
    <definedName name="Z_BB410D8C_36DE_400F_AB69_DB51CF9CA663_.wvu.PrintArea" localSheetId="9" hidden="1">'CIP Details'!$C$1:$Y$423</definedName>
    <definedName name="Z_BB410D8C_36DE_400F_AB69_DB51CF9CA663_.wvu.PrintArea" localSheetId="24" hidden="1">'FY21 Capital Budget Summary'!$C$1:$L$185</definedName>
    <definedName name="Z_BB410D8C_36DE_400F_AB69_DB51CF9CA663_.wvu.PrintArea" localSheetId="13" hidden="1">'GF Budget Tracking'!$C$1:$L$78</definedName>
    <definedName name="Z_BB410D8C_36DE_400F_AB69_DB51CF9CA663_.wvu.PrintArea" localSheetId="21" hidden="1">'GF Detail (CY only)'!$A$2:$G$71</definedName>
    <definedName name="Z_BB410D8C_36DE_400F_AB69_DB51CF9CA663_.wvu.PrintArea" localSheetId="22" hidden="1">'GF Details (FY20 ONLY)'!$C$1:$M$60</definedName>
    <definedName name="Z_BB410D8C_36DE_400F_AB69_DB51CF9CA663_.wvu.PrintArea" localSheetId="15" hidden="1">'Other Capital Needs'!$A$1:$Q$132</definedName>
    <definedName name="Z_BB410D8C_36DE_400F_AB69_DB51CF9CA663_.wvu.PrintArea" localSheetId="1" hidden="1">'Project Details by Yr'!$A$1:$K$300</definedName>
    <definedName name="Z_BB410D8C_36DE_400F_AB69_DB51CF9CA663_.wvu.PrintArea" localSheetId="17" hidden="1">'Public Buildings'!$A$1:$O$131</definedName>
    <definedName name="Z_BB410D8C_36DE_400F_AB69_DB51CF9CA663_.wvu.PrintArea" localSheetId="16" hidden="1">'Public Grounds'!$A$1:$O$84</definedName>
    <definedName name="Z_BB410D8C_36DE_400F_AB69_DB51CF9CA663_.wvu.PrintTitles" localSheetId="12" hidden="1">'Capital-Funding Budget Summary'!$1:$8</definedName>
    <definedName name="Z_BB410D8C_36DE_400F_AB69_DB51CF9CA663_.wvu.PrintTitles" localSheetId="9" hidden="1">'CIP Details'!$1:$8</definedName>
    <definedName name="Z_BB410D8C_36DE_400F_AB69_DB51CF9CA663_.wvu.PrintTitles" localSheetId="24" hidden="1">'FY21 Capital Budget Summary'!$1:$4</definedName>
    <definedName name="Z_BB410D8C_36DE_400F_AB69_DB51CF9CA663_.wvu.PrintTitles" localSheetId="13" hidden="1">'GF Budget Tracking'!$1:$8</definedName>
    <definedName name="Z_BB410D8C_36DE_400F_AB69_DB51CF9CA663_.wvu.PrintTitles" localSheetId="22" hidden="1">'GF Details (FY20 ONLY)'!$1:$1</definedName>
    <definedName name="Z_BB410D8C_36DE_400F_AB69_DB51CF9CA663_.wvu.Rows" localSheetId="12" hidden="1">'Capital-Funding Budget Summary'!#REF!</definedName>
    <definedName name="Z_BB410D8C_36DE_400F_AB69_DB51CF9CA663_.wvu.Rows" localSheetId="9" hidden="1">'CIP Details'!$426:$469</definedName>
    <definedName name="Z_BB410D8C_36DE_400F_AB69_DB51CF9CA663_.wvu.Rows" localSheetId="13" hidden="1">'GF Budget Tracking'!#REF!</definedName>
    <definedName name="Z_BB410D8C_36DE_400F_AB69_DB51CF9CA663_.wvu.Rows" localSheetId="1" hidden="1">'Project Details by Yr'!$6:$6</definedName>
    <definedName name="Z_BB410D8C_36DE_400F_AB69_DB51CF9CA663_.wvu.Rows" localSheetId="16" hidden="1">'Public Grounds'!$36:$40</definedName>
    <definedName name="Z_BB410D8C_36DE_400F_AB69_DB51CF9CA663_.wvu.Rows" localSheetId="3" hidden="1">Summary!$8:$14,Summary!$18:$24,Summary!$28:$34,Summary!$38:$44,Summary!$48:$54,Summary!$58:$64,Summary!$68:$74,Summary!$78:$84</definedName>
  </definedNames>
  <calcPr calcId="145621"/>
  <customWorkbookViews>
    <customWorkbookView name="Delaney - Personal View" guid="{BB410D8C-36DE-400F-AB69-DB51CF9CA663}" mergeInterval="0" personalView="1" maximized="1" windowWidth="1362" windowHeight="503" tabRatio="892" activeSheetId="5"/>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7" l="1"/>
  <c r="B2" i="8"/>
  <c r="A3" i="7"/>
  <c r="M36" i="7"/>
  <c r="M38" i="7" s="1"/>
  <c r="M35" i="7"/>
  <c r="M34" i="7"/>
  <c r="M33" i="7"/>
  <c r="M32" i="7"/>
  <c r="M31" i="7"/>
  <c r="M30" i="7"/>
  <c r="M29" i="7"/>
  <c r="M28" i="7"/>
  <c r="M27" i="7"/>
  <c r="M26" i="7"/>
  <c r="M22" i="7"/>
  <c r="M21" i="7"/>
  <c r="M20" i="7"/>
  <c r="M19" i="7"/>
  <c r="M18" i="7"/>
  <c r="M17" i="7"/>
  <c r="M16" i="7"/>
  <c r="M15" i="7"/>
  <c r="M14" i="7"/>
  <c r="M13" i="7"/>
  <c r="M12" i="7"/>
  <c r="M11" i="7"/>
  <c r="M10" i="7"/>
  <c r="N57" i="8"/>
  <c r="N53" i="8"/>
  <c r="N52" i="8"/>
  <c r="N48" i="8"/>
  <c r="N47" i="8"/>
  <c r="N46" i="8"/>
  <c r="N45" i="8"/>
  <c r="N44" i="8"/>
  <c r="N43" i="8"/>
  <c r="N42" i="8"/>
  <c r="N41" i="8"/>
  <c r="N40" i="8"/>
  <c r="N39" i="8"/>
  <c r="N38" i="8"/>
  <c r="N37" i="8"/>
  <c r="N36" i="8"/>
  <c r="N54" i="8" s="1"/>
  <c r="N35" i="8"/>
  <c r="N34" i="8"/>
  <c r="N33" i="8"/>
  <c r="N32" i="8"/>
  <c r="N31" i="8"/>
  <c r="N30" i="8"/>
  <c r="N29" i="8"/>
  <c r="N28" i="8"/>
  <c r="N27" i="8"/>
  <c r="N26" i="8"/>
  <c r="N58" i="8" s="1"/>
  <c r="N25" i="8"/>
  <c r="N56" i="8" s="1"/>
  <c r="N24" i="8"/>
  <c r="N23" i="8"/>
  <c r="N22" i="8"/>
  <c r="N21" i="8"/>
  <c r="N20" i="8"/>
  <c r="N19" i="8"/>
  <c r="N18" i="8"/>
  <c r="N17" i="8"/>
  <c r="N16" i="8"/>
  <c r="N15" i="8"/>
  <c r="N14" i="8"/>
  <c r="N13" i="8"/>
  <c r="N12" i="8"/>
  <c r="N11" i="8"/>
  <c r="N10" i="8"/>
  <c r="N9" i="8"/>
  <c r="N49" i="8" s="1"/>
  <c r="N50" i="8" s="1"/>
  <c r="T390" i="5"/>
  <c r="T389" i="5"/>
  <c r="T388" i="5"/>
  <c r="T387" i="5"/>
  <c r="T386" i="5"/>
  <c r="T385" i="5"/>
  <c r="T384" i="5"/>
  <c r="T391" i="5" s="1"/>
  <c r="T392" i="5" s="1"/>
  <c r="T378" i="5"/>
  <c r="T377" i="5"/>
  <c r="T376" i="5"/>
  <c r="T375" i="5"/>
  <c r="T374" i="5"/>
  <c r="T373" i="5"/>
  <c r="T372" i="5"/>
  <c r="T371" i="5"/>
  <c r="T370" i="5"/>
  <c r="T367" i="5"/>
  <c r="T364" i="5"/>
  <c r="T363" i="5"/>
  <c r="T362" i="5"/>
  <c r="T361" i="5"/>
  <c r="T360" i="5"/>
  <c r="T359" i="5"/>
  <c r="T358" i="5"/>
  <c r="T357" i="5"/>
  <c r="T356" i="5"/>
  <c r="T355" i="5"/>
  <c r="T354" i="5"/>
  <c r="T353" i="5"/>
  <c r="T352" i="5"/>
  <c r="T351" i="5"/>
  <c r="T350" i="5"/>
  <c r="T349" i="5"/>
  <c r="T348" i="5"/>
  <c r="T347" i="5"/>
  <c r="T346" i="5"/>
  <c r="T345" i="5"/>
  <c r="T344" i="5"/>
  <c r="T343" i="5"/>
  <c r="T342" i="5"/>
  <c r="T341" i="5"/>
  <c r="T340" i="5"/>
  <c r="T339" i="5"/>
  <c r="T338" i="5"/>
  <c r="T337" i="5"/>
  <c r="T336" i="5"/>
  <c r="T335" i="5"/>
  <c r="T334" i="5"/>
  <c r="T333" i="5"/>
  <c r="T332" i="5"/>
  <c r="T331" i="5"/>
  <c r="T330" i="5"/>
  <c r="T329" i="5"/>
  <c r="T328" i="5"/>
  <c r="T327" i="5"/>
  <c r="T326" i="5"/>
  <c r="T325" i="5"/>
  <c r="T324" i="5"/>
  <c r="T323" i="5"/>
  <c r="T322" i="5"/>
  <c r="T321" i="5"/>
  <c r="T320" i="5"/>
  <c r="T319" i="5"/>
  <c r="T318" i="5"/>
  <c r="T317" i="5"/>
  <c r="T316" i="5"/>
  <c r="T315" i="5"/>
  <c r="T314" i="5"/>
  <c r="T313" i="5"/>
  <c r="T312" i="5"/>
  <c r="T311" i="5"/>
  <c r="T310" i="5"/>
  <c r="T309" i="5"/>
  <c r="T308" i="5"/>
  <c r="T307" i="5"/>
  <c r="T306" i="5"/>
  <c r="T305" i="5"/>
  <c r="T304" i="5"/>
  <c r="T303" i="5"/>
  <c r="T302" i="5"/>
  <c r="T301" i="5"/>
  <c r="T300" i="5"/>
  <c r="T299" i="5"/>
  <c r="T298" i="5"/>
  <c r="T297" i="5"/>
  <c r="T296" i="5"/>
  <c r="T295" i="5"/>
  <c r="T294" i="5"/>
  <c r="T293" i="5"/>
  <c r="T292" i="5"/>
  <c r="T291" i="5"/>
  <c r="T290" i="5"/>
  <c r="T289" i="5"/>
  <c r="T288" i="5"/>
  <c r="T287" i="5"/>
  <c r="T286" i="5"/>
  <c r="T285" i="5"/>
  <c r="T284" i="5"/>
  <c r="T283" i="5"/>
  <c r="T282" i="5"/>
  <c r="T281" i="5"/>
  <c r="T280" i="5"/>
  <c r="T279" i="5"/>
  <c r="T278" i="5"/>
  <c r="T277" i="5"/>
  <c r="T276" i="5"/>
  <c r="T275" i="5"/>
  <c r="T274" i="5"/>
  <c r="T272" i="5"/>
  <c r="T271" i="5"/>
  <c r="T269" i="5"/>
  <c r="T268" i="5"/>
  <c r="T267" i="5"/>
  <c r="T266" i="5"/>
  <c r="T265" i="5"/>
  <c r="T264" i="5"/>
  <c r="T261" i="5"/>
  <c r="T260" i="5"/>
  <c r="T259" i="5"/>
  <c r="T258" i="5"/>
  <c r="T257" i="5"/>
  <c r="T256" i="5"/>
  <c r="T255" i="5"/>
  <c r="T254" i="5"/>
  <c r="T253" i="5"/>
  <c r="T252" i="5"/>
  <c r="T251" i="5"/>
  <c r="T250" i="5"/>
  <c r="T249" i="5"/>
  <c r="T248" i="5"/>
  <c r="T247" i="5"/>
  <c r="T246" i="5"/>
  <c r="T245" i="5"/>
  <c r="T244" i="5"/>
  <c r="T243" i="5"/>
  <c r="T242" i="5"/>
  <c r="T241" i="5"/>
  <c r="T240" i="5"/>
  <c r="T239" i="5"/>
  <c r="T238" i="5"/>
  <c r="T237" i="5"/>
  <c r="T236" i="5"/>
  <c r="T235" i="5"/>
  <c r="T234" i="5"/>
  <c r="T233" i="5"/>
  <c r="T232" i="5"/>
  <c r="T231" i="5"/>
  <c r="T230" i="5"/>
  <c r="T229" i="5"/>
  <c r="T228" i="5"/>
  <c r="T227" i="5"/>
  <c r="T225" i="5"/>
  <c r="T224" i="5"/>
  <c r="T223" i="5"/>
  <c r="T221" i="5"/>
  <c r="T220" i="5"/>
  <c r="T219" i="5"/>
  <c r="T218" i="5"/>
  <c r="T217" i="5"/>
  <c r="T216" i="5"/>
  <c r="T215" i="5"/>
  <c r="T214" i="5"/>
  <c r="T213" i="5"/>
  <c r="T212" i="5"/>
  <c r="T211" i="5"/>
  <c r="T210" i="5"/>
  <c r="T209" i="5"/>
  <c r="T208" i="5"/>
  <c r="T207"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2" i="5"/>
  <c r="T141" i="5"/>
  <c r="T140" i="5"/>
  <c r="T139" i="5"/>
  <c r="T138" i="5"/>
  <c r="T137" i="5"/>
  <c r="T136" i="5"/>
  <c r="T135" i="5"/>
  <c r="T134" i="5"/>
  <c r="T133" i="5"/>
  <c r="T132" i="5"/>
  <c r="T131" i="5"/>
  <c r="T130" i="5"/>
  <c r="T129" i="5"/>
  <c r="T128" i="5"/>
  <c r="T127" i="5"/>
  <c r="T126" i="5"/>
  <c r="T125" i="5"/>
  <c r="T124" i="5"/>
  <c r="T123" i="5"/>
  <c r="T122" i="5"/>
  <c r="T121"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5" i="5"/>
  <c r="T84" i="5"/>
  <c r="T83" i="5"/>
  <c r="T82" i="5"/>
  <c r="T81" i="5"/>
  <c r="T80" i="5"/>
  <c r="T79" i="5"/>
  <c r="T78" i="5"/>
  <c r="T77" i="5"/>
  <c r="T76" i="5"/>
  <c r="T75" i="5"/>
  <c r="T74" i="5"/>
  <c r="T73" i="5"/>
  <c r="T72" i="5"/>
  <c r="T71" i="5"/>
  <c r="T70" i="5"/>
  <c r="T69" i="5"/>
  <c r="T67" i="5"/>
  <c r="T66" i="5"/>
  <c r="T64" i="5"/>
  <c r="T63" i="5"/>
  <c r="T62" i="5"/>
  <c r="T60" i="5"/>
  <c r="T59" i="5"/>
  <c r="T58" i="5"/>
  <c r="T57" i="5"/>
  <c r="T56" i="5"/>
  <c r="T55" i="5"/>
  <c r="T54" i="5"/>
  <c r="T53" i="5"/>
  <c r="T52" i="5"/>
  <c r="T51" i="5"/>
  <c r="T50" i="5"/>
  <c r="T49" i="5"/>
  <c r="T48" i="5"/>
  <c r="T47" i="5"/>
  <c r="T46" i="5"/>
  <c r="T45" i="5"/>
  <c r="T44" i="5"/>
  <c r="T43" i="5"/>
  <c r="T42" i="5"/>
  <c r="T41" i="5"/>
  <c r="T39" i="5"/>
  <c r="T38" i="5"/>
  <c r="T37" i="5"/>
  <c r="T36" i="5"/>
  <c r="T35" i="5"/>
  <c r="T34" i="5"/>
  <c r="T33" i="5"/>
  <c r="T32" i="5"/>
  <c r="T31" i="5"/>
  <c r="T30" i="5"/>
  <c r="T29" i="5"/>
  <c r="T28" i="5"/>
  <c r="T27" i="5"/>
  <c r="T26" i="5"/>
  <c r="T25" i="5"/>
  <c r="T24" i="5"/>
  <c r="T23" i="5"/>
  <c r="T22" i="5"/>
  <c r="T21" i="5"/>
  <c r="T20" i="5"/>
  <c r="T18" i="5"/>
  <c r="T17" i="5"/>
  <c r="T16" i="5"/>
  <c r="T15" i="5"/>
  <c r="T14" i="5"/>
  <c r="T13" i="5"/>
  <c r="T12" i="5"/>
  <c r="T11" i="5"/>
  <c r="T10" i="5"/>
  <c r="N55" i="8" l="1"/>
  <c r="N59" i="8" s="1"/>
  <c r="N60" i="8" s="1"/>
  <c r="T379" i="5"/>
  <c r="T380" i="5" s="1"/>
  <c r="T381" i="5" l="1"/>
  <c r="S340" i="5" l="1"/>
  <c r="S183" i="5"/>
  <c r="R224" i="5"/>
  <c r="S223" i="5"/>
  <c r="S251" i="5"/>
  <c r="S316" i="5"/>
  <c r="S315" i="5"/>
  <c r="Q121" i="5"/>
  <c r="R121" i="5" s="1"/>
  <c r="S121" i="5" s="1"/>
  <c r="U121" i="5" s="1"/>
  <c r="V121" i="5" s="1"/>
  <c r="W121" i="5" s="1"/>
  <c r="X121" i="5" s="1"/>
  <c r="Y121" i="5" s="1"/>
  <c r="R197" i="5"/>
  <c r="U197" i="5"/>
  <c r="S188" i="5"/>
  <c r="R157" i="5"/>
  <c r="S332" i="5"/>
  <c r="S330" i="5"/>
  <c r="R329" i="5"/>
  <c r="R328" i="5"/>
  <c r="R327" i="5"/>
  <c r="Q326" i="5"/>
  <c r="Q325" i="5"/>
  <c r="R311" i="5"/>
  <c r="R307" i="5"/>
  <c r="R305" i="5"/>
  <c r="Q245" i="5"/>
  <c r="S243" i="5"/>
  <c r="R242" i="5"/>
  <c r="U232" i="5"/>
  <c r="S231" i="5"/>
  <c r="S230" i="5"/>
  <c r="R227" i="5"/>
  <c r="R217" i="5"/>
  <c r="U216" i="5"/>
  <c r="Q216" i="5"/>
  <c r="Q214" i="5"/>
  <c r="Q195" i="5"/>
  <c r="Q185" i="5"/>
  <c r="Q171" i="5"/>
  <c r="Q162" i="5"/>
  <c r="Q148" i="5"/>
  <c r="V109" i="5"/>
  <c r="W109" i="5"/>
  <c r="R110" i="5"/>
  <c r="Q110" i="5"/>
  <c r="S258" i="5"/>
  <c r="Q257" i="5"/>
  <c r="R256" i="5"/>
  <c r="R250" i="5"/>
  <c r="Q250" i="5"/>
  <c r="Q248" i="5"/>
  <c r="P248" i="5"/>
  <c r="P215" i="5"/>
  <c r="P189" i="5"/>
  <c r="P180" i="5"/>
  <c r="P156" i="5"/>
  <c r="S156" i="5"/>
  <c r="P141" i="5"/>
  <c r="Q134" i="5"/>
  <c r="Q132" i="5"/>
  <c r="P132" i="5"/>
  <c r="Q128" i="5"/>
  <c r="P128" i="5"/>
  <c r="P28" i="5"/>
  <c r="P150" i="5"/>
  <c r="S150" i="5"/>
  <c r="Y123" i="5"/>
  <c r="X123" i="5"/>
  <c r="W123" i="5"/>
  <c r="V123" i="5"/>
  <c r="U123" i="5"/>
  <c r="S123" i="5"/>
  <c r="R123" i="5"/>
  <c r="Q123" i="5"/>
  <c r="P123" i="5"/>
  <c r="P108" i="5"/>
  <c r="P69" i="5"/>
  <c r="P66" i="5"/>
  <c r="P59" i="5"/>
  <c r="Q33" i="5"/>
  <c r="P33" i="5"/>
  <c r="O351" i="5"/>
  <c r="P347" i="5"/>
  <c r="O346" i="5"/>
  <c r="O302" i="5"/>
  <c r="O301" i="5"/>
  <c r="O266" i="5"/>
  <c r="O192" i="5"/>
  <c r="A175" i="5"/>
  <c r="O130" i="5"/>
  <c r="O107" i="5"/>
  <c r="O99" i="5"/>
  <c r="A99" i="5"/>
  <c r="O41" i="5"/>
  <c r="O42" i="5"/>
  <c r="P42" i="5" s="1"/>
  <c r="Q42" i="5" s="1"/>
  <c r="R42" i="5" s="1"/>
  <c r="S42" i="5" s="1"/>
  <c r="U42" i="5" s="1"/>
  <c r="V42" i="5" s="1"/>
  <c r="W42" i="5" s="1"/>
  <c r="X42" i="5" s="1"/>
  <c r="Y42" i="5" s="1"/>
  <c r="A42" i="5"/>
  <c r="P41" i="5" l="1"/>
  <c r="Q41" i="5" s="1"/>
  <c r="R41" i="5" s="1"/>
  <c r="S41" i="5" s="1"/>
  <c r="U41" i="5" s="1"/>
  <c r="V41" i="5" s="1"/>
  <c r="W41" i="5" s="1"/>
  <c r="X41" i="5" s="1"/>
  <c r="Y41" i="5" s="1"/>
  <c r="A30" i="20" l="1"/>
  <c r="A29" i="20"/>
  <c r="J73" i="26" l="1"/>
  <c r="J68" i="26"/>
  <c r="J41" i="26"/>
  <c r="J31" i="26"/>
  <c r="J30" i="26"/>
  <c r="J19" i="26"/>
  <c r="J7" i="26"/>
  <c r="J6" i="26"/>
  <c r="R24" i="5"/>
  <c r="A41" i="20" l="1"/>
  <c r="I43" i="26" l="1"/>
  <c r="H43" i="26"/>
  <c r="I42" i="26"/>
  <c r="H42" i="26"/>
  <c r="I41" i="26"/>
  <c r="H41" i="26"/>
  <c r="I74" i="26"/>
  <c r="H74" i="26"/>
  <c r="I40" i="26"/>
  <c r="H40" i="26"/>
  <c r="I73" i="26"/>
  <c r="H73" i="26"/>
  <c r="I39" i="26"/>
  <c r="H39" i="26"/>
  <c r="I72" i="26"/>
  <c r="H72" i="26"/>
  <c r="I38" i="26"/>
  <c r="H38" i="26"/>
  <c r="I71" i="26"/>
  <c r="H71" i="26"/>
  <c r="I37" i="26"/>
  <c r="H37" i="26"/>
  <c r="I70" i="26"/>
  <c r="H70" i="26"/>
  <c r="I36" i="26"/>
  <c r="H36" i="26"/>
  <c r="I69" i="26"/>
  <c r="H69" i="26"/>
  <c r="I35" i="26"/>
  <c r="H35" i="26"/>
  <c r="I68" i="26"/>
  <c r="H68" i="26"/>
  <c r="I31" i="26"/>
  <c r="H31" i="26"/>
  <c r="I30" i="26"/>
  <c r="H30" i="26"/>
  <c r="I29" i="26"/>
  <c r="H29" i="26"/>
  <c r="I28" i="26"/>
  <c r="H28" i="26"/>
  <c r="I27" i="26"/>
  <c r="H27" i="26"/>
  <c r="I26" i="26"/>
  <c r="H26" i="26"/>
  <c r="I25" i="26"/>
  <c r="H25" i="26"/>
  <c r="I24" i="26"/>
  <c r="H24" i="26"/>
  <c r="I63" i="26"/>
  <c r="I64" i="26" s="1"/>
  <c r="H63" i="26"/>
  <c r="H64" i="26" s="1"/>
  <c r="I20" i="26"/>
  <c r="H20" i="26"/>
  <c r="I19" i="26"/>
  <c r="H19" i="26"/>
  <c r="I59" i="26"/>
  <c r="H59" i="26"/>
  <c r="I18" i="26"/>
  <c r="H18" i="26"/>
  <c r="I58" i="26"/>
  <c r="H58" i="26"/>
  <c r="I17" i="26"/>
  <c r="H17" i="26"/>
  <c r="I57" i="26"/>
  <c r="H57" i="26"/>
  <c r="I16" i="26"/>
  <c r="H16" i="26"/>
  <c r="I56" i="26"/>
  <c r="H56" i="26"/>
  <c r="I15" i="26"/>
  <c r="H15" i="26"/>
  <c r="I55" i="26"/>
  <c r="H55" i="26"/>
  <c r="I14" i="26"/>
  <c r="H14" i="26"/>
  <c r="I54" i="26"/>
  <c r="H54" i="26"/>
  <c r="I13" i="26"/>
  <c r="H13" i="26"/>
  <c r="I53" i="26"/>
  <c r="H53" i="26"/>
  <c r="I12" i="26"/>
  <c r="H12" i="26"/>
  <c r="I52" i="26"/>
  <c r="H52" i="26"/>
  <c r="I11" i="26"/>
  <c r="H11" i="26"/>
  <c r="I51" i="26"/>
  <c r="H51" i="26"/>
  <c r="I10" i="26"/>
  <c r="H10" i="26"/>
  <c r="I50" i="26"/>
  <c r="H50" i="26"/>
  <c r="I9" i="26"/>
  <c r="H9" i="26"/>
  <c r="I49" i="26"/>
  <c r="H49" i="26"/>
  <c r="I8" i="26"/>
  <c r="H8" i="26"/>
  <c r="I48" i="26"/>
  <c r="H48" i="26"/>
  <c r="I7" i="26"/>
  <c r="H7" i="26"/>
  <c r="I47" i="26"/>
  <c r="H47" i="26"/>
  <c r="I6" i="26"/>
  <c r="H6" i="26"/>
  <c r="I75" i="26" l="1"/>
  <c r="H32" i="26"/>
  <c r="I32" i="26"/>
  <c r="I60" i="26"/>
  <c r="H21" i="26"/>
  <c r="H75" i="26"/>
  <c r="H60" i="26"/>
  <c r="H44" i="26"/>
  <c r="I44" i="26"/>
  <c r="I21" i="26"/>
  <c r="L105" i="20" l="1"/>
  <c r="L101" i="20"/>
  <c r="A76" i="20"/>
  <c r="U31" i="5"/>
  <c r="U89" i="5"/>
  <c r="S161" i="5"/>
  <c r="S166" i="5"/>
  <c r="R96" i="5"/>
  <c r="R97" i="5" s="1"/>
  <c r="L107" i="20"/>
  <c r="L102" i="20"/>
  <c r="AA37" i="25" l="1"/>
  <c r="Z37" i="25"/>
  <c r="AA36" i="25"/>
  <c r="Z36" i="25"/>
  <c r="Z35" i="25"/>
  <c r="Z34" i="25"/>
  <c r="Z33" i="25"/>
  <c r="Z32" i="25"/>
  <c r="Z30" i="25"/>
  <c r="Z31" i="25"/>
  <c r="I50" i="25"/>
  <c r="I45" i="25"/>
  <c r="Z52" i="25"/>
  <c r="Z51" i="25"/>
  <c r="H51" i="25"/>
  <c r="Z50" i="25"/>
  <c r="H50" i="25"/>
  <c r="Z49" i="25"/>
  <c r="H49" i="25"/>
  <c r="Z48" i="25"/>
  <c r="H48" i="25"/>
  <c r="Z47" i="25"/>
  <c r="H47" i="25"/>
  <c r="Z46" i="25"/>
  <c r="H46" i="25"/>
  <c r="Z45" i="25"/>
  <c r="H45" i="25"/>
  <c r="H30" i="25"/>
  <c r="H31" i="25" s="1"/>
  <c r="Z53" i="25"/>
  <c r="H21" i="25"/>
  <c r="H20" i="25"/>
  <c r="Z19" i="25"/>
  <c r="H19" i="25"/>
  <c r="Z18" i="25"/>
  <c r="H18" i="25"/>
  <c r="Z17" i="25"/>
  <c r="H17" i="25"/>
  <c r="Z16" i="25"/>
  <c r="H16" i="25"/>
  <c r="Z15" i="25"/>
  <c r="H15" i="25"/>
  <c r="Z14" i="25"/>
  <c r="H14" i="25"/>
  <c r="Z13" i="25"/>
  <c r="H13" i="25"/>
  <c r="Z12" i="25"/>
  <c r="H12" i="25"/>
  <c r="Z11" i="25"/>
  <c r="H11" i="25"/>
  <c r="Z10" i="25"/>
  <c r="H10" i="25"/>
  <c r="Z9" i="25"/>
  <c r="H9" i="25"/>
  <c r="Z8" i="25"/>
  <c r="H8" i="25"/>
  <c r="Z7" i="25"/>
  <c r="Z20" i="25" s="1"/>
  <c r="H7" i="25"/>
  <c r="Z54" i="25" l="1"/>
  <c r="H22" i="25"/>
  <c r="H52" i="25"/>
  <c r="Z38" i="25"/>
  <c r="O94" i="5"/>
  <c r="P360" i="5"/>
  <c r="P357" i="5"/>
  <c r="O371" i="5"/>
  <c r="K371" i="5"/>
  <c r="V23" i="23" l="1"/>
  <c r="V18" i="23"/>
  <c r="G64" i="23"/>
  <c r="G24" i="23"/>
  <c r="G23" i="23"/>
  <c r="G22" i="23"/>
  <c r="G21" i="23"/>
  <c r="V24" i="23"/>
  <c r="R42" i="23"/>
  <c r="R41" i="23"/>
  <c r="R40" i="23"/>
  <c r="R39" i="23"/>
  <c r="R38" i="23"/>
  <c r="V65" i="23"/>
  <c r="V64" i="23"/>
  <c r="V63" i="23"/>
  <c r="V62" i="23"/>
  <c r="V61" i="23"/>
  <c r="V60" i="23"/>
  <c r="V59" i="23"/>
  <c r="V58" i="23"/>
  <c r="G63" i="23"/>
  <c r="G62" i="23"/>
  <c r="V22" i="23"/>
  <c r="G61" i="23"/>
  <c r="V21" i="23"/>
  <c r="V20" i="23"/>
  <c r="V19" i="23"/>
  <c r="V17" i="23"/>
  <c r="V16" i="23"/>
  <c r="G60" i="23"/>
  <c r="G59" i="23"/>
  <c r="G58" i="23"/>
  <c r="G20" i="23"/>
  <c r="G19" i="23"/>
  <c r="G18" i="23"/>
  <c r="G17" i="23"/>
  <c r="G16" i="23"/>
  <c r="G15" i="23"/>
  <c r="V15" i="23"/>
  <c r="V14" i="23"/>
  <c r="V13" i="23"/>
  <c r="V12" i="23"/>
  <c r="G14" i="23"/>
  <c r="G13" i="23"/>
  <c r="G12" i="23"/>
  <c r="G11" i="23"/>
  <c r="G10" i="23"/>
  <c r="V11" i="23"/>
  <c r="V10" i="23"/>
  <c r="R37" i="23"/>
  <c r="R36" i="23"/>
  <c r="R35" i="23"/>
  <c r="I38" i="23"/>
  <c r="I39" i="23" s="1"/>
  <c r="R43" i="23" l="1"/>
  <c r="V66" i="23"/>
  <c r="G65" i="23"/>
  <c r="G25" i="23"/>
  <c r="V25" i="23"/>
  <c r="B2" i="23" s="1"/>
  <c r="A46" i="21"/>
  <c r="A82" i="20" l="1"/>
  <c r="A344" i="5"/>
  <c r="A343" i="5"/>
  <c r="A342" i="5"/>
  <c r="T403" i="5"/>
  <c r="C26" i="22" l="1"/>
  <c r="B55" i="22" s="1"/>
  <c r="C41" i="22"/>
  <c r="D51" i="22" s="1"/>
  <c r="D53" i="22" s="1"/>
  <c r="A83" i="20" l="1"/>
  <c r="A309" i="5"/>
  <c r="A57" i="20"/>
  <c r="A201" i="5"/>
  <c r="L202" i="5"/>
  <c r="L371" i="5" s="1"/>
  <c r="T120" i="20" l="1"/>
  <c r="T115" i="20"/>
  <c r="T108" i="20"/>
  <c r="T100" i="20"/>
  <c r="T114" i="20" s="1"/>
  <c r="R120" i="20"/>
  <c r="R115" i="20"/>
  <c r="R108" i="20"/>
  <c r="R100" i="20"/>
  <c r="R114" i="20" s="1"/>
  <c r="P120" i="20"/>
  <c r="P115" i="20"/>
  <c r="P108" i="20"/>
  <c r="P100" i="20"/>
  <c r="P114" i="20" s="1"/>
  <c r="N120" i="20"/>
  <c r="N115" i="20"/>
  <c r="N108" i="20"/>
  <c r="N100" i="20"/>
  <c r="N114" i="20" s="1"/>
  <c r="A75" i="21"/>
  <c r="A74" i="21"/>
  <c r="A73" i="21"/>
  <c r="A72" i="21"/>
  <c r="A71" i="21"/>
  <c r="A70" i="21"/>
  <c r="A69" i="21"/>
  <c r="A68" i="21"/>
  <c r="A67" i="21"/>
  <c r="A66" i="21"/>
  <c r="A65" i="21"/>
  <c r="A64" i="21"/>
  <c r="A63" i="21"/>
  <c r="A62" i="21"/>
  <c r="A61" i="21"/>
  <c r="A60" i="21"/>
  <c r="A59" i="21"/>
  <c r="A58" i="21"/>
  <c r="A57" i="21"/>
  <c r="A55" i="21"/>
  <c r="A54" i="21"/>
  <c r="A53" i="21"/>
  <c r="A51" i="21"/>
  <c r="A49" i="21"/>
  <c r="A48" i="21"/>
  <c r="A47" i="21"/>
  <c r="A42" i="21"/>
  <c r="A41" i="21"/>
  <c r="A40" i="21"/>
  <c r="A39" i="21"/>
  <c r="A38" i="21"/>
  <c r="A37" i="21"/>
  <c r="A36" i="21"/>
  <c r="A35" i="21"/>
  <c r="A34" i="21"/>
  <c r="A32" i="21"/>
  <c r="A31" i="21"/>
  <c r="A30" i="21"/>
  <c r="A29" i="21"/>
  <c r="A28" i="21"/>
  <c r="A26" i="21"/>
  <c r="A25" i="21"/>
  <c r="A24" i="21"/>
  <c r="A23" i="21"/>
  <c r="A44" i="21"/>
  <c r="A43" i="21"/>
  <c r="A21" i="21"/>
  <c r="A20" i="21"/>
  <c r="A18" i="21"/>
  <c r="A16" i="21"/>
  <c r="A15" i="21"/>
  <c r="A14" i="21"/>
  <c r="A12" i="21"/>
  <c r="A10" i="21"/>
  <c r="L120" i="20"/>
  <c r="L115" i="20"/>
  <c r="L108" i="20"/>
  <c r="L103" i="20"/>
  <c r="L100" i="20"/>
  <c r="L114" i="20" s="1"/>
  <c r="A96" i="20"/>
  <c r="A95" i="20"/>
  <c r="A94" i="20"/>
  <c r="A93" i="20"/>
  <c r="A92" i="20"/>
  <c r="A91" i="20"/>
  <c r="A90" i="20"/>
  <c r="A89" i="20"/>
  <c r="A88" i="20"/>
  <c r="A87" i="20"/>
  <c r="A86" i="20"/>
  <c r="A85" i="20"/>
  <c r="A84" i="20"/>
  <c r="A81" i="20"/>
  <c r="A80" i="20"/>
  <c r="A79" i="20"/>
  <c r="A78" i="20"/>
  <c r="A77" i="20"/>
  <c r="A75" i="20"/>
  <c r="A73" i="20"/>
  <c r="A72" i="20"/>
  <c r="A70" i="20"/>
  <c r="A69" i="20"/>
  <c r="A68" i="20"/>
  <c r="A67" i="20"/>
  <c r="A65" i="20"/>
  <c r="A63" i="20"/>
  <c r="A62" i="20"/>
  <c r="A61" i="20"/>
  <c r="A56" i="20"/>
  <c r="A55" i="20"/>
  <c r="A54" i="20"/>
  <c r="A53" i="20"/>
  <c r="A52" i="20"/>
  <c r="A51" i="20"/>
  <c r="A50" i="20"/>
  <c r="A49" i="20"/>
  <c r="A48" i="20"/>
  <c r="A47" i="20"/>
  <c r="A45" i="20"/>
  <c r="A44" i="20"/>
  <c r="A43" i="20"/>
  <c r="A42" i="20"/>
  <c r="A40" i="20"/>
  <c r="A39" i="20"/>
  <c r="A37" i="20"/>
  <c r="A36" i="20"/>
  <c r="A35" i="20"/>
  <c r="A34" i="20"/>
  <c r="A33" i="20"/>
  <c r="A32" i="20"/>
  <c r="A31" i="20"/>
  <c r="A28" i="20"/>
  <c r="A27" i="20"/>
  <c r="A26" i="20"/>
  <c r="A59" i="20"/>
  <c r="A58" i="20"/>
  <c r="A23" i="20"/>
  <c r="A22" i="20"/>
  <c r="A20" i="20"/>
  <c r="A18" i="20"/>
  <c r="A17" i="20"/>
  <c r="A16" i="20"/>
  <c r="A14" i="20"/>
  <c r="A13" i="20"/>
  <c r="A12" i="20"/>
  <c r="A10" i="20"/>
  <c r="V268" i="5"/>
  <c r="A63" i="5"/>
  <c r="A350" i="5"/>
  <c r="M241" i="5"/>
  <c r="A241" i="5"/>
  <c r="A255" i="5"/>
  <c r="A254" i="5"/>
  <c r="A253" i="5"/>
  <c r="A224" i="5" l="1"/>
  <c r="M104" i="5"/>
  <c r="A149" i="5" l="1"/>
  <c r="A148" i="5"/>
  <c r="A147" i="5"/>
  <c r="A211" i="5" l="1"/>
  <c r="A210" i="5"/>
  <c r="A84" i="5"/>
  <c r="A203" i="5"/>
  <c r="A202" i="5"/>
  <c r="A82" i="5"/>
  <c r="A83" i="5"/>
  <c r="A81" i="5"/>
  <c r="A80" i="5"/>
  <c r="A352" i="5"/>
  <c r="A351" i="5"/>
  <c r="A362" i="5"/>
  <c r="A358" i="5"/>
  <c r="A363" i="5"/>
  <c r="A361" i="5"/>
  <c r="A360" i="5"/>
  <c r="A359" i="5"/>
  <c r="A357" i="5"/>
  <c r="A356" i="5"/>
  <c r="A355" i="5"/>
  <c r="A354" i="5"/>
  <c r="A353" i="5"/>
  <c r="A349" i="5"/>
  <c r="A348" i="5"/>
  <c r="A347" i="5"/>
  <c r="A346" i="5"/>
  <c r="A345"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141" i="5"/>
  <c r="A140" i="5"/>
  <c r="A139" i="5"/>
  <c r="A100" i="5" l="1"/>
  <c r="A245" i="5" l="1"/>
  <c r="A244" i="5"/>
  <c r="A243" i="5"/>
  <c r="A242" i="5"/>
  <c r="A238" i="5"/>
  <c r="A235" i="5"/>
  <c r="A234" i="5"/>
  <c r="A233" i="5"/>
  <c r="A232" i="5"/>
  <c r="A231" i="5"/>
  <c r="A230" i="5"/>
  <c r="A220" i="5"/>
  <c r="A219" i="5"/>
  <c r="A218" i="5"/>
  <c r="A217" i="5"/>
  <c r="A216" i="5"/>
  <c r="A215" i="5"/>
  <c r="A214" i="5"/>
  <c r="Q79" i="5"/>
  <c r="A59" i="5"/>
  <c r="A58" i="5"/>
  <c r="Y43" i="5"/>
  <c r="W43" i="5"/>
  <c r="U43" i="5"/>
  <c r="R43" i="5"/>
  <c r="P43" i="5"/>
  <c r="A17" i="5"/>
  <c r="R79" i="5" l="1"/>
  <c r="S79" i="5" s="1"/>
  <c r="Q371" i="5"/>
  <c r="R371" i="5"/>
  <c r="U79" i="5" l="1"/>
  <c r="S371" i="5"/>
  <c r="L20" i="6"/>
  <c r="K20" i="6"/>
  <c r="X20" i="6"/>
  <c r="W20" i="6"/>
  <c r="V20" i="6"/>
  <c r="U20" i="6"/>
  <c r="T20" i="6"/>
  <c r="S20" i="6"/>
  <c r="R20" i="6"/>
  <c r="Q20" i="6"/>
  <c r="O20" i="6"/>
  <c r="V79" i="5" l="1"/>
  <c r="U371" i="5"/>
  <c r="M41" i="5"/>
  <c r="Y364" i="5"/>
  <c r="X364" i="5"/>
  <c r="W364" i="5"/>
  <c r="V364" i="5"/>
  <c r="U364" i="5"/>
  <c r="K364" i="5"/>
  <c r="Y272" i="5"/>
  <c r="X272" i="5"/>
  <c r="W272" i="5"/>
  <c r="V272" i="5"/>
  <c r="U272" i="5"/>
  <c r="S272" i="5"/>
  <c r="R272" i="5"/>
  <c r="Q272" i="5"/>
  <c r="P272" i="5"/>
  <c r="O272" i="5"/>
  <c r="M272" i="5"/>
  <c r="L272" i="5"/>
  <c r="K272" i="5"/>
  <c r="A204" i="5"/>
  <c r="Y269" i="5"/>
  <c r="X269" i="5"/>
  <c r="W269" i="5"/>
  <c r="V269" i="5"/>
  <c r="U269" i="5"/>
  <c r="S269" i="5"/>
  <c r="R269" i="5"/>
  <c r="Q269" i="5"/>
  <c r="M269" i="5"/>
  <c r="L269" i="5"/>
  <c r="K269" i="5"/>
  <c r="Y261" i="5"/>
  <c r="X261" i="5"/>
  <c r="W261" i="5"/>
  <c r="V261" i="5"/>
  <c r="U261" i="5"/>
  <c r="S261" i="5"/>
  <c r="R261" i="5"/>
  <c r="P261" i="5"/>
  <c r="L261" i="5"/>
  <c r="K261" i="5"/>
  <c r="Y225" i="5"/>
  <c r="X225" i="5"/>
  <c r="W225" i="5"/>
  <c r="V225" i="5"/>
  <c r="U225" i="5"/>
  <c r="S225" i="5"/>
  <c r="R225" i="5"/>
  <c r="Q225" i="5"/>
  <c r="P225" i="5"/>
  <c r="O225" i="5"/>
  <c r="M225" i="5"/>
  <c r="L225" i="5"/>
  <c r="K225" i="5"/>
  <c r="Y221" i="5"/>
  <c r="X221" i="5"/>
  <c r="W221" i="5"/>
  <c r="V221" i="5"/>
  <c r="U221" i="5"/>
  <c r="S221" i="5"/>
  <c r="M221" i="5"/>
  <c r="L221" i="5"/>
  <c r="K221" i="5"/>
  <c r="Y205" i="5"/>
  <c r="X205" i="5"/>
  <c r="W205" i="5"/>
  <c r="K205" i="5"/>
  <c r="L142" i="5"/>
  <c r="K142" i="5"/>
  <c r="L119" i="5"/>
  <c r="V85" i="5"/>
  <c r="U85" i="5"/>
  <c r="S85" i="5"/>
  <c r="R85" i="5"/>
  <c r="Q85" i="5"/>
  <c r="L85" i="5"/>
  <c r="K85" i="5"/>
  <c r="Y67" i="5"/>
  <c r="X67" i="5"/>
  <c r="W67" i="5"/>
  <c r="V67" i="5"/>
  <c r="U67" i="5"/>
  <c r="S67" i="5"/>
  <c r="R67" i="5"/>
  <c r="Q67" i="5"/>
  <c r="P67" i="5"/>
  <c r="O67" i="5"/>
  <c r="L67" i="5"/>
  <c r="K67" i="5"/>
  <c r="Y64" i="5"/>
  <c r="X64" i="5"/>
  <c r="W64" i="5"/>
  <c r="V64" i="5"/>
  <c r="U64" i="5"/>
  <c r="S64" i="5"/>
  <c r="R64" i="5"/>
  <c r="Q64" i="5"/>
  <c r="P64" i="5"/>
  <c r="O64" i="5"/>
  <c r="M64" i="5"/>
  <c r="L64" i="5"/>
  <c r="K64" i="5"/>
  <c r="K60" i="5"/>
  <c r="Y39" i="5"/>
  <c r="X39" i="5"/>
  <c r="W39" i="5"/>
  <c r="V39" i="5"/>
  <c r="U39" i="5"/>
  <c r="S39" i="5"/>
  <c r="L39" i="5"/>
  <c r="K39" i="5"/>
  <c r="Y18" i="5"/>
  <c r="X18" i="5"/>
  <c r="W18" i="5"/>
  <c r="V18" i="5"/>
  <c r="U18" i="5"/>
  <c r="S18" i="5"/>
  <c r="R18" i="5"/>
  <c r="Q18" i="5"/>
  <c r="P18" i="5"/>
  <c r="O18" i="5"/>
  <c r="M18" i="5"/>
  <c r="L18" i="5"/>
  <c r="K18" i="5"/>
  <c r="S57" i="8"/>
  <c r="S53" i="8"/>
  <c r="S52" i="8"/>
  <c r="R36" i="7"/>
  <c r="Q36" i="7"/>
  <c r="R22" i="7"/>
  <c r="Q22" i="7"/>
  <c r="K138" i="18"/>
  <c r="L313" i="5"/>
  <c r="A19" i="6"/>
  <c r="A18" i="6"/>
  <c r="A17" i="6"/>
  <c r="M16" i="6"/>
  <c r="A16" i="6"/>
  <c r="M15" i="6"/>
  <c r="A15" i="6"/>
  <c r="P14" i="6"/>
  <c r="P20" i="6" s="1"/>
  <c r="M14" i="6"/>
  <c r="A14" i="6"/>
  <c r="M13" i="6"/>
  <c r="A13" i="6"/>
  <c r="M11" i="6"/>
  <c r="A11" i="6"/>
  <c r="P9" i="6"/>
  <c r="M9" i="6"/>
  <c r="A9" i="6"/>
  <c r="W79" i="5" l="1"/>
  <c r="V371" i="5"/>
  <c r="R38" i="7"/>
  <c r="M20" i="6"/>
  <c r="Q38" i="7"/>
  <c r="Y119" i="5"/>
  <c r="X119" i="5"/>
  <c r="W119" i="5"/>
  <c r="V119" i="5"/>
  <c r="U119" i="5"/>
  <c r="R119" i="5"/>
  <c r="O373" i="5"/>
  <c r="L373" i="5"/>
  <c r="K373" i="5"/>
  <c r="T411" i="5"/>
  <c r="Y390" i="5"/>
  <c r="Y389" i="5"/>
  <c r="Y385" i="5"/>
  <c r="Y384" i="5"/>
  <c r="Y378" i="5"/>
  <c r="Y377" i="5"/>
  <c r="Y376" i="5"/>
  <c r="Y375" i="5"/>
  <c r="Y372" i="5"/>
  <c r="Y369" i="5"/>
  <c r="Y383" i="5" s="1"/>
  <c r="Y142" i="5"/>
  <c r="M7" i="6"/>
  <c r="A7" i="6"/>
  <c r="X79" i="5" l="1"/>
  <c r="W371" i="5"/>
  <c r="W85" i="5"/>
  <c r="Y374" i="5"/>
  <c r="R221" i="5"/>
  <c r="Q221" i="5"/>
  <c r="P221" i="5"/>
  <c r="O221" i="5"/>
  <c r="P269" i="5"/>
  <c r="A267" i="5"/>
  <c r="O269" i="5"/>
  <c r="A265" i="5"/>
  <c r="X142" i="5"/>
  <c r="W142" i="5"/>
  <c r="V142" i="5"/>
  <c r="U142" i="5"/>
  <c r="S142" i="5"/>
  <c r="R142" i="5"/>
  <c r="O142" i="5"/>
  <c r="M105" i="5"/>
  <c r="L41" i="5"/>
  <c r="L60" i="5" s="1"/>
  <c r="Y79" i="5" l="1"/>
  <c r="X371" i="5"/>
  <c r="X85" i="5"/>
  <c r="K97" i="18"/>
  <c r="M246" i="5"/>
  <c r="M151" i="5"/>
  <c r="M45" i="5"/>
  <c r="M43" i="5"/>
  <c r="Y371" i="5" l="1"/>
  <c r="Y85" i="5"/>
  <c r="M131" i="5"/>
  <c r="I146" i="18" l="1"/>
  <c r="I153" i="18"/>
  <c r="K153" i="18" s="1"/>
  <c r="M373" i="5" l="1"/>
  <c r="P161" i="5"/>
  <c r="O261" i="5"/>
  <c r="S119" i="5"/>
  <c r="P85" i="5"/>
  <c r="M301" i="5"/>
  <c r="M239" i="5"/>
  <c r="M150" i="5"/>
  <c r="A96" i="5"/>
  <c r="P142" i="5" l="1"/>
  <c r="I158" i="18"/>
  <c r="Q142" i="5"/>
  <c r="G200" i="18"/>
  <c r="G197" i="18"/>
  <c r="I150" i="18" l="1"/>
  <c r="K150" i="18" s="1"/>
  <c r="I155" i="18"/>
  <c r="H155" i="18"/>
  <c r="A105" i="5"/>
  <c r="H161" i="18"/>
  <c r="K160" i="18"/>
  <c r="K155" i="18" l="1"/>
  <c r="H154" i="18"/>
  <c r="K154" i="18" s="1"/>
  <c r="G175" i="18"/>
  <c r="G173" i="18"/>
  <c r="K159" i="18"/>
  <c r="I152" i="18"/>
  <c r="I151" i="18"/>
  <c r="I149" i="18"/>
  <c r="K149" i="18" s="1"/>
  <c r="I148" i="18"/>
  <c r="H148" i="18"/>
  <c r="Q373" i="5" l="1"/>
  <c r="G178" i="18"/>
  <c r="K151" i="18"/>
  <c r="G201" i="18"/>
  <c r="K152" i="18"/>
  <c r="G202" i="18"/>
  <c r="G198" i="18"/>
  <c r="K158" i="18"/>
  <c r="K161" i="18" s="1"/>
  <c r="I161" i="18"/>
  <c r="K148" i="18"/>
  <c r="R373" i="5" l="1"/>
  <c r="S373" i="5" l="1"/>
  <c r="A102" i="5"/>
  <c r="A101" i="5"/>
  <c r="U373" i="5" l="1"/>
  <c r="A16" i="5"/>
  <c r="A12" i="5"/>
  <c r="A11" i="5"/>
  <c r="A13" i="5"/>
  <c r="V373" i="5" l="1"/>
  <c r="C37" i="19"/>
  <c r="C36" i="19"/>
  <c r="N19" i="19"/>
  <c r="O119" i="5"/>
  <c r="M95" i="5"/>
  <c r="M94" i="5"/>
  <c r="V21" i="19"/>
  <c r="E15" i="19"/>
  <c r="H15" i="19" s="1"/>
  <c r="H11" i="19"/>
  <c r="Q19" i="19" l="1"/>
  <c r="P373" i="5"/>
  <c r="Q119" i="5"/>
  <c r="W373" i="5"/>
  <c r="J11" i="19"/>
  <c r="C30" i="19" s="1"/>
  <c r="M29" i="5"/>
  <c r="M39" i="5" s="1"/>
  <c r="M50" i="5"/>
  <c r="M60" i="5" s="1"/>
  <c r="M66" i="5"/>
  <c r="M67" i="5" s="1"/>
  <c r="M108" i="5"/>
  <c r="M109" i="5"/>
  <c r="M142" i="5"/>
  <c r="M156" i="5"/>
  <c r="M164" i="5"/>
  <c r="M371" i="5" s="1"/>
  <c r="M165" i="5"/>
  <c r="M261" i="5"/>
  <c r="R39" i="5"/>
  <c r="M364" i="5" l="1"/>
  <c r="M205" i="5"/>
  <c r="M85" i="5"/>
  <c r="X373" i="5"/>
  <c r="P166" i="5"/>
  <c r="R364" i="5"/>
  <c r="O364" i="5"/>
  <c r="P364" i="5"/>
  <c r="Q261" i="5"/>
  <c r="P164" i="5"/>
  <c r="P371" i="5" s="1"/>
  <c r="O85" i="5"/>
  <c r="P205" i="5" l="1"/>
  <c r="Y387" i="5"/>
  <c r="Y373" i="5"/>
  <c r="U190" i="5"/>
  <c r="V190" i="5"/>
  <c r="V205" i="5" s="1"/>
  <c r="R205" i="5"/>
  <c r="Q39" i="5"/>
  <c r="P39" i="5"/>
  <c r="U191" i="5"/>
  <c r="S191" i="5"/>
  <c r="Q205" i="5"/>
  <c r="O205" i="5"/>
  <c r="Q335" i="5"/>
  <c r="Q364" i="5" s="1"/>
  <c r="P50" i="5"/>
  <c r="O50" i="5"/>
  <c r="O39" i="5"/>
  <c r="O60" i="5" l="1"/>
  <c r="U205" i="5"/>
  <c r="S205" i="5"/>
  <c r="A48" i="16"/>
  <c r="A43" i="16"/>
  <c r="H146" i="18"/>
  <c r="K146" i="18" l="1"/>
  <c r="J21" i="19"/>
  <c r="J17" i="19" s="1"/>
  <c r="F21" i="19"/>
  <c r="K125" i="18"/>
  <c r="K115" i="18"/>
  <c r="N21" i="19" l="1"/>
  <c r="N17" i="19"/>
  <c r="P119" i="5"/>
  <c r="P19" i="19" l="1"/>
  <c r="S19" i="19" s="1"/>
  <c r="U21" i="19" s="1"/>
  <c r="X21" i="19" s="1"/>
  <c r="C31" i="19" s="1"/>
  <c r="A13" i="16" l="1"/>
  <c r="A14" i="16"/>
  <c r="A95" i="5"/>
  <c r="A52" i="16" l="1"/>
  <c r="A51" i="16"/>
  <c r="A50" i="16"/>
  <c r="A49" i="16"/>
  <c r="A47" i="16"/>
  <c r="A46" i="16"/>
  <c r="A45" i="16"/>
  <c r="A44"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2" i="16"/>
  <c r="A11" i="16"/>
  <c r="A10" i="16"/>
  <c r="A9" i="16"/>
  <c r="A8" i="16"/>
  <c r="A7" i="16"/>
  <c r="A6" i="16"/>
  <c r="A5" i="16"/>
  <c r="A4" i="16"/>
  <c r="A3" i="16"/>
  <c r="R52" i="8"/>
  <c r="R53" i="8"/>
  <c r="R57" i="8"/>
  <c r="A66" i="5" l="1"/>
  <c r="A271" i="5"/>
  <c r="A268" i="5"/>
  <c r="A266" i="5"/>
  <c r="A252" i="5"/>
  <c r="A240" i="5"/>
  <c r="A208" i="5"/>
  <c r="A177" i="5" l="1"/>
  <c r="A168" i="5"/>
  <c r="A199" i="5"/>
  <c r="A155" i="5"/>
  <c r="A167" i="5"/>
  <c r="A166" i="5"/>
  <c r="A161" i="5"/>
  <c r="A197" i="5"/>
  <c r="A192" i="5"/>
  <c r="A173" i="5"/>
  <c r="A170" i="5"/>
  <c r="A172" i="5"/>
  <c r="A171" i="5"/>
  <c r="A179" i="5"/>
  <c r="A193" i="5"/>
  <c r="A164" i="5"/>
  <c r="A151" i="5"/>
  <c r="Y388" i="5" l="1"/>
  <c r="A138" i="5"/>
  <c r="A113" i="5"/>
  <c r="A112" i="5"/>
  <c r="A111" i="5"/>
  <c r="A114" i="5"/>
  <c r="A110" i="5"/>
  <c r="A109" i="5"/>
  <c r="A108" i="5"/>
  <c r="A107" i="5"/>
  <c r="A106" i="5"/>
  <c r="A117" i="5"/>
  <c r="A72" i="5"/>
  <c r="A74" i="5"/>
  <c r="A73" i="5"/>
  <c r="A78" i="5"/>
  <c r="A77" i="5"/>
  <c r="A76" i="5"/>
  <c r="A75" i="5"/>
  <c r="A55" i="5"/>
  <c r="A46" i="5"/>
  <c r="A47" i="5"/>
  <c r="A48" i="5"/>
  <c r="A44" i="5"/>
  <c r="P60" i="5" l="1"/>
  <c r="A97" i="5"/>
  <c r="A94" i="5"/>
  <c r="I147" i="18" l="1"/>
  <c r="I156" i="18" s="1"/>
  <c r="I163" i="18" s="1"/>
  <c r="Q60" i="5"/>
  <c r="H147" i="18"/>
  <c r="G199" i="18" s="1"/>
  <c r="G203" i="18" s="1"/>
  <c r="M374" i="5"/>
  <c r="I164" i="18" l="1"/>
  <c r="R60" i="5"/>
  <c r="M119" i="5"/>
  <c r="K147" i="18"/>
  <c r="K156" i="18" s="1"/>
  <c r="K163" i="18" s="1"/>
  <c r="H156" i="18"/>
  <c r="H163" i="18" s="1"/>
  <c r="A122" i="5"/>
  <c r="A127" i="5"/>
  <c r="A88" i="5"/>
  <c r="S60" i="5" l="1"/>
  <c r="B4" i="8"/>
  <c r="B3" i="8"/>
  <c r="A27" i="5"/>
  <c r="A25" i="5"/>
  <c r="A23" i="5"/>
  <c r="U60" i="5" l="1"/>
  <c r="X374" i="5"/>
  <c r="X369" i="5"/>
  <c r="X383" i="5" s="1"/>
  <c r="X372" i="5"/>
  <c r="X375" i="5"/>
  <c r="X376" i="5"/>
  <c r="X377" i="5"/>
  <c r="X378" i="5"/>
  <c r="X384" i="5"/>
  <c r="X385" i="5"/>
  <c r="X388" i="5"/>
  <c r="X389" i="5"/>
  <c r="X390" i="5"/>
  <c r="V60" i="5" l="1"/>
  <c r="X387" i="5"/>
  <c r="W60" i="5" l="1"/>
  <c r="A124" i="5"/>
  <c r="K91" i="5"/>
  <c r="K119" i="5" s="1"/>
  <c r="F7" i="15"/>
  <c r="X60" i="5" l="1"/>
  <c r="X367" i="5" s="1"/>
  <c r="X370" i="5"/>
  <c r="X386" i="5"/>
  <c r="X391" i="5" s="1"/>
  <c r="L301" i="5"/>
  <c r="F56" i="15"/>
  <c r="G56" i="15" s="1"/>
  <c r="F6" i="15"/>
  <c r="X392" i="5" l="1"/>
  <c r="X379" i="5"/>
  <c r="X380" i="5" s="1"/>
  <c r="Y370" i="5"/>
  <c r="Y60" i="5"/>
  <c r="Y367" i="5" s="1"/>
  <c r="Y386" i="5"/>
  <c r="Y391" i="5" s="1"/>
  <c r="F3" i="15"/>
  <c r="F29" i="15"/>
  <c r="G29" i="15" s="1"/>
  <c r="G30" i="15"/>
  <c r="G61" i="15"/>
  <c r="G64" i="15"/>
  <c r="G60" i="15"/>
  <c r="X381" i="5" l="1"/>
  <c r="Y392" i="5"/>
  <c r="Y379" i="5"/>
  <c r="Y380" i="5" s="1"/>
  <c r="G3" i="15"/>
  <c r="G48" i="15"/>
  <c r="Y381" i="5" l="1"/>
  <c r="G53" i="15"/>
  <c r="G8" i="15"/>
  <c r="G12" i="15"/>
  <c r="F8" i="15"/>
  <c r="G27" i="15"/>
  <c r="G38" i="15"/>
  <c r="G37" i="15"/>
  <c r="G65" i="15" l="1"/>
  <c r="G63" i="15"/>
  <c r="G62" i="15"/>
  <c r="G59" i="15"/>
  <c r="G17" i="15"/>
  <c r="G32" i="15"/>
  <c r="G68" i="15"/>
  <c r="G18" i="15"/>
  <c r="G69" i="15"/>
  <c r="L295" i="5" l="1"/>
  <c r="F58" i="15" l="1"/>
  <c r="F57" i="15"/>
  <c r="G55" i="15"/>
  <c r="F54" i="15"/>
  <c r="G51" i="15"/>
  <c r="G50" i="15"/>
  <c r="F15" i="15"/>
  <c r="F14" i="15"/>
  <c r="F13" i="15"/>
  <c r="G5" i="15"/>
  <c r="F11" i="15"/>
  <c r="G9" i="15"/>
  <c r="G7" i="15"/>
  <c r="F10" i="15"/>
  <c r="G6" i="15"/>
  <c r="G36" i="15"/>
  <c r="G35" i="15"/>
  <c r="F34" i="15"/>
  <c r="F33" i="15"/>
  <c r="F19" i="15"/>
  <c r="G31" i="15"/>
  <c r="F21" i="15"/>
  <c r="F28" i="15"/>
  <c r="F20" i="15"/>
  <c r="G26" i="15"/>
  <c r="G23" i="15"/>
  <c r="G16" i="15"/>
  <c r="G25" i="15"/>
  <c r="F22" i="15"/>
  <c r="G24" i="15"/>
  <c r="F41" i="15"/>
  <c r="F47" i="15"/>
  <c r="F49" i="15"/>
  <c r="G46" i="15"/>
  <c r="F40" i="15"/>
  <c r="F45" i="15"/>
  <c r="G39" i="15"/>
  <c r="F44" i="15"/>
  <c r="F43" i="15"/>
  <c r="G42" i="15"/>
  <c r="F67" i="15"/>
  <c r="G4" i="15"/>
  <c r="G66" i="15"/>
  <c r="G71" i="15" l="1"/>
  <c r="M48" i="15"/>
  <c r="M3" i="15"/>
  <c r="M71" i="15" l="1"/>
  <c r="M73" i="15" s="1"/>
  <c r="E52" i="15"/>
  <c r="F52" i="15" l="1"/>
  <c r="F71" i="15" s="1"/>
  <c r="E71" i="15"/>
  <c r="Q442" i="5"/>
  <c r="Q441" i="5"/>
  <c r="Q440" i="5"/>
  <c r="Q439" i="5"/>
  <c r="Q438" i="5"/>
  <c r="Q437" i="5"/>
  <c r="Q436" i="5"/>
  <c r="Q435" i="5"/>
  <c r="Q434" i="5"/>
  <c r="Q447" i="5" l="1"/>
  <c r="E77" i="15" l="1"/>
  <c r="L294" i="5"/>
  <c r="E78" i="15" l="1"/>
  <c r="E82" i="15"/>
  <c r="A196" i="5"/>
  <c r="A195" i="5"/>
  <c r="A207" i="5" l="1"/>
  <c r="S310" i="5" l="1"/>
  <c r="S364" i="5" s="1"/>
  <c r="L146" i="5" l="1"/>
  <c r="L205" i="5" s="1"/>
  <c r="L314" i="5"/>
  <c r="L364" i="5" s="1"/>
  <c r="A274" i="5" l="1"/>
  <c r="A264" i="5"/>
  <c r="A260" i="5"/>
  <c r="A237" i="5"/>
  <c r="A259" i="5"/>
  <c r="A258" i="5"/>
  <c r="A257" i="5"/>
  <c r="A256" i="5"/>
  <c r="A251" i="5"/>
  <c r="A250" i="5"/>
  <c r="A249" i="5"/>
  <c r="A248" i="5"/>
  <c r="A247" i="5"/>
  <c r="A246" i="5"/>
  <c r="A239" i="5"/>
  <c r="A229" i="5"/>
  <c r="A228" i="5"/>
  <c r="A227" i="5"/>
  <c r="A236" i="5"/>
  <c r="A223" i="5"/>
  <c r="A213" i="5"/>
  <c r="A212" i="5"/>
  <c r="A209" i="5"/>
  <c r="A200" i="5"/>
  <c r="A153" i="5"/>
  <c r="A152" i="5"/>
  <c r="A198" i="5"/>
  <c r="A191" i="5"/>
  <c r="A186" i="5"/>
  <c r="A194" i="5"/>
  <c r="A159" i="5"/>
  <c r="A190" i="5"/>
  <c r="A189" i="5"/>
  <c r="A188" i="5"/>
  <c r="A185" i="5"/>
  <c r="A184" i="5"/>
  <c r="A183" i="5"/>
  <c r="A182" i="5"/>
  <c r="A181" i="5"/>
  <c r="A157" i="5"/>
  <c r="A165" i="5"/>
  <c r="A180" i="5"/>
  <c r="A178" i="5"/>
  <c r="A163" i="5"/>
  <c r="A176" i="5"/>
  <c r="A174" i="5"/>
  <c r="A169" i="5"/>
  <c r="A187" i="5"/>
  <c r="A162" i="5"/>
  <c r="A160" i="5"/>
  <c r="A156" i="5"/>
  <c r="A158" i="5"/>
  <c r="A154" i="5"/>
  <c r="A150" i="5"/>
  <c r="A146" i="5"/>
  <c r="A145" i="5"/>
  <c r="A144" i="5"/>
  <c r="A126" i="5"/>
  <c r="A137" i="5"/>
  <c r="A136" i="5"/>
  <c r="A135" i="5"/>
  <c r="A134" i="5"/>
  <c r="A133" i="5"/>
  <c r="A132" i="5"/>
  <c r="A131" i="5"/>
  <c r="A130" i="5"/>
  <c r="A123" i="5"/>
  <c r="A129" i="5"/>
  <c r="A128" i="5"/>
  <c r="A125" i="5"/>
  <c r="A121" i="5"/>
  <c r="A90" i="5"/>
  <c r="A118" i="5"/>
  <c r="A89" i="5"/>
  <c r="A104" i="5"/>
  <c r="A103" i="5"/>
  <c r="A92" i="5"/>
  <c r="A116" i="5"/>
  <c r="A115" i="5"/>
  <c r="A93" i="5"/>
  <c r="A98" i="5"/>
  <c r="A91" i="5"/>
  <c r="A87" i="5"/>
  <c r="A71" i="5"/>
  <c r="A70" i="5"/>
  <c r="A79" i="5"/>
  <c r="A69" i="5"/>
  <c r="A62" i="5"/>
  <c r="A57" i="5"/>
  <c r="A56" i="5"/>
  <c r="A54" i="5"/>
  <c r="A52" i="5"/>
  <c r="A51" i="5"/>
  <c r="A50" i="5"/>
  <c r="A49" i="5"/>
  <c r="A45" i="5"/>
  <c r="A43" i="5"/>
  <c r="A53" i="5"/>
  <c r="A41" i="5"/>
  <c r="A38" i="5"/>
  <c r="A37" i="5"/>
  <c r="A36" i="5"/>
  <c r="A35" i="5"/>
  <c r="A34" i="5"/>
  <c r="A33" i="5"/>
  <c r="A32" i="5"/>
  <c r="A31" i="5"/>
  <c r="A30" i="5"/>
  <c r="A29" i="5"/>
  <c r="A28" i="5"/>
  <c r="A26" i="5"/>
  <c r="A24" i="5"/>
  <c r="A22" i="5"/>
  <c r="A21" i="5"/>
  <c r="A20" i="5"/>
  <c r="A15" i="5"/>
  <c r="A14" i="5"/>
  <c r="A10" i="5"/>
  <c r="P14" i="21" s="1"/>
  <c r="P34" i="8" l="1"/>
  <c r="F34" i="8"/>
  <c r="O34" i="8"/>
  <c r="M34" i="8"/>
  <c r="L34" i="8"/>
  <c r="J34" i="8"/>
  <c r="K34" i="8"/>
  <c r="E34" i="8"/>
  <c r="S34" i="8"/>
  <c r="R34" i="8"/>
  <c r="I34" i="8"/>
  <c r="Q34" i="8"/>
  <c r="G34" i="8"/>
  <c r="K35" i="8"/>
  <c r="R33" i="8"/>
  <c r="E35" i="8"/>
  <c r="R35" i="8"/>
  <c r="P35" i="8"/>
  <c r="I35" i="8"/>
  <c r="O35" i="8"/>
  <c r="J35" i="8"/>
  <c r="J33" i="8"/>
  <c r="L33" i="8"/>
  <c r="F35" i="8"/>
  <c r="I33" i="8"/>
  <c r="L35" i="8"/>
  <c r="G33" i="8"/>
  <c r="P33" i="8"/>
  <c r="K33" i="8"/>
  <c r="M35" i="8"/>
  <c r="E33" i="8"/>
  <c r="M33" i="8"/>
  <c r="Q33" i="8"/>
  <c r="G35" i="8"/>
  <c r="S33" i="8"/>
  <c r="Q35" i="8"/>
  <c r="O33" i="8"/>
  <c r="S35" i="8"/>
  <c r="F33" i="8"/>
  <c r="R28" i="20"/>
  <c r="T27" i="20"/>
  <c r="R27" i="20"/>
  <c r="T28" i="20"/>
  <c r="P41" i="20"/>
  <c r="P28" i="20"/>
  <c r="P27" i="20"/>
  <c r="T41" i="20"/>
  <c r="R41" i="20"/>
  <c r="E16" i="8"/>
  <c r="G17" i="8"/>
  <c r="M17" i="8"/>
  <c r="M16" i="8"/>
  <c r="K16" i="8"/>
  <c r="E17" i="8"/>
  <c r="P16" i="8"/>
  <c r="R16" i="8"/>
  <c r="O17" i="8"/>
  <c r="J16" i="8"/>
  <c r="O16" i="8"/>
  <c r="Q17" i="8"/>
  <c r="J17" i="8"/>
  <c r="L17" i="8"/>
  <c r="S17" i="8"/>
  <c r="K17" i="8"/>
  <c r="L16" i="8"/>
  <c r="I17" i="8"/>
  <c r="S16" i="8"/>
  <c r="F16" i="8"/>
  <c r="F17" i="8"/>
  <c r="G16" i="8"/>
  <c r="P17" i="8"/>
  <c r="Q16" i="8"/>
  <c r="R17" i="8"/>
  <c r="I16" i="8"/>
  <c r="T76" i="20"/>
  <c r="R76" i="20"/>
  <c r="P76" i="20"/>
  <c r="L27" i="8"/>
  <c r="T46" i="21"/>
  <c r="R46" i="21"/>
  <c r="P46" i="21"/>
  <c r="V23" i="24"/>
  <c r="J27" i="8"/>
  <c r="I37" i="8"/>
  <c r="I21" i="8"/>
  <c r="T82" i="20"/>
  <c r="P31" i="8"/>
  <c r="K31" i="8"/>
  <c r="F31" i="8"/>
  <c r="Q30" i="8"/>
  <c r="L30" i="8"/>
  <c r="G30" i="8"/>
  <c r="R29" i="8"/>
  <c r="M29" i="8"/>
  <c r="I29" i="8"/>
  <c r="S28" i="8"/>
  <c r="O28" i="8"/>
  <c r="J28" i="8"/>
  <c r="E28" i="8"/>
  <c r="P27" i="8"/>
  <c r="K27" i="8"/>
  <c r="F27" i="8"/>
  <c r="Q26" i="8"/>
  <c r="L26" i="8"/>
  <c r="G26" i="8"/>
  <c r="E30" i="8"/>
  <c r="F29" i="8"/>
  <c r="L28" i="8"/>
  <c r="R27" i="8"/>
  <c r="I27" i="8"/>
  <c r="O26" i="8"/>
  <c r="E26" i="8"/>
  <c r="Q31" i="8"/>
  <c r="G31" i="8"/>
  <c r="M30" i="8"/>
  <c r="S29" i="8"/>
  <c r="J29" i="8"/>
  <c r="P28" i="8"/>
  <c r="F28" i="8"/>
  <c r="R26" i="8"/>
  <c r="I26" i="8"/>
  <c r="R82" i="20"/>
  <c r="S31" i="8"/>
  <c r="O31" i="8"/>
  <c r="J31" i="8"/>
  <c r="E31" i="8"/>
  <c r="P30" i="8"/>
  <c r="K30" i="8"/>
  <c r="F30" i="8"/>
  <c r="Q29" i="8"/>
  <c r="L29" i="8"/>
  <c r="G29" i="8"/>
  <c r="R28" i="8"/>
  <c r="M28" i="8"/>
  <c r="I28" i="8"/>
  <c r="S27" i="8"/>
  <c r="O27" i="8"/>
  <c r="E27" i="8"/>
  <c r="P26" i="8"/>
  <c r="K26" i="8"/>
  <c r="F26" i="8"/>
  <c r="P82" i="20"/>
  <c r="R31" i="8"/>
  <c r="M31" i="8"/>
  <c r="I31" i="8"/>
  <c r="S30" i="8"/>
  <c r="O30" i="8"/>
  <c r="J30" i="8"/>
  <c r="P29" i="8"/>
  <c r="K29" i="8"/>
  <c r="Q28" i="8"/>
  <c r="G28" i="8"/>
  <c r="M27" i="8"/>
  <c r="S26" i="8"/>
  <c r="J26" i="8"/>
  <c r="L31" i="8"/>
  <c r="R30" i="8"/>
  <c r="I30" i="8"/>
  <c r="O29" i="8"/>
  <c r="E29" i="8"/>
  <c r="K28" i="8"/>
  <c r="Q27" i="8"/>
  <c r="G27" i="8"/>
  <c r="M26" i="8"/>
  <c r="R32" i="8"/>
  <c r="G32" i="8"/>
  <c r="Q32" i="8"/>
  <c r="E32" i="8"/>
  <c r="M32" i="8"/>
  <c r="J32" i="8"/>
  <c r="T83" i="20"/>
  <c r="I32" i="8"/>
  <c r="K32" i="8"/>
  <c r="L32" i="8"/>
  <c r="O32" i="8"/>
  <c r="S32" i="8"/>
  <c r="P83" i="20"/>
  <c r="P32" i="8"/>
  <c r="R83" i="20"/>
  <c r="F32" i="8"/>
  <c r="T57" i="20"/>
  <c r="R57" i="20"/>
  <c r="P57" i="20"/>
  <c r="T94" i="20"/>
  <c r="T90" i="20"/>
  <c r="T86" i="20"/>
  <c r="T80" i="20"/>
  <c r="T75" i="20"/>
  <c r="T70" i="20"/>
  <c r="T65" i="20"/>
  <c r="T56" i="20"/>
  <c r="T52" i="20"/>
  <c r="T48" i="20"/>
  <c r="T43" i="20"/>
  <c r="T37" i="20"/>
  <c r="T33" i="20"/>
  <c r="T23" i="20"/>
  <c r="T17" i="20"/>
  <c r="T12" i="20"/>
  <c r="R93" i="20"/>
  <c r="R89" i="20"/>
  <c r="R85" i="20"/>
  <c r="R79" i="20"/>
  <c r="R73" i="20"/>
  <c r="R109" i="20" s="1"/>
  <c r="R69" i="20"/>
  <c r="R63" i="20"/>
  <c r="R55" i="20"/>
  <c r="R51" i="20"/>
  <c r="R47" i="20"/>
  <c r="R42" i="20"/>
  <c r="R36" i="20"/>
  <c r="R32" i="20"/>
  <c r="R26" i="20"/>
  <c r="R22" i="20"/>
  <c r="R16" i="20"/>
  <c r="R10" i="20"/>
  <c r="P93" i="20"/>
  <c r="P89" i="20"/>
  <c r="P85" i="20"/>
  <c r="P79" i="20"/>
  <c r="P73" i="20"/>
  <c r="P109" i="20" s="1"/>
  <c r="P69" i="20"/>
  <c r="P63" i="20"/>
  <c r="P55" i="20"/>
  <c r="P51" i="20"/>
  <c r="P47" i="20"/>
  <c r="P42" i="20"/>
  <c r="P36" i="20"/>
  <c r="P32" i="20"/>
  <c r="P26" i="20"/>
  <c r="P22" i="20"/>
  <c r="P16" i="20"/>
  <c r="P10" i="20"/>
  <c r="T95" i="20"/>
  <c r="T89" i="20"/>
  <c r="T84" i="20"/>
  <c r="T77" i="20"/>
  <c r="T69" i="20"/>
  <c r="T62" i="20"/>
  <c r="T53" i="20"/>
  <c r="T47" i="20"/>
  <c r="T40" i="20"/>
  <c r="T34" i="20"/>
  <c r="T26" i="20"/>
  <c r="T20" i="20"/>
  <c r="T13" i="20"/>
  <c r="R92" i="20"/>
  <c r="R87" i="20"/>
  <c r="R80" i="20"/>
  <c r="R72" i="20"/>
  <c r="R67" i="20"/>
  <c r="R56" i="20"/>
  <c r="R50" i="20"/>
  <c r="R44" i="20"/>
  <c r="R37" i="20"/>
  <c r="R31" i="20"/>
  <c r="R58" i="20"/>
  <c r="R17" i="20"/>
  <c r="P96" i="20"/>
  <c r="P91" i="20"/>
  <c r="P86" i="20"/>
  <c r="P78" i="20"/>
  <c r="P65" i="20"/>
  <c r="P54" i="20"/>
  <c r="P49" i="20"/>
  <c r="P43" i="20"/>
  <c r="P35" i="20"/>
  <c r="P23" i="20"/>
  <c r="P14" i="20"/>
  <c r="T73" i="21"/>
  <c r="T69" i="21"/>
  <c r="T65" i="21"/>
  <c r="T61" i="21"/>
  <c r="T57" i="21"/>
  <c r="T51" i="21"/>
  <c r="T42" i="21"/>
  <c r="T92" i="20"/>
  <c r="T87" i="20"/>
  <c r="T79" i="20"/>
  <c r="T72" i="20"/>
  <c r="T67" i="20"/>
  <c r="T55" i="20"/>
  <c r="T50" i="20"/>
  <c r="T44" i="20"/>
  <c r="T36" i="20"/>
  <c r="T31" i="20"/>
  <c r="T58" i="20"/>
  <c r="T16" i="20"/>
  <c r="R95" i="20"/>
  <c r="R90" i="20"/>
  <c r="R84" i="20"/>
  <c r="R77" i="20"/>
  <c r="R70" i="20"/>
  <c r="R62" i="20"/>
  <c r="R53" i="20"/>
  <c r="R48" i="20"/>
  <c r="R40" i="20"/>
  <c r="R34" i="20"/>
  <c r="R20" i="20"/>
  <c r="R13" i="20"/>
  <c r="P94" i="20"/>
  <c r="P88" i="20"/>
  <c r="P81" i="20"/>
  <c r="P75" i="20"/>
  <c r="P68" i="20"/>
  <c r="P102" i="20" s="1"/>
  <c r="P61" i="20"/>
  <c r="P52" i="20"/>
  <c r="P45" i="20"/>
  <c r="P39" i="20"/>
  <c r="P33" i="20"/>
  <c r="P59" i="20"/>
  <c r="P18" i="20"/>
  <c r="P12" i="20"/>
  <c r="N109" i="20"/>
  <c r="N102" i="20"/>
  <c r="T75" i="21"/>
  <c r="T71" i="21"/>
  <c r="T63" i="21"/>
  <c r="T59" i="21"/>
  <c r="T48" i="21"/>
  <c r="T91" i="20"/>
  <c r="T78" i="20"/>
  <c r="T63" i="20"/>
  <c r="T49" i="20"/>
  <c r="T35" i="20"/>
  <c r="T22" i="20"/>
  <c r="R94" i="20"/>
  <c r="R81" i="20"/>
  <c r="R68" i="20"/>
  <c r="R102" i="20" s="1"/>
  <c r="R52" i="20"/>
  <c r="R39" i="20"/>
  <c r="R59" i="20"/>
  <c r="R12" i="20"/>
  <c r="P92" i="20"/>
  <c r="P80" i="20"/>
  <c r="P67" i="20"/>
  <c r="P50" i="20"/>
  <c r="P37" i="20"/>
  <c r="P58" i="20"/>
  <c r="T66" i="21"/>
  <c r="T58" i="21"/>
  <c r="T47" i="21"/>
  <c r="T37" i="21"/>
  <c r="T32" i="21"/>
  <c r="T28" i="21"/>
  <c r="T20" i="21"/>
  <c r="T14" i="21"/>
  <c r="R70" i="21"/>
  <c r="R66" i="21"/>
  <c r="R62" i="21"/>
  <c r="R58" i="21"/>
  <c r="R53" i="21"/>
  <c r="R47" i="21"/>
  <c r="R39" i="21"/>
  <c r="R35" i="21"/>
  <c r="R30" i="21"/>
  <c r="R25" i="21"/>
  <c r="R43" i="21"/>
  <c r="R16" i="21"/>
  <c r="R10" i="21"/>
  <c r="P72" i="21"/>
  <c r="J39" i="26" s="1"/>
  <c r="P60" i="21"/>
  <c r="J43" i="26" s="1"/>
  <c r="P55" i="21"/>
  <c r="J59" i="26" s="1"/>
  <c r="P49" i="21"/>
  <c r="J58" i="26" s="1"/>
  <c r="P41" i="21"/>
  <c r="J69" i="26" s="1"/>
  <c r="P37" i="21"/>
  <c r="J14" i="26" s="1"/>
  <c r="P32" i="21"/>
  <c r="J52" i="26" s="1"/>
  <c r="T88" i="20"/>
  <c r="T73" i="20"/>
  <c r="T109" i="20" s="1"/>
  <c r="T61" i="20"/>
  <c r="T45" i="20"/>
  <c r="T32" i="20"/>
  <c r="T18" i="20"/>
  <c r="R91" i="20"/>
  <c r="R78" i="20"/>
  <c r="R65" i="20"/>
  <c r="R49" i="20"/>
  <c r="R35" i="20"/>
  <c r="R23" i="20"/>
  <c r="P90" i="20"/>
  <c r="P77" i="20"/>
  <c r="P62" i="20"/>
  <c r="P48" i="20"/>
  <c r="P34" i="20"/>
  <c r="P20" i="20"/>
  <c r="T72" i="21"/>
  <c r="T55" i="21"/>
  <c r="T41" i="21"/>
  <c r="T36" i="21"/>
  <c r="T31" i="21"/>
  <c r="T26" i="21"/>
  <c r="T44" i="21"/>
  <c r="T18" i="21"/>
  <c r="T12" i="21"/>
  <c r="R73" i="21"/>
  <c r="R69" i="21"/>
  <c r="R65" i="21"/>
  <c r="R61" i="21"/>
  <c r="R57" i="21"/>
  <c r="R51" i="21"/>
  <c r="R42" i="21"/>
  <c r="R38" i="21"/>
  <c r="R34" i="21"/>
  <c r="R29" i="21"/>
  <c r="R21" i="21"/>
  <c r="R15" i="21"/>
  <c r="P75" i="21"/>
  <c r="J42" i="26" s="1"/>
  <c r="P71" i="21"/>
  <c r="J38" i="26" s="1"/>
  <c r="P63" i="21"/>
  <c r="J35" i="26" s="1"/>
  <c r="P59" i="21"/>
  <c r="J27" i="26" s="1"/>
  <c r="P48" i="21"/>
  <c r="J57" i="26" s="1"/>
  <c r="P36" i="21"/>
  <c r="J13" i="26" s="1"/>
  <c r="P31" i="21"/>
  <c r="J51" i="26" s="1"/>
  <c r="P26" i="21"/>
  <c r="J9" i="26" s="1"/>
  <c r="P44" i="21"/>
  <c r="J54" i="26" s="1"/>
  <c r="P18" i="21"/>
  <c r="J55" i="26" s="1"/>
  <c r="P12" i="21"/>
  <c r="J24" i="26" s="1"/>
  <c r="T85" i="20"/>
  <c r="T54" i="20"/>
  <c r="R86" i="20"/>
  <c r="R54" i="20"/>
  <c r="P72" i="20"/>
  <c r="P44" i="20"/>
  <c r="P17" i="20"/>
  <c r="T60" i="21"/>
  <c r="T38" i="21"/>
  <c r="T29" i="21"/>
  <c r="T21" i="21"/>
  <c r="R75" i="21"/>
  <c r="R59" i="21"/>
  <c r="R48" i="21"/>
  <c r="R36" i="21"/>
  <c r="R26" i="21"/>
  <c r="R18" i="21"/>
  <c r="P73" i="21"/>
  <c r="J40" i="26" s="1"/>
  <c r="P65" i="21"/>
  <c r="J20" i="26" s="1"/>
  <c r="P57" i="21"/>
  <c r="J17" i="26" s="1"/>
  <c r="P42" i="21"/>
  <c r="J70" i="26" s="1"/>
  <c r="P34" i="21"/>
  <c r="J11" i="26" s="1"/>
  <c r="P25" i="21"/>
  <c r="J8" i="26" s="1"/>
  <c r="P21" i="21"/>
  <c r="J48" i="26" s="1"/>
  <c r="R41" i="24"/>
  <c r="R43" i="20"/>
  <c r="T49" i="21"/>
  <c r="T15" i="21"/>
  <c r="R63" i="21"/>
  <c r="R44" i="21"/>
  <c r="P69" i="21"/>
  <c r="J36" i="26" s="1"/>
  <c r="P51" i="21"/>
  <c r="J71" i="26" s="1"/>
  <c r="P29" i="21"/>
  <c r="J49" i="26" s="1"/>
  <c r="P16" i="21"/>
  <c r="J26" i="26" s="1"/>
  <c r="T68" i="20"/>
  <c r="T102" i="20" s="1"/>
  <c r="T10" i="20"/>
  <c r="R61" i="20"/>
  <c r="P84" i="20"/>
  <c r="L109" i="20"/>
  <c r="T39" i="21"/>
  <c r="T43" i="21"/>
  <c r="R60" i="21"/>
  <c r="R37" i="21"/>
  <c r="R20" i="21"/>
  <c r="P66" i="21"/>
  <c r="J29" i="26" s="1"/>
  <c r="P47" i="21"/>
  <c r="J56" i="26" s="1"/>
  <c r="P28" i="21"/>
  <c r="J10" i="26" s="1"/>
  <c r="P15" i="21"/>
  <c r="R42" i="24"/>
  <c r="G58" i="24"/>
  <c r="T81" i="20"/>
  <c r="T51" i="20"/>
  <c r="T59" i="20"/>
  <c r="R75" i="20"/>
  <c r="R103" i="20" s="1"/>
  <c r="R45" i="20"/>
  <c r="R18" i="20"/>
  <c r="P70" i="20"/>
  <c r="P40" i="20"/>
  <c r="P13" i="20"/>
  <c r="T70" i="21"/>
  <c r="T53" i="21"/>
  <c r="T35" i="21"/>
  <c r="T25" i="21"/>
  <c r="T16" i="21"/>
  <c r="R72" i="21"/>
  <c r="R55" i="21"/>
  <c r="R41" i="21"/>
  <c r="R32" i="21"/>
  <c r="R14" i="21"/>
  <c r="P70" i="21"/>
  <c r="J37" i="26" s="1"/>
  <c r="P62" i="21"/>
  <c r="J74" i="26" s="1"/>
  <c r="P53" i="21"/>
  <c r="J72" i="26" s="1"/>
  <c r="P39" i="21"/>
  <c r="J16" i="26" s="1"/>
  <c r="P30" i="21"/>
  <c r="J50" i="26" s="1"/>
  <c r="P20" i="21"/>
  <c r="J47" i="26" s="1"/>
  <c r="P10" i="21"/>
  <c r="J63" i="26" s="1"/>
  <c r="J64" i="26" s="1"/>
  <c r="G63" i="24"/>
  <c r="T96" i="20"/>
  <c r="T42" i="20"/>
  <c r="T14" i="20"/>
  <c r="R96" i="20"/>
  <c r="R14" i="20"/>
  <c r="P87" i="20"/>
  <c r="P56" i="20"/>
  <c r="P31" i="20"/>
  <c r="T34" i="21"/>
  <c r="R71" i="21"/>
  <c r="R31" i="21"/>
  <c r="R12" i="21"/>
  <c r="P61" i="21"/>
  <c r="J28" i="26" s="1"/>
  <c r="P38" i="21"/>
  <c r="J15" i="26" s="1"/>
  <c r="T93" i="20"/>
  <c r="T39" i="20"/>
  <c r="R88" i="20"/>
  <c r="R33" i="20"/>
  <c r="P53" i="20"/>
  <c r="T62" i="21"/>
  <c r="T30" i="21"/>
  <c r="T10" i="21"/>
  <c r="R49" i="21"/>
  <c r="R28" i="21"/>
  <c r="P58" i="21"/>
  <c r="J18" i="26" s="1"/>
  <c r="P35" i="21"/>
  <c r="J12" i="26" s="1"/>
  <c r="P43" i="21"/>
  <c r="J53" i="26" s="1"/>
  <c r="S48" i="8"/>
  <c r="O48" i="8"/>
  <c r="J48" i="8"/>
  <c r="E48" i="8"/>
  <c r="P47" i="8"/>
  <c r="K47" i="8"/>
  <c r="F47" i="8"/>
  <c r="Q46" i="8"/>
  <c r="L46" i="8"/>
  <c r="G46" i="8"/>
  <c r="R45" i="8"/>
  <c r="M45" i="8"/>
  <c r="I45" i="8"/>
  <c r="S44" i="8"/>
  <c r="O44" i="8"/>
  <c r="J44" i="8"/>
  <c r="E44" i="8"/>
  <c r="P43" i="8"/>
  <c r="K43" i="8"/>
  <c r="F43" i="8"/>
  <c r="Q42" i="8"/>
  <c r="L42" i="8"/>
  <c r="G42" i="8"/>
  <c r="R41" i="8"/>
  <c r="M41" i="8"/>
  <c r="I41" i="8"/>
  <c r="S40" i="8"/>
  <c r="O40" i="8"/>
  <c r="J40" i="8"/>
  <c r="E40" i="8"/>
  <c r="P39" i="8"/>
  <c r="K39" i="8"/>
  <c r="F39" i="8"/>
  <c r="Q38" i="8"/>
  <c r="L38" i="8"/>
  <c r="G38" i="8"/>
  <c r="R37" i="8"/>
  <c r="M37" i="8"/>
  <c r="S36" i="8"/>
  <c r="O36" i="8"/>
  <c r="J36" i="8"/>
  <c r="E36" i="8"/>
  <c r="Q25" i="8"/>
  <c r="L25" i="8"/>
  <c r="G25" i="8"/>
  <c r="R24" i="8"/>
  <c r="M24" i="8"/>
  <c r="I24" i="8"/>
  <c r="S23" i="8"/>
  <c r="O23" i="8"/>
  <c r="J23" i="8"/>
  <c r="E23" i="8"/>
  <c r="P22" i="8"/>
  <c r="K22" i="8"/>
  <c r="F22" i="8"/>
  <c r="Q21" i="8"/>
  <c r="L21" i="8"/>
  <c r="G21" i="8"/>
  <c r="R20" i="8"/>
  <c r="M20" i="8"/>
  <c r="I20" i="8"/>
  <c r="S19" i="8"/>
  <c r="O19" i="8"/>
  <c r="J19" i="8"/>
  <c r="E19" i="8"/>
  <c r="P18" i="8"/>
  <c r="K18" i="8"/>
  <c r="F18" i="8"/>
  <c r="Q15" i="8"/>
  <c r="L15" i="8"/>
  <c r="G15" i="8"/>
  <c r="R14" i="8"/>
  <c r="M14" i="8"/>
  <c r="I14" i="8"/>
  <c r="S13" i="8"/>
  <c r="O13" i="8"/>
  <c r="J13" i="8"/>
  <c r="E13" i="8"/>
  <c r="P12" i="8"/>
  <c r="K12" i="8"/>
  <c r="F12" i="8"/>
  <c r="R48" i="8"/>
  <c r="M48" i="8"/>
  <c r="I48" i="8"/>
  <c r="S47" i="8"/>
  <c r="O47" i="8"/>
  <c r="J47" i="8"/>
  <c r="E47" i="8"/>
  <c r="P46" i="8"/>
  <c r="K46" i="8"/>
  <c r="F46" i="8"/>
  <c r="Q45" i="8"/>
  <c r="L45" i="8"/>
  <c r="G45" i="8"/>
  <c r="R44" i="8"/>
  <c r="M44" i="8"/>
  <c r="I44" i="8"/>
  <c r="S43" i="8"/>
  <c r="O43" i="8"/>
  <c r="J43" i="8"/>
  <c r="E43" i="8"/>
  <c r="P42" i="8"/>
  <c r="K42" i="8"/>
  <c r="F42" i="8"/>
  <c r="Q41" i="8"/>
  <c r="L41" i="8"/>
  <c r="G41" i="8"/>
  <c r="R40" i="8"/>
  <c r="M40" i="8"/>
  <c r="I40" i="8"/>
  <c r="S39" i="8"/>
  <c r="O39" i="8"/>
  <c r="J39" i="8"/>
  <c r="E39" i="8"/>
  <c r="P38" i="8"/>
  <c r="K38" i="8"/>
  <c r="F38" i="8"/>
  <c r="Q37" i="8"/>
  <c r="L37" i="8"/>
  <c r="G37" i="8"/>
  <c r="R36" i="8"/>
  <c r="M36" i="8"/>
  <c r="I36" i="8"/>
  <c r="P25" i="8"/>
  <c r="K25" i="8"/>
  <c r="F25" i="8"/>
  <c r="Q24" i="8"/>
  <c r="L24" i="8"/>
  <c r="G24" i="8"/>
  <c r="R23" i="8"/>
  <c r="M23" i="8"/>
  <c r="I23" i="8"/>
  <c r="S22" i="8"/>
  <c r="O22" i="8"/>
  <c r="J22" i="8"/>
  <c r="E22" i="8"/>
  <c r="P21" i="8"/>
  <c r="K21" i="8"/>
  <c r="F21" i="8"/>
  <c r="Q20" i="8"/>
  <c r="L20" i="8"/>
  <c r="G20" i="8"/>
  <c r="R19" i="8"/>
  <c r="M19" i="8"/>
  <c r="I19" i="8"/>
  <c r="S18" i="8"/>
  <c r="O18" i="8"/>
  <c r="J18" i="8"/>
  <c r="E18" i="8"/>
  <c r="P15" i="8"/>
  <c r="K15" i="8"/>
  <c r="F15" i="8"/>
  <c r="Q14" i="8"/>
  <c r="L14" i="8"/>
  <c r="G14" i="8"/>
  <c r="R13" i="8"/>
  <c r="M13" i="8"/>
  <c r="I13" i="8"/>
  <c r="S12" i="8"/>
  <c r="O12" i="8"/>
  <c r="J12" i="8"/>
  <c r="E12" i="8"/>
  <c r="P11" i="8"/>
  <c r="Q48" i="8"/>
  <c r="G48" i="8"/>
  <c r="M47" i="8"/>
  <c r="S46" i="8"/>
  <c r="J46" i="8"/>
  <c r="P45" i="8"/>
  <c r="F45" i="8"/>
  <c r="L44" i="8"/>
  <c r="R43" i="8"/>
  <c r="I43" i="8"/>
  <c r="O42" i="8"/>
  <c r="E42" i="8"/>
  <c r="K41" i="8"/>
  <c r="Q40" i="8"/>
  <c r="G40" i="8"/>
  <c r="M39" i="8"/>
  <c r="S38" i="8"/>
  <c r="J38" i="8"/>
  <c r="P37" i="8"/>
  <c r="F37" i="8"/>
  <c r="L36" i="8"/>
  <c r="O25" i="8"/>
  <c r="E25" i="8"/>
  <c r="K24" i="8"/>
  <c r="Q23" i="8"/>
  <c r="G23" i="8"/>
  <c r="M22" i="8"/>
  <c r="S21" i="8"/>
  <c r="J21" i="8"/>
  <c r="P20" i="8"/>
  <c r="F20" i="8"/>
  <c r="L19" i="8"/>
  <c r="R18" i="8"/>
  <c r="I18" i="8"/>
  <c r="O15" i="8"/>
  <c r="E15" i="8"/>
  <c r="K14" i="8"/>
  <c r="Q13" i="8"/>
  <c r="G13" i="8"/>
  <c r="M12" i="8"/>
  <c r="S11" i="8"/>
  <c r="M11" i="8"/>
  <c r="I11" i="8"/>
  <c r="S10" i="8"/>
  <c r="O10" i="8"/>
  <c r="J10" i="8"/>
  <c r="E10" i="8"/>
  <c r="P9" i="8"/>
  <c r="K9" i="8"/>
  <c r="F9" i="8"/>
  <c r="R39" i="8"/>
  <c r="E38" i="8"/>
  <c r="Q36" i="8"/>
  <c r="J25" i="8"/>
  <c r="F24" i="8"/>
  <c r="R22" i="8"/>
  <c r="O21" i="8"/>
  <c r="K20" i="8"/>
  <c r="G19" i="8"/>
  <c r="S15" i="8"/>
  <c r="P14" i="8"/>
  <c r="L13" i="8"/>
  <c r="I12" i="8"/>
  <c r="K11" i="8"/>
  <c r="Q10" i="8"/>
  <c r="G10" i="8"/>
  <c r="M9" i="8"/>
  <c r="Q47" i="8"/>
  <c r="S45" i="8"/>
  <c r="P44" i="8"/>
  <c r="L43" i="8"/>
  <c r="I42" i="8"/>
  <c r="E41" i="8"/>
  <c r="Q39" i="8"/>
  <c r="M38" i="8"/>
  <c r="J37" i="8"/>
  <c r="F36" i="8"/>
  <c r="R25" i="8"/>
  <c r="O24" i="8"/>
  <c r="K23" i="8"/>
  <c r="G22" i="8"/>
  <c r="S20" i="8"/>
  <c r="J20" i="8"/>
  <c r="P19" i="8"/>
  <c r="F19" i="8"/>
  <c r="L18" i="8"/>
  <c r="R15" i="8"/>
  <c r="I15" i="8"/>
  <c r="O14" i="8"/>
  <c r="E14" i="8"/>
  <c r="K13" i="8"/>
  <c r="G12" i="8"/>
  <c r="J11" i="8"/>
  <c r="P10" i="8"/>
  <c r="F10" i="8"/>
  <c r="L9" i="8"/>
  <c r="P48" i="8"/>
  <c r="F48" i="8"/>
  <c r="L47" i="8"/>
  <c r="R46" i="8"/>
  <c r="I46" i="8"/>
  <c r="O45" i="8"/>
  <c r="E45" i="8"/>
  <c r="K44" i="8"/>
  <c r="Q43" i="8"/>
  <c r="G43" i="8"/>
  <c r="M42" i="8"/>
  <c r="S41" i="8"/>
  <c r="J41" i="8"/>
  <c r="P40" i="8"/>
  <c r="F40" i="8"/>
  <c r="L39" i="8"/>
  <c r="R38" i="8"/>
  <c r="I38" i="8"/>
  <c r="O37" i="8"/>
  <c r="E37" i="8"/>
  <c r="K36" i="8"/>
  <c r="M25" i="8"/>
  <c r="S24" i="8"/>
  <c r="J24" i="8"/>
  <c r="P23" i="8"/>
  <c r="F23" i="8"/>
  <c r="L22" i="8"/>
  <c r="R21" i="8"/>
  <c r="O20" i="8"/>
  <c r="E20" i="8"/>
  <c r="K19" i="8"/>
  <c r="Q18" i="8"/>
  <c r="G18" i="8"/>
  <c r="M15" i="8"/>
  <c r="S14" i="8"/>
  <c r="J14" i="8"/>
  <c r="P13" i="8"/>
  <c r="F13" i="8"/>
  <c r="L12" i="8"/>
  <c r="R11" i="8"/>
  <c r="L11" i="8"/>
  <c r="G11" i="8"/>
  <c r="R10" i="8"/>
  <c r="M10" i="8"/>
  <c r="I10" i="8"/>
  <c r="S9" i="8"/>
  <c r="O9" i="8"/>
  <c r="J9" i="8"/>
  <c r="E9" i="8"/>
  <c r="L48" i="8"/>
  <c r="R47" i="8"/>
  <c r="I47" i="8"/>
  <c r="O46" i="8"/>
  <c r="E46" i="8"/>
  <c r="K45" i="8"/>
  <c r="Q44" i="8"/>
  <c r="G44" i="8"/>
  <c r="M43" i="8"/>
  <c r="S42" i="8"/>
  <c r="J42" i="8"/>
  <c r="P41" i="8"/>
  <c r="F41" i="8"/>
  <c r="L40" i="8"/>
  <c r="I39" i="8"/>
  <c r="O38" i="8"/>
  <c r="K37" i="8"/>
  <c r="G36" i="8"/>
  <c r="S25" i="8"/>
  <c r="P24" i="8"/>
  <c r="L23" i="8"/>
  <c r="I22" i="8"/>
  <c r="E21" i="8"/>
  <c r="Q19" i="8"/>
  <c r="M18" i="8"/>
  <c r="J15" i="8"/>
  <c r="F14" i="8"/>
  <c r="R12" i="8"/>
  <c r="Q11" i="8"/>
  <c r="F11" i="8"/>
  <c r="L10" i="8"/>
  <c r="R9" i="8"/>
  <c r="I9" i="8"/>
  <c r="K48" i="8"/>
  <c r="G47" i="8"/>
  <c r="M46" i="8"/>
  <c r="J45" i="8"/>
  <c r="F44" i="8"/>
  <c r="R42" i="8"/>
  <c r="O41" i="8"/>
  <c r="K40" i="8"/>
  <c r="G39" i="8"/>
  <c r="S37" i="8"/>
  <c r="P36" i="8"/>
  <c r="I25" i="8"/>
  <c r="E24" i="8"/>
  <c r="Q22" i="8"/>
  <c r="M21" i="8"/>
  <c r="Q12" i="8"/>
  <c r="O11" i="8"/>
  <c r="E11" i="8"/>
  <c r="K10" i="8"/>
  <c r="Q9" i="8"/>
  <c r="G9" i="8"/>
  <c r="K45" i="16"/>
  <c r="K28" i="16"/>
  <c r="K49" i="16"/>
  <c r="K14" i="16"/>
  <c r="K13" i="16"/>
  <c r="K36" i="16"/>
  <c r="K38" i="16"/>
  <c r="K15" i="16"/>
  <c r="K7" i="16"/>
  <c r="K8" i="16"/>
  <c r="K34" i="16"/>
  <c r="K43" i="16"/>
  <c r="K46" i="16"/>
  <c r="K16" i="16"/>
  <c r="K29" i="16"/>
  <c r="K24" i="16"/>
  <c r="K17" i="16"/>
  <c r="K26" i="16"/>
  <c r="K9" i="16"/>
  <c r="K3" i="16"/>
  <c r="K5" i="16"/>
  <c r="K30" i="16"/>
  <c r="K52" i="16"/>
  <c r="K37" i="16"/>
  <c r="K20" i="16"/>
  <c r="K32" i="16"/>
  <c r="K25" i="16"/>
  <c r="K42" i="16"/>
  <c r="K19" i="16"/>
  <c r="K12" i="16"/>
  <c r="K48" i="16"/>
  <c r="K6" i="16"/>
  <c r="K18" i="16"/>
  <c r="K44" i="16"/>
  <c r="K21" i="16"/>
  <c r="K40" i="16"/>
  <c r="K33" i="16"/>
  <c r="K50" i="16"/>
  <c r="K27" i="16"/>
  <c r="K11" i="16"/>
  <c r="K23" i="16"/>
  <c r="K4" i="16"/>
  <c r="K31" i="16"/>
  <c r="K47" i="16"/>
  <c r="K41" i="16"/>
  <c r="K35" i="16"/>
  <c r="K39" i="16"/>
  <c r="K22" i="16"/>
  <c r="K51" i="16"/>
  <c r="K10" i="16"/>
  <c r="J21" i="26" l="1"/>
  <c r="J44" i="26"/>
  <c r="J75" i="26"/>
  <c r="J60" i="26"/>
  <c r="J25" i="26"/>
  <c r="J32" i="26" s="1"/>
  <c r="T103" i="20"/>
  <c r="N103" i="20"/>
  <c r="P103" i="20"/>
  <c r="G11" i="24"/>
  <c r="I8" i="25"/>
  <c r="V65" i="24"/>
  <c r="AA52" i="25"/>
  <c r="V17" i="24"/>
  <c r="AA14" i="25"/>
  <c r="V61" i="24"/>
  <c r="AA48" i="25"/>
  <c r="V10" i="24"/>
  <c r="AA7" i="25"/>
  <c r="V63" i="24"/>
  <c r="AA50" i="25"/>
  <c r="G16" i="24"/>
  <c r="I13" i="25"/>
  <c r="G17" i="24"/>
  <c r="I14" i="25"/>
  <c r="G13" i="24"/>
  <c r="I10" i="25"/>
  <c r="G22" i="24"/>
  <c r="I19" i="25"/>
  <c r="R38" i="24"/>
  <c r="AA33" i="25"/>
  <c r="G10" i="24"/>
  <c r="I7" i="25"/>
  <c r="V20" i="24"/>
  <c r="AA17" i="25"/>
  <c r="R39" i="24"/>
  <c r="AA34" i="25"/>
  <c r="V21" i="24"/>
  <c r="AA18" i="25"/>
  <c r="G62" i="24"/>
  <c r="I49" i="25"/>
  <c r="R35" i="24"/>
  <c r="AA30" i="25"/>
  <c r="V14" i="24"/>
  <c r="AA11" i="25"/>
  <c r="V24" i="24"/>
  <c r="AA53" i="25"/>
  <c r="V11" i="24"/>
  <c r="AA8" i="25"/>
  <c r="V16" i="24"/>
  <c r="AA13" i="25"/>
  <c r="V60" i="24"/>
  <c r="AA47" i="25"/>
  <c r="G14" i="24"/>
  <c r="I11" i="25"/>
  <c r="V22" i="24"/>
  <c r="AA19" i="25"/>
  <c r="G60" i="24"/>
  <c r="I47" i="25"/>
  <c r="G24" i="24"/>
  <c r="I21" i="25"/>
  <c r="V64" i="24"/>
  <c r="AA51" i="25"/>
  <c r="G12" i="24"/>
  <c r="I9" i="25"/>
  <c r="V19" i="24"/>
  <c r="AA16" i="25"/>
  <c r="G59" i="24"/>
  <c r="I46" i="25"/>
  <c r="G20" i="24"/>
  <c r="I17" i="25"/>
  <c r="G15" i="24"/>
  <c r="I12" i="25"/>
  <c r="G21" i="24"/>
  <c r="I18" i="25"/>
  <c r="I38" i="24"/>
  <c r="I39" i="24" s="1"/>
  <c r="I30" i="25"/>
  <c r="I31" i="25" s="1"/>
  <c r="V62" i="24"/>
  <c r="AA49" i="25"/>
  <c r="G19" i="24"/>
  <c r="I16" i="25"/>
  <c r="V58" i="24"/>
  <c r="AA45" i="25"/>
  <c r="R37" i="24"/>
  <c r="AA32" i="25"/>
  <c r="G23" i="24"/>
  <c r="I20" i="25"/>
  <c r="V18" i="24"/>
  <c r="AA15" i="25"/>
  <c r="G18" i="24"/>
  <c r="I15" i="25"/>
  <c r="R40" i="24"/>
  <c r="AA35" i="25"/>
  <c r="V12" i="24"/>
  <c r="AA9" i="25"/>
  <c r="V13" i="24"/>
  <c r="AA10" i="25"/>
  <c r="AA31" i="25"/>
  <c r="V15" i="24"/>
  <c r="AA12" i="25"/>
  <c r="G64" i="24"/>
  <c r="I51" i="25"/>
  <c r="G61" i="24"/>
  <c r="I48" i="25"/>
  <c r="V59" i="24"/>
  <c r="AA46" i="25"/>
  <c r="T107" i="20"/>
  <c r="N107" i="20"/>
  <c r="P107" i="20"/>
  <c r="R107" i="20"/>
  <c r="R36" i="24"/>
  <c r="T119" i="20"/>
  <c r="T105" i="20"/>
  <c r="R105" i="20"/>
  <c r="L106" i="20"/>
  <c r="L117" i="20"/>
  <c r="R117" i="20"/>
  <c r="L121" i="20"/>
  <c r="N101" i="20"/>
  <c r="N116" i="20"/>
  <c r="N98" i="20"/>
  <c r="L119" i="20"/>
  <c r="R118" i="20"/>
  <c r="T77" i="21"/>
  <c r="N119" i="20"/>
  <c r="P101" i="20"/>
  <c r="P116" i="20"/>
  <c r="P98" i="20"/>
  <c r="P104" i="20"/>
  <c r="P134" i="20" s="1"/>
  <c r="R77" i="21"/>
  <c r="N106" i="20"/>
  <c r="N117" i="20"/>
  <c r="R121" i="20"/>
  <c r="N105" i="20"/>
  <c r="L77" i="21"/>
  <c r="T104" i="20"/>
  <c r="T134" i="20" s="1"/>
  <c r="R106" i="20"/>
  <c r="L116" i="20"/>
  <c r="L98" i="20"/>
  <c r="L104" i="20"/>
  <c r="N118" i="20"/>
  <c r="P117" i="20"/>
  <c r="R98" i="20"/>
  <c r="R116" i="20"/>
  <c r="R104" i="20"/>
  <c r="R134" i="20" s="1"/>
  <c r="R101" i="20"/>
  <c r="T101" i="20"/>
  <c r="T116" i="20"/>
  <c r="T98" i="20"/>
  <c r="N77" i="21"/>
  <c r="P119" i="20"/>
  <c r="L118" i="20"/>
  <c r="T117" i="20"/>
  <c r="P77" i="21"/>
  <c r="P106" i="20"/>
  <c r="P105" i="20"/>
  <c r="R119" i="20"/>
  <c r="N121" i="20"/>
  <c r="T118" i="20"/>
  <c r="T121" i="20"/>
  <c r="N104" i="20"/>
  <c r="P121" i="20"/>
  <c r="P118" i="20"/>
  <c r="T106" i="20"/>
  <c r="S54" i="8"/>
  <c r="S55" i="8"/>
  <c r="S49" i="8"/>
  <c r="S50" i="8" s="1"/>
  <c r="S58" i="8"/>
  <c r="S56" i="8"/>
  <c r="K34" i="18"/>
  <c r="K54" i="18"/>
  <c r="K82" i="18"/>
  <c r="R56" i="8"/>
  <c r="L57" i="16"/>
  <c r="R55" i="8"/>
  <c r="R54" i="8"/>
  <c r="R49" i="8"/>
  <c r="R50" i="8" s="1"/>
  <c r="R58" i="8"/>
  <c r="K54" i="16"/>
  <c r="K378" i="5"/>
  <c r="L378" i="5"/>
  <c r="M378" i="5"/>
  <c r="Q378" i="5"/>
  <c r="R378" i="5"/>
  <c r="S378" i="5"/>
  <c r="U378" i="5"/>
  <c r="V378" i="5"/>
  <c r="W378" i="5"/>
  <c r="A3" i="26" l="1"/>
  <c r="AA54" i="25"/>
  <c r="AA20" i="25"/>
  <c r="I22" i="25"/>
  <c r="V25" i="24"/>
  <c r="V66" i="24"/>
  <c r="G25" i="24"/>
  <c r="R43" i="24"/>
  <c r="G65" i="24"/>
  <c r="I52" i="25"/>
  <c r="AA38" i="25"/>
  <c r="P122" i="20"/>
  <c r="P123" i="20" s="1"/>
  <c r="T122" i="20"/>
  <c r="T123" i="20" s="1"/>
  <c r="L122" i="20"/>
  <c r="T130" i="20" s="1"/>
  <c r="P110" i="20"/>
  <c r="P111" i="20" s="1"/>
  <c r="T110" i="20"/>
  <c r="T111" i="20" s="1"/>
  <c r="R122" i="20"/>
  <c r="R123" i="20" s="1"/>
  <c r="N122" i="20"/>
  <c r="N123" i="20" s="1"/>
  <c r="R110" i="20"/>
  <c r="R111" i="20" s="1"/>
  <c r="L110" i="20"/>
  <c r="L111" i="20" s="1"/>
  <c r="N110" i="20"/>
  <c r="N111" i="20" s="1"/>
  <c r="S59" i="8"/>
  <c r="S60" i="8" s="1"/>
  <c r="K99" i="18"/>
  <c r="K59" i="16"/>
  <c r="R59" i="8"/>
  <c r="R60" i="8" s="1"/>
  <c r="U390" i="5"/>
  <c r="K390" i="5"/>
  <c r="W389" i="5"/>
  <c r="V389" i="5"/>
  <c r="U389" i="5"/>
  <c r="S389" i="5"/>
  <c r="R389" i="5"/>
  <c r="Q389" i="5"/>
  <c r="P389" i="5"/>
  <c r="O389" i="5"/>
  <c r="M389" i="5"/>
  <c r="L389" i="5"/>
  <c r="K389" i="5"/>
  <c r="W388" i="5"/>
  <c r="V388" i="5"/>
  <c r="U388" i="5"/>
  <c r="S388" i="5"/>
  <c r="Q388" i="5"/>
  <c r="M388" i="5"/>
  <c r="L388" i="5"/>
  <c r="K388" i="5"/>
  <c r="V387" i="5"/>
  <c r="U387" i="5"/>
  <c r="S387" i="5"/>
  <c r="R387" i="5"/>
  <c r="Q387" i="5"/>
  <c r="P387" i="5"/>
  <c r="M387" i="5"/>
  <c r="K387" i="5"/>
  <c r="V386" i="5"/>
  <c r="U386" i="5"/>
  <c r="S386" i="5"/>
  <c r="R386" i="5"/>
  <c r="Q386" i="5"/>
  <c r="P386" i="5"/>
  <c r="O386" i="5"/>
  <c r="M386" i="5"/>
  <c r="L386" i="5"/>
  <c r="K386" i="5"/>
  <c r="W385" i="5"/>
  <c r="V385" i="5"/>
  <c r="U385" i="5"/>
  <c r="S385" i="5"/>
  <c r="R385" i="5"/>
  <c r="Q385" i="5"/>
  <c r="P385" i="5"/>
  <c r="O385" i="5"/>
  <c r="M385" i="5"/>
  <c r="L385" i="5"/>
  <c r="K385" i="5"/>
  <c r="W384" i="5"/>
  <c r="V384" i="5"/>
  <c r="U384" i="5"/>
  <c r="S384" i="5"/>
  <c r="R384" i="5"/>
  <c r="Q384" i="5"/>
  <c r="P384" i="5"/>
  <c r="M384" i="5"/>
  <c r="K384" i="5"/>
  <c r="L384" i="5"/>
  <c r="W377" i="5"/>
  <c r="V377" i="5"/>
  <c r="U377" i="5"/>
  <c r="S377" i="5"/>
  <c r="R377" i="5"/>
  <c r="Q377" i="5"/>
  <c r="P377" i="5"/>
  <c r="O377" i="5"/>
  <c r="M377" i="5"/>
  <c r="L377" i="5"/>
  <c r="K377" i="5"/>
  <c r="W376" i="5"/>
  <c r="V376" i="5"/>
  <c r="U376" i="5"/>
  <c r="S376" i="5"/>
  <c r="R376" i="5"/>
  <c r="Q376" i="5"/>
  <c r="P376" i="5"/>
  <c r="O376" i="5"/>
  <c r="M376" i="5"/>
  <c r="L376" i="5"/>
  <c r="K376" i="5"/>
  <c r="W375" i="5"/>
  <c r="V375" i="5"/>
  <c r="U375" i="5"/>
  <c r="S375" i="5"/>
  <c r="R375" i="5"/>
  <c r="Q375" i="5"/>
  <c r="P375" i="5"/>
  <c r="M375" i="5"/>
  <c r="K375" i="5"/>
  <c r="V374" i="5"/>
  <c r="U374" i="5"/>
  <c r="S374" i="5"/>
  <c r="R374" i="5"/>
  <c r="Q374" i="5"/>
  <c r="P374" i="5"/>
  <c r="O374" i="5"/>
  <c r="P135" i="20" s="1"/>
  <c r="K374" i="5"/>
  <c r="W372" i="5"/>
  <c r="V372" i="5"/>
  <c r="U372" i="5"/>
  <c r="S372" i="5"/>
  <c r="Q372" i="5"/>
  <c r="P372" i="5"/>
  <c r="O372" i="5"/>
  <c r="M372" i="5"/>
  <c r="L372" i="5"/>
  <c r="K372" i="5"/>
  <c r="U370" i="5"/>
  <c r="K370" i="5"/>
  <c r="B2" i="24" l="1"/>
  <c r="T126" i="20"/>
  <c r="R127" i="20"/>
  <c r="N130" i="20"/>
  <c r="N125" i="20"/>
  <c r="R126" i="20"/>
  <c r="P112" i="20"/>
  <c r="N126" i="20"/>
  <c r="N127" i="20"/>
  <c r="R130" i="20"/>
  <c r="P130" i="20"/>
  <c r="L125" i="20"/>
  <c r="L130" i="20"/>
  <c r="N112" i="20"/>
  <c r="T125" i="20"/>
  <c r="P126" i="20"/>
  <c r="T112" i="20"/>
  <c r="T127" i="20"/>
  <c r="P138" i="20"/>
  <c r="R138" i="20"/>
  <c r="T138" i="20"/>
  <c r="L126" i="20"/>
  <c r="P124" i="20"/>
  <c r="T124" i="20"/>
  <c r="N124" i="20"/>
  <c r="N129" i="20"/>
  <c r="P129" i="20"/>
  <c r="T129" i="20"/>
  <c r="R129" i="20"/>
  <c r="R124" i="20"/>
  <c r="L123" i="20"/>
  <c r="L124" i="20"/>
  <c r="L129" i="20"/>
  <c r="T128" i="20"/>
  <c r="P128" i="20"/>
  <c r="L128" i="20"/>
  <c r="T137" i="20"/>
  <c r="P137" i="20"/>
  <c r="R137" i="20"/>
  <c r="P133" i="20"/>
  <c r="T133" i="20"/>
  <c r="R133" i="20"/>
  <c r="T135" i="20"/>
  <c r="R135" i="20"/>
  <c r="L112" i="20"/>
  <c r="R112" i="20"/>
  <c r="R128" i="20"/>
  <c r="N128" i="20"/>
  <c r="R125" i="20"/>
  <c r="P127" i="20"/>
  <c r="P125" i="20"/>
  <c r="L127" i="20"/>
  <c r="U379" i="5"/>
  <c r="K379" i="5"/>
  <c r="U381" i="5" l="1"/>
  <c r="K381" i="5"/>
  <c r="L390" i="5" l="1"/>
  <c r="U391" i="5" l="1"/>
  <c r="W369" i="5"/>
  <c r="W383" i="5" s="1"/>
  <c r="V369" i="5"/>
  <c r="V383" i="5" s="1"/>
  <c r="U369" i="5"/>
  <c r="U383" i="5" s="1"/>
  <c r="S369" i="5"/>
  <c r="S383" i="5" s="1"/>
  <c r="R369" i="5"/>
  <c r="R383" i="5" s="1"/>
  <c r="Q369" i="5"/>
  <c r="Q383" i="5" s="1"/>
  <c r="P369" i="5"/>
  <c r="P383" i="5" s="1"/>
  <c r="O369" i="5"/>
  <c r="O383" i="5" s="1"/>
  <c r="M369" i="5"/>
  <c r="M383" i="5" s="1"/>
  <c r="L369" i="5"/>
  <c r="L383" i="5" s="1"/>
  <c r="K369" i="5"/>
  <c r="K383" i="5" s="1"/>
  <c r="W390" i="5"/>
  <c r="O390" i="5"/>
  <c r="V390" i="5" l="1"/>
  <c r="V391" i="5" s="1"/>
  <c r="V370" i="5"/>
  <c r="M390" i="5"/>
  <c r="M391" i="5" s="1"/>
  <c r="M370" i="5"/>
  <c r="Q370" i="5"/>
  <c r="Q390" i="5"/>
  <c r="Q391" i="5" s="1"/>
  <c r="U367" i="5"/>
  <c r="U380" i="5" s="1"/>
  <c r="R370" i="5"/>
  <c r="R390" i="5"/>
  <c r="K367" i="5"/>
  <c r="K380" i="5" s="1"/>
  <c r="P390" i="5"/>
  <c r="S390" i="5"/>
  <c r="S391" i="5" s="1"/>
  <c r="S370" i="5"/>
  <c r="M367" i="5"/>
  <c r="V367" i="5"/>
  <c r="K391" i="5"/>
  <c r="K55" i="16" l="1"/>
  <c r="V379" i="5"/>
  <c r="V380" i="5" s="1"/>
  <c r="M379" i="5"/>
  <c r="M380" i="5" s="1"/>
  <c r="S379" i="5"/>
  <c r="S381" i="5" s="1"/>
  <c r="Q379" i="5"/>
  <c r="Q381" i="5" s="1"/>
  <c r="V392" i="5"/>
  <c r="M392" i="5"/>
  <c r="U392" i="5"/>
  <c r="K392" i="5"/>
  <c r="V381" i="5" l="1"/>
  <c r="M381" i="5"/>
  <c r="L370" i="5"/>
  <c r="L374" i="5"/>
  <c r="E72" i="15" l="1"/>
  <c r="O384" i="5"/>
  <c r="W386" i="5"/>
  <c r="W370" i="5"/>
  <c r="W387" i="5"/>
  <c r="W374" i="5"/>
  <c r="R388" i="5"/>
  <c r="R391" i="5" s="1"/>
  <c r="R372" i="5"/>
  <c r="R379" i="5" s="1"/>
  <c r="O387" i="5"/>
  <c r="O375" i="5"/>
  <c r="L387" i="5"/>
  <c r="L391" i="5" s="1"/>
  <c r="L375" i="5"/>
  <c r="L379" i="5" s="1"/>
  <c r="R367" i="5"/>
  <c r="L367" i="5"/>
  <c r="S367" i="5"/>
  <c r="S380" i="5" s="1"/>
  <c r="E13" i="12"/>
  <c r="E14" i="12"/>
  <c r="T136" i="20" l="1"/>
  <c r="R136" i="20"/>
  <c r="P136" i="20"/>
  <c r="Q367" i="5"/>
  <c r="Q380" i="5" s="1"/>
  <c r="L380" i="5"/>
  <c r="R380" i="5"/>
  <c r="R381" i="5"/>
  <c r="L381" i="5"/>
  <c r="W379" i="5"/>
  <c r="W367" i="5"/>
  <c r="L392" i="5"/>
  <c r="W391" i="5"/>
  <c r="S392" i="5"/>
  <c r="R392" i="5"/>
  <c r="K91" i="11"/>
  <c r="I92" i="11"/>
  <c r="Q392" i="5" l="1"/>
  <c r="W380" i="5"/>
  <c r="W381" i="5"/>
  <c r="W392" i="5"/>
  <c r="P22" i="7"/>
  <c r="O22" i="7"/>
  <c r="N22" i="7"/>
  <c r="L22" i="7"/>
  <c r="K22" i="7"/>
  <c r="J22" i="7"/>
  <c r="I22" i="7"/>
  <c r="H22" i="7"/>
  <c r="F22" i="7"/>
  <c r="E22" i="7"/>
  <c r="D22" i="7"/>
  <c r="F81" i="3" l="1"/>
  <c r="G81" i="3" s="1"/>
  <c r="F69" i="3"/>
  <c r="G69" i="3" s="1"/>
  <c r="F67" i="3"/>
  <c r="G67" i="3" s="1"/>
  <c r="F63" i="3"/>
  <c r="G63" i="3" s="1"/>
  <c r="F61" i="3"/>
  <c r="G61" i="3" s="1"/>
  <c r="F41" i="3"/>
  <c r="G41" i="3" s="1"/>
  <c r="F32" i="3"/>
  <c r="F28" i="3"/>
  <c r="F23" i="3"/>
  <c r="F22" i="3"/>
  <c r="F17" i="3"/>
  <c r="F15" i="3"/>
  <c r="F7" i="3"/>
  <c r="E33" i="3"/>
  <c r="F33" i="3" s="1"/>
  <c r="E25" i="3"/>
  <c r="N101" i="11"/>
  <c r="M101" i="11"/>
  <c r="L101" i="11"/>
  <c r="K101" i="11"/>
  <c r="J101" i="11"/>
  <c r="I101" i="11"/>
  <c r="H101" i="11"/>
  <c r="E101" i="11"/>
  <c r="N100" i="11"/>
  <c r="M100" i="11"/>
  <c r="M102" i="11" s="1"/>
  <c r="L100" i="11"/>
  <c r="K100" i="11"/>
  <c r="J100" i="11"/>
  <c r="I100" i="11"/>
  <c r="H100" i="11"/>
  <c r="G100" i="11"/>
  <c r="F100" i="11"/>
  <c r="E100" i="11"/>
  <c r="D101" i="11"/>
  <c r="D100" i="11"/>
  <c r="J46" i="10"/>
  <c r="J54" i="10" s="1"/>
  <c r="N54" i="10"/>
  <c r="M54" i="10"/>
  <c r="L54" i="10"/>
  <c r="K54" i="10"/>
  <c r="I54" i="10"/>
  <c r="H54" i="10"/>
  <c r="G54" i="10"/>
  <c r="F54" i="10"/>
  <c r="E54" i="10"/>
  <c r="N53" i="10"/>
  <c r="M53" i="10"/>
  <c r="L53" i="10"/>
  <c r="K53" i="10"/>
  <c r="J53" i="10"/>
  <c r="I53" i="10"/>
  <c r="H53" i="10"/>
  <c r="G53" i="10"/>
  <c r="F53" i="10"/>
  <c r="E53" i="10"/>
  <c r="D54" i="10"/>
  <c r="D53" i="10"/>
  <c r="N102" i="11" l="1"/>
  <c r="J102" i="11"/>
  <c r="D102" i="11"/>
  <c r="E102" i="11"/>
  <c r="H102" i="11"/>
  <c r="I102" i="11"/>
  <c r="K102" i="11"/>
  <c r="L102" i="11"/>
  <c r="E83" i="3"/>
  <c r="F26" i="3"/>
  <c r="O100" i="9"/>
  <c r="M115" i="4" s="1"/>
  <c r="N100" i="9"/>
  <c r="L115" i="4" s="1"/>
  <c r="M100" i="9"/>
  <c r="K115" i="4" s="1"/>
  <c r="L100" i="9"/>
  <c r="K100" i="9"/>
  <c r="I115" i="4" s="1"/>
  <c r="J100" i="9"/>
  <c r="H115" i="4" s="1"/>
  <c r="H100" i="9"/>
  <c r="F100" i="9"/>
  <c r="D115" i="4" s="1"/>
  <c r="P99" i="9"/>
  <c r="N114" i="4" s="1"/>
  <c r="O99" i="9"/>
  <c r="M114" i="4" s="1"/>
  <c r="N99" i="9"/>
  <c r="L114" i="4" s="1"/>
  <c r="M99" i="9"/>
  <c r="K114" i="4" s="1"/>
  <c r="L99" i="9"/>
  <c r="J114" i="4" s="1"/>
  <c r="K99" i="9"/>
  <c r="I114" i="4" s="1"/>
  <c r="J99" i="9"/>
  <c r="H114" i="4" s="1"/>
  <c r="I99" i="9"/>
  <c r="G114" i="4" s="1"/>
  <c r="H99" i="9"/>
  <c r="F114" i="4" s="1"/>
  <c r="G99" i="9"/>
  <c r="E114" i="4" s="1"/>
  <c r="F99" i="9"/>
  <c r="D114" i="4" s="1"/>
  <c r="P121" i="9"/>
  <c r="O121" i="9"/>
  <c r="N121" i="9"/>
  <c r="M121" i="9"/>
  <c r="L121" i="9"/>
  <c r="K121" i="9"/>
  <c r="J121" i="9"/>
  <c r="I121" i="9"/>
  <c r="H121" i="9"/>
  <c r="P120" i="9"/>
  <c r="O120" i="9"/>
  <c r="N120" i="9"/>
  <c r="M120" i="9"/>
  <c r="L120" i="9"/>
  <c r="K120" i="9"/>
  <c r="J120" i="9"/>
  <c r="I120" i="9"/>
  <c r="H120" i="9"/>
  <c r="G120" i="9"/>
  <c r="P119" i="9"/>
  <c r="O119" i="9"/>
  <c r="N119" i="9"/>
  <c r="M119" i="9"/>
  <c r="L119" i="9"/>
  <c r="K119" i="9"/>
  <c r="J119" i="9"/>
  <c r="I119" i="9"/>
  <c r="H119" i="9"/>
  <c r="G119" i="9"/>
  <c r="O118" i="9"/>
  <c r="N118" i="9"/>
  <c r="M118" i="9"/>
  <c r="L118" i="9"/>
  <c r="K118" i="9"/>
  <c r="J118" i="9"/>
  <c r="I118" i="9"/>
  <c r="H118" i="9"/>
  <c r="G118" i="9"/>
  <c r="O117" i="9"/>
  <c r="N117" i="9"/>
  <c r="M117" i="9"/>
  <c r="L117" i="9"/>
  <c r="K117" i="9"/>
  <c r="J117" i="9"/>
  <c r="I117" i="9"/>
  <c r="H117" i="9"/>
  <c r="G117" i="9"/>
  <c r="P116" i="9"/>
  <c r="O116" i="9"/>
  <c r="N116" i="9"/>
  <c r="M116" i="9"/>
  <c r="L116" i="9"/>
  <c r="K116" i="9"/>
  <c r="J116" i="9"/>
  <c r="I116" i="9"/>
  <c r="H116" i="9"/>
  <c r="G116" i="9"/>
  <c r="P115" i="9"/>
  <c r="O115" i="9"/>
  <c r="N115" i="9"/>
  <c r="M115" i="9"/>
  <c r="L115" i="9"/>
  <c r="K115" i="9"/>
  <c r="J115" i="9"/>
  <c r="H115" i="9"/>
  <c r="F121" i="9"/>
  <c r="F120" i="9"/>
  <c r="F119" i="9"/>
  <c r="F118" i="9"/>
  <c r="F117" i="9"/>
  <c r="F116" i="9"/>
  <c r="F115" i="9"/>
  <c r="F110" i="9"/>
  <c r="F109" i="9"/>
  <c r="F108" i="9"/>
  <c r="F107" i="9"/>
  <c r="F106" i="9"/>
  <c r="F105" i="9"/>
  <c r="F83" i="3" l="1"/>
  <c r="G33" i="3"/>
  <c r="G83" i="3" s="1"/>
  <c r="H101" i="9"/>
  <c r="L101" i="9"/>
  <c r="J115" i="4"/>
  <c r="F101" i="9"/>
  <c r="M101" i="9"/>
  <c r="K101" i="9"/>
  <c r="O101" i="9"/>
  <c r="J101" i="9"/>
  <c r="N101" i="9"/>
  <c r="O136" i="4" l="1"/>
  <c r="O141" i="4"/>
  <c r="O140" i="4"/>
  <c r="O135" i="4"/>
  <c r="O134" i="4"/>
  <c r="O138" i="4"/>
  <c r="O139" i="4"/>
  <c r="O131" i="4"/>
  <c r="O132" i="4"/>
  <c r="O133" i="4"/>
  <c r="O137" i="4"/>
  <c r="O142" i="4" l="1"/>
  <c r="N124" i="4"/>
  <c r="M124" i="4"/>
  <c r="L124" i="4"/>
  <c r="K124" i="4"/>
  <c r="J124" i="4"/>
  <c r="I124" i="4"/>
  <c r="H124" i="4"/>
  <c r="G124" i="4"/>
  <c r="F124" i="4"/>
  <c r="E124" i="4"/>
  <c r="D124" i="4"/>
  <c r="N88" i="4"/>
  <c r="M88" i="4"/>
  <c r="L88" i="4"/>
  <c r="K88" i="4"/>
  <c r="J88" i="4"/>
  <c r="I88" i="4"/>
  <c r="H88" i="4"/>
  <c r="G88" i="4"/>
  <c r="F88" i="4"/>
  <c r="E88" i="4"/>
  <c r="D88" i="4"/>
  <c r="N99" i="4"/>
  <c r="M99" i="4"/>
  <c r="L99" i="4"/>
  <c r="K99" i="4"/>
  <c r="J99" i="4"/>
  <c r="I99" i="4"/>
  <c r="H99" i="4"/>
  <c r="G99" i="4"/>
  <c r="F99" i="4"/>
  <c r="E99" i="4"/>
  <c r="D99" i="4"/>
  <c r="Q58" i="8" l="1"/>
  <c r="P58" i="8"/>
  <c r="O58" i="8"/>
  <c r="M58" i="8"/>
  <c r="L58" i="8"/>
  <c r="K58" i="8"/>
  <c r="J58" i="8"/>
  <c r="I58" i="8"/>
  <c r="G58" i="8"/>
  <c r="F58" i="8"/>
  <c r="Q57" i="8"/>
  <c r="P57" i="8"/>
  <c r="O57" i="8"/>
  <c r="M57" i="8"/>
  <c r="L57" i="8"/>
  <c r="K57" i="8"/>
  <c r="J57" i="8"/>
  <c r="I57" i="8"/>
  <c r="G57" i="8"/>
  <c r="F57" i="8"/>
  <c r="Q53" i="8"/>
  <c r="P53" i="8"/>
  <c r="O53" i="8"/>
  <c r="M53" i="8"/>
  <c r="L53" i="8"/>
  <c r="K53" i="8"/>
  <c r="J53" i="8"/>
  <c r="I53" i="8"/>
  <c r="G53" i="8"/>
  <c r="F53" i="8"/>
  <c r="Q52" i="8"/>
  <c r="P52" i="8"/>
  <c r="O52" i="8"/>
  <c r="M52" i="8"/>
  <c r="L52" i="8"/>
  <c r="K52" i="8"/>
  <c r="J52" i="8"/>
  <c r="I52" i="8"/>
  <c r="G52" i="8"/>
  <c r="F52" i="8"/>
  <c r="E58" i="8"/>
  <c r="E57" i="8"/>
  <c r="E53" i="8"/>
  <c r="E52" i="8"/>
  <c r="F68" i="14"/>
  <c r="G68" i="14"/>
  <c r="H68" i="14"/>
  <c r="I68" i="14"/>
  <c r="J68" i="14"/>
  <c r="I100" i="4" s="1"/>
  <c r="K68" i="14"/>
  <c r="L68" i="14"/>
  <c r="M68" i="14"/>
  <c r="N68" i="14"/>
  <c r="M100" i="4" s="1"/>
  <c r="O68" i="14"/>
  <c r="N100" i="4" s="1"/>
  <c r="F69" i="14"/>
  <c r="G69" i="14"/>
  <c r="F101" i="4" s="1"/>
  <c r="H69" i="14"/>
  <c r="G101" i="4" s="1"/>
  <c r="I69" i="14"/>
  <c r="J69" i="14"/>
  <c r="K69" i="14"/>
  <c r="L69" i="14"/>
  <c r="K101" i="4" s="1"/>
  <c r="M69" i="14"/>
  <c r="L101" i="4" s="1"/>
  <c r="N69" i="14"/>
  <c r="M101" i="4" s="1"/>
  <c r="O69" i="14"/>
  <c r="F70" i="14"/>
  <c r="E102" i="4" s="1"/>
  <c r="G70" i="14"/>
  <c r="F102" i="4" s="1"/>
  <c r="H70" i="14"/>
  <c r="I70" i="14"/>
  <c r="H102" i="4" s="1"/>
  <c r="J70" i="14"/>
  <c r="I102" i="4" s="1"/>
  <c r="K70" i="14"/>
  <c r="J102" i="4" s="1"/>
  <c r="L70" i="14"/>
  <c r="K102" i="4" s="1"/>
  <c r="M70" i="14"/>
  <c r="L102" i="4" s="1"/>
  <c r="N70" i="14"/>
  <c r="M102" i="4" s="1"/>
  <c r="O70" i="14"/>
  <c r="F71" i="14"/>
  <c r="G71" i="14"/>
  <c r="H71" i="14"/>
  <c r="I71" i="14"/>
  <c r="J71" i="14"/>
  <c r="K71" i="14"/>
  <c r="L71" i="14"/>
  <c r="M71" i="14"/>
  <c r="N71" i="14"/>
  <c r="O71" i="14"/>
  <c r="F72" i="14"/>
  <c r="G72" i="14"/>
  <c r="H72" i="14"/>
  <c r="I72" i="14"/>
  <c r="J72" i="14"/>
  <c r="K72" i="14"/>
  <c r="L72" i="14"/>
  <c r="M72" i="14"/>
  <c r="N72" i="14"/>
  <c r="O72" i="14"/>
  <c r="F73" i="14"/>
  <c r="E105" i="4" s="1"/>
  <c r="G73" i="14"/>
  <c r="F105" i="4" s="1"/>
  <c r="H73" i="14"/>
  <c r="G105" i="4" s="1"/>
  <c r="I73" i="14"/>
  <c r="H105" i="4" s="1"/>
  <c r="J73" i="14"/>
  <c r="I105" i="4" s="1"/>
  <c r="K73" i="14"/>
  <c r="J105" i="4" s="1"/>
  <c r="L73" i="14"/>
  <c r="K105" i="4" s="1"/>
  <c r="M73" i="14"/>
  <c r="N73" i="14"/>
  <c r="M105" i="4" s="1"/>
  <c r="O73" i="14"/>
  <c r="N105" i="4" s="1"/>
  <c r="F74" i="14"/>
  <c r="M74" i="14"/>
  <c r="L106" i="4" s="1"/>
  <c r="E74" i="14"/>
  <c r="D106" i="4" s="1"/>
  <c r="E73" i="14"/>
  <c r="D105" i="4" s="1"/>
  <c r="E72" i="14"/>
  <c r="E71" i="14"/>
  <c r="E70" i="14"/>
  <c r="D102" i="4" s="1"/>
  <c r="E69" i="14"/>
  <c r="D101" i="4" s="1"/>
  <c r="E68" i="14"/>
  <c r="D100" i="4" s="1"/>
  <c r="G102" i="4"/>
  <c r="J101" i="4"/>
  <c r="I101" i="4"/>
  <c r="H101" i="4"/>
  <c r="K100" i="4"/>
  <c r="J100" i="4"/>
  <c r="F75" i="14" l="1"/>
  <c r="M75" i="14"/>
  <c r="L105" i="4"/>
  <c r="E75" i="14"/>
  <c r="H122" i="9"/>
  <c r="F122" i="9"/>
  <c r="E101" i="4"/>
  <c r="J122" i="9"/>
  <c r="N122" i="9"/>
  <c r="L122" i="9"/>
  <c r="N101" i="4"/>
  <c r="M122" i="9"/>
  <c r="K122" i="9"/>
  <c r="O122" i="9"/>
  <c r="H100" i="4"/>
  <c r="L100" i="4"/>
  <c r="F100" i="4"/>
  <c r="P66" i="9"/>
  <c r="P70" i="9"/>
  <c r="P118" i="9" s="1"/>
  <c r="G92" i="9"/>
  <c r="G52" i="9"/>
  <c r="F101" i="11"/>
  <c r="Q89" i="9"/>
  <c r="G50" i="11"/>
  <c r="G46" i="11"/>
  <c r="E11" i="12"/>
  <c r="E12" i="12"/>
  <c r="I51" i="9"/>
  <c r="G101" i="11" l="1"/>
  <c r="G102" i="11" s="1"/>
  <c r="F102" i="11"/>
  <c r="F115" i="4"/>
  <c r="I115" i="9"/>
  <c r="G100" i="4" s="1"/>
  <c r="I100" i="9"/>
  <c r="G100" i="9"/>
  <c r="G115" i="9"/>
  <c r="E100" i="4" s="1"/>
  <c r="P117" i="9"/>
  <c r="P122" i="9" s="1"/>
  <c r="P100" i="9"/>
  <c r="G121" i="9"/>
  <c r="E106" i="4" s="1"/>
  <c r="K182" i="2"/>
  <c r="I182" i="2"/>
  <c r="G182" i="2"/>
  <c r="J182" i="2" s="1"/>
  <c r="K285" i="2"/>
  <c r="I285" i="2"/>
  <c r="G285" i="2"/>
  <c r="J285" i="2" s="1"/>
  <c r="K238" i="2"/>
  <c r="I238" i="2"/>
  <c r="G238" i="2"/>
  <c r="J238" i="2" s="1"/>
  <c r="K185" i="2"/>
  <c r="I185" i="2"/>
  <c r="G185" i="2"/>
  <c r="J185" i="2" s="1"/>
  <c r="K129" i="2"/>
  <c r="I129" i="2"/>
  <c r="G129" i="2"/>
  <c r="J129" i="2" s="1"/>
  <c r="K63" i="2"/>
  <c r="I63" i="2"/>
  <c r="G63" i="2"/>
  <c r="J63" i="2" s="1"/>
  <c r="K104" i="2"/>
  <c r="I104" i="2"/>
  <c r="G104" i="2"/>
  <c r="J104" i="2" s="1"/>
  <c r="K32" i="2"/>
  <c r="I32" i="2"/>
  <c r="G32" i="2"/>
  <c r="J32" i="2" s="1"/>
  <c r="G101" i="9" l="1"/>
  <c r="E115" i="4"/>
  <c r="I101" i="9"/>
  <c r="G115" i="4"/>
  <c r="P101" i="9"/>
  <c r="N115" i="4"/>
  <c r="G122" i="9"/>
  <c r="N102" i="4"/>
  <c r="I122" i="9"/>
  <c r="K91" i="2"/>
  <c r="I91" i="2"/>
  <c r="G91" i="2"/>
  <c r="J91" i="2" s="1"/>
  <c r="E274" i="2" l="1"/>
  <c r="K274" i="2" s="1"/>
  <c r="D274" i="2"/>
  <c r="C274" i="2"/>
  <c r="E273" i="2"/>
  <c r="I273" i="2" s="1"/>
  <c r="D273" i="2"/>
  <c r="C273" i="2"/>
  <c r="E272" i="2"/>
  <c r="K272" i="2" s="1"/>
  <c r="D272" i="2"/>
  <c r="C272" i="2"/>
  <c r="B274" i="2"/>
  <c r="B273" i="2"/>
  <c r="B272" i="2"/>
  <c r="E123" i="2"/>
  <c r="K123" i="2" s="1"/>
  <c r="D123" i="2"/>
  <c r="C123" i="2"/>
  <c r="E122" i="2"/>
  <c r="K122" i="2" s="1"/>
  <c r="D122" i="2"/>
  <c r="C122" i="2"/>
  <c r="B123" i="2"/>
  <c r="B122" i="2"/>
  <c r="E140" i="2"/>
  <c r="K140" i="2" s="1"/>
  <c r="D140" i="2"/>
  <c r="C140" i="2"/>
  <c r="B140" i="2"/>
  <c r="G50" i="2"/>
  <c r="K77" i="2"/>
  <c r="I77" i="2"/>
  <c r="G77" i="2"/>
  <c r="J77" i="2" s="1"/>
  <c r="K273" i="2" l="1"/>
  <c r="I123" i="2"/>
  <c r="I272" i="2"/>
  <c r="I274" i="2"/>
  <c r="I122" i="2"/>
  <c r="J140" i="2"/>
  <c r="K297" i="2"/>
  <c r="I297" i="2"/>
  <c r="K296" i="2"/>
  <c r="I296" i="2"/>
  <c r="K294" i="2"/>
  <c r="I294" i="2"/>
  <c r="K293" i="2"/>
  <c r="I293" i="2"/>
  <c r="K292" i="2"/>
  <c r="I292" i="2"/>
  <c r="K291" i="2"/>
  <c r="I291" i="2"/>
  <c r="K290" i="2"/>
  <c r="I290" i="2"/>
  <c r="K289" i="2"/>
  <c r="I289" i="2"/>
  <c r="K288" i="2"/>
  <c r="I288" i="2"/>
  <c r="K287" i="2"/>
  <c r="I287" i="2"/>
  <c r="K286" i="2"/>
  <c r="I286" i="2"/>
  <c r="K284" i="2"/>
  <c r="I284" i="2"/>
  <c r="K283" i="2"/>
  <c r="I283" i="2"/>
  <c r="K282" i="2"/>
  <c r="I282" i="2"/>
  <c r="K281" i="2"/>
  <c r="I281" i="2"/>
  <c r="K280" i="2"/>
  <c r="I280" i="2"/>
  <c r="K279" i="2"/>
  <c r="I279" i="2"/>
  <c r="K278" i="2"/>
  <c r="I278" i="2"/>
  <c r="K277" i="2"/>
  <c r="I277" i="2"/>
  <c r="K276" i="2"/>
  <c r="J276" i="2"/>
  <c r="I276" i="2"/>
  <c r="K275" i="2"/>
  <c r="J275" i="2"/>
  <c r="I275" i="2"/>
  <c r="K271" i="2"/>
  <c r="J271" i="2"/>
  <c r="K270" i="2"/>
  <c r="J270" i="2"/>
  <c r="I270" i="2"/>
  <c r="K269" i="2"/>
  <c r="J269" i="2"/>
  <c r="I269" i="2"/>
  <c r="K268" i="2"/>
  <c r="J268" i="2"/>
  <c r="I268" i="2"/>
  <c r="K267" i="2"/>
  <c r="J267" i="2"/>
  <c r="I267" i="2"/>
  <c r="K266" i="2"/>
  <c r="J266" i="2"/>
  <c r="I266" i="2"/>
  <c r="J265" i="2"/>
  <c r="I265" i="2"/>
  <c r="K264" i="2"/>
  <c r="I264" i="2"/>
  <c r="K263" i="2"/>
  <c r="I263" i="2"/>
  <c r="K262" i="2"/>
  <c r="I262" i="2"/>
  <c r="K261" i="2"/>
  <c r="I261" i="2"/>
  <c r="K260" i="2"/>
  <c r="I260" i="2"/>
  <c r="K259" i="2"/>
  <c r="I259" i="2"/>
  <c r="H299" i="2"/>
  <c r="H253" i="2"/>
  <c r="K251" i="2"/>
  <c r="I251" i="2"/>
  <c r="K250" i="2"/>
  <c r="J250" i="2"/>
  <c r="K249" i="2"/>
  <c r="I249" i="2"/>
  <c r="K247" i="2"/>
  <c r="I247" i="2"/>
  <c r="K246" i="2"/>
  <c r="I246" i="2"/>
  <c r="K245" i="2"/>
  <c r="I245" i="2"/>
  <c r="K244" i="2"/>
  <c r="I244" i="2"/>
  <c r="K243" i="2"/>
  <c r="I243" i="2"/>
  <c r="K242" i="2"/>
  <c r="I242" i="2"/>
  <c r="K241" i="2"/>
  <c r="J241" i="2"/>
  <c r="I241" i="2"/>
  <c r="K240" i="2"/>
  <c r="I240" i="2"/>
  <c r="K239" i="2"/>
  <c r="I239" i="2"/>
  <c r="K237" i="2"/>
  <c r="I237" i="2"/>
  <c r="K236" i="2"/>
  <c r="I236" i="2"/>
  <c r="K235" i="2"/>
  <c r="I235" i="2"/>
  <c r="K234" i="2"/>
  <c r="I234" i="2"/>
  <c r="K233" i="2"/>
  <c r="I233" i="2"/>
  <c r="K232" i="2"/>
  <c r="J232" i="2"/>
  <c r="K231" i="2"/>
  <c r="I231" i="2"/>
  <c r="K230" i="2"/>
  <c r="I230" i="2"/>
  <c r="K229" i="2"/>
  <c r="I229" i="2"/>
  <c r="K228" i="2"/>
  <c r="I228" i="2"/>
  <c r="K227" i="2"/>
  <c r="I227" i="2"/>
  <c r="K226" i="2"/>
  <c r="I226" i="2"/>
  <c r="K225" i="2"/>
  <c r="J225" i="2"/>
  <c r="K224" i="2"/>
  <c r="I224" i="2"/>
  <c r="K223" i="2"/>
  <c r="I223" i="2"/>
  <c r="K222" i="2"/>
  <c r="J222" i="2"/>
  <c r="I222" i="2"/>
  <c r="K221" i="2"/>
  <c r="J221" i="2"/>
  <c r="I221" i="2"/>
  <c r="K220" i="2"/>
  <c r="J220" i="2"/>
  <c r="I220" i="2"/>
  <c r="K219" i="2"/>
  <c r="J219" i="2"/>
  <c r="I219" i="2"/>
  <c r="K218" i="2"/>
  <c r="J218" i="2"/>
  <c r="I218" i="2"/>
  <c r="K217" i="2"/>
  <c r="J217" i="2"/>
  <c r="I217" i="2"/>
  <c r="K216" i="2"/>
  <c r="J216" i="2"/>
  <c r="I216" i="2"/>
  <c r="K215" i="2"/>
  <c r="I215" i="2"/>
  <c r="J214" i="2"/>
  <c r="I214" i="2"/>
  <c r="K213" i="2"/>
  <c r="I213" i="2"/>
  <c r="K212" i="2"/>
  <c r="I212" i="2"/>
  <c r="K211" i="2"/>
  <c r="I211" i="2"/>
  <c r="K210" i="2"/>
  <c r="I210" i="2"/>
  <c r="K209" i="2"/>
  <c r="I209" i="2"/>
  <c r="K208" i="2"/>
  <c r="I208" i="2"/>
  <c r="K207" i="2"/>
  <c r="J207" i="2"/>
  <c r="I207" i="2"/>
  <c r="K206" i="2"/>
  <c r="J206" i="2"/>
  <c r="I206" i="2"/>
  <c r="K205" i="2"/>
  <c r="I205" i="2"/>
  <c r="I197" i="2"/>
  <c r="I194" i="2"/>
  <c r="I193" i="2"/>
  <c r="I192" i="2"/>
  <c r="I191" i="2"/>
  <c r="I190" i="2"/>
  <c r="I189" i="2"/>
  <c r="I188" i="2"/>
  <c r="I187" i="2"/>
  <c r="I186" i="2"/>
  <c r="I184" i="2"/>
  <c r="I183" i="2"/>
  <c r="I181" i="2"/>
  <c r="I180" i="2"/>
  <c r="I179" i="2"/>
  <c r="I178" i="2"/>
  <c r="I177" i="2"/>
  <c r="I175" i="2"/>
  <c r="I174" i="2"/>
  <c r="I173" i="2"/>
  <c r="I172" i="2"/>
  <c r="I171" i="2"/>
  <c r="I170" i="2"/>
  <c r="I169" i="2"/>
  <c r="I165" i="2"/>
  <c r="I164" i="2"/>
  <c r="I163" i="2"/>
  <c r="I162" i="2"/>
  <c r="I161" i="2"/>
  <c r="I160" i="2"/>
  <c r="I159" i="2"/>
  <c r="I158" i="2"/>
  <c r="I157" i="2"/>
  <c r="I156" i="2"/>
  <c r="I155" i="2"/>
  <c r="I154" i="2"/>
  <c r="I153" i="2"/>
  <c r="I152" i="2"/>
  <c r="I151" i="2"/>
  <c r="I150" i="2"/>
  <c r="I149" i="2"/>
  <c r="I148" i="2"/>
  <c r="I147" i="2"/>
  <c r="I168" i="2"/>
  <c r="K197" i="2"/>
  <c r="K196" i="2"/>
  <c r="J196" i="2"/>
  <c r="H199" i="2"/>
  <c r="K194" i="2"/>
  <c r="K193" i="2"/>
  <c r="J193" i="2"/>
  <c r="K192" i="2"/>
  <c r="J192" i="2"/>
  <c r="K191" i="2"/>
  <c r="J191" i="2"/>
  <c r="K190" i="2"/>
  <c r="J190" i="2"/>
  <c r="K189" i="2"/>
  <c r="J189" i="2"/>
  <c r="K188" i="2"/>
  <c r="J188" i="2"/>
  <c r="K187" i="2"/>
  <c r="K186" i="2"/>
  <c r="K184" i="2"/>
  <c r="K183" i="2"/>
  <c r="K181" i="2"/>
  <c r="K180" i="2"/>
  <c r="K179" i="2"/>
  <c r="K178" i="2"/>
  <c r="K177" i="2"/>
  <c r="K176" i="2"/>
  <c r="J176" i="2"/>
  <c r="K175" i="2"/>
  <c r="K174" i="2"/>
  <c r="K173" i="2"/>
  <c r="K172" i="2"/>
  <c r="K171" i="2"/>
  <c r="K170" i="2"/>
  <c r="K169" i="2"/>
  <c r="J169" i="2"/>
  <c r="K168" i="2"/>
  <c r="J168" i="2"/>
  <c r="K167" i="2"/>
  <c r="J167" i="2"/>
  <c r="K166" i="2"/>
  <c r="J166" i="2"/>
  <c r="K165" i="2"/>
  <c r="K164" i="2"/>
  <c r="K163" i="2"/>
  <c r="J163" i="2"/>
  <c r="K162" i="2"/>
  <c r="J162" i="2"/>
  <c r="K161" i="2"/>
  <c r="J161" i="2"/>
  <c r="K160" i="2"/>
  <c r="J160" i="2"/>
  <c r="K159" i="2"/>
  <c r="J159" i="2"/>
  <c r="K158" i="2"/>
  <c r="J157" i="2"/>
  <c r="K156" i="2"/>
  <c r="K155" i="2"/>
  <c r="K154" i="2"/>
  <c r="K153" i="2"/>
  <c r="K152" i="2"/>
  <c r="K151" i="2"/>
  <c r="K150" i="2"/>
  <c r="J149" i="2"/>
  <c r="K148" i="2"/>
  <c r="K147" i="2"/>
  <c r="K139" i="2"/>
  <c r="K138" i="2"/>
  <c r="K136" i="2"/>
  <c r="K135" i="2"/>
  <c r="K134" i="2"/>
  <c r="K133" i="2"/>
  <c r="K132" i="2"/>
  <c r="K131" i="2"/>
  <c r="K130" i="2"/>
  <c r="K128" i="2"/>
  <c r="K127" i="2"/>
  <c r="K126" i="2"/>
  <c r="K125" i="2"/>
  <c r="K124" i="2"/>
  <c r="K121" i="2"/>
  <c r="K120" i="2"/>
  <c r="K119" i="2"/>
  <c r="K118" i="2"/>
  <c r="K117" i="2"/>
  <c r="K116" i="2"/>
  <c r="K115" i="2"/>
  <c r="K114" i="2"/>
  <c r="K113" i="2"/>
  <c r="K112" i="2"/>
  <c r="K111" i="2"/>
  <c r="K110" i="2"/>
  <c r="K109" i="2"/>
  <c r="K108" i="2"/>
  <c r="K107" i="2"/>
  <c r="K106" i="2"/>
  <c r="K105" i="2"/>
  <c r="K103" i="2"/>
  <c r="K101" i="2"/>
  <c r="K100" i="2"/>
  <c r="K99" i="2"/>
  <c r="K98" i="2"/>
  <c r="K97" i="2"/>
  <c r="K96" i="2"/>
  <c r="K95" i="2"/>
  <c r="K94" i="2"/>
  <c r="K93" i="2"/>
  <c r="K92" i="2"/>
  <c r="K90" i="2"/>
  <c r="K88" i="2"/>
  <c r="K87" i="2"/>
  <c r="K86" i="2"/>
  <c r="K78" i="2"/>
  <c r="K76" i="2"/>
  <c r="K75" i="2"/>
  <c r="K74" i="2"/>
  <c r="K72" i="2"/>
  <c r="K71" i="2"/>
  <c r="K70" i="2"/>
  <c r="K69" i="2"/>
  <c r="K68" i="2"/>
  <c r="K67" i="2"/>
  <c r="K66" i="2"/>
  <c r="K65" i="2"/>
  <c r="K64"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1" i="2"/>
  <c r="K30" i="2"/>
  <c r="K29" i="2"/>
  <c r="K28" i="2"/>
  <c r="K26" i="2"/>
  <c r="K25" i="2"/>
  <c r="K24" i="2"/>
  <c r="K23" i="2"/>
  <c r="K22" i="2"/>
  <c r="K21" i="2"/>
  <c r="K20" i="2"/>
  <c r="K19" i="2"/>
  <c r="K18" i="2"/>
  <c r="K17" i="2"/>
  <c r="K16" i="2"/>
  <c r="K15" i="2"/>
  <c r="K14" i="2"/>
  <c r="K13" i="2"/>
  <c r="K12" i="2"/>
  <c r="K11" i="2"/>
  <c r="K10" i="2"/>
  <c r="K9" i="2"/>
  <c r="H141" i="2"/>
  <c r="I139" i="2"/>
  <c r="J138" i="2"/>
  <c r="I136" i="2"/>
  <c r="I135" i="2"/>
  <c r="I134" i="2"/>
  <c r="J133" i="2"/>
  <c r="J132" i="2"/>
  <c r="I131" i="2"/>
  <c r="I130" i="2"/>
  <c r="I128" i="2"/>
  <c r="I127" i="2"/>
  <c r="I126" i="2"/>
  <c r="I125" i="2"/>
  <c r="I124" i="2"/>
  <c r="I121" i="2"/>
  <c r="I120" i="2"/>
  <c r="I119" i="2"/>
  <c r="I118" i="2"/>
  <c r="I117" i="2"/>
  <c r="J116" i="2"/>
  <c r="I115" i="2"/>
  <c r="J114" i="2"/>
  <c r="I114" i="2"/>
  <c r="J113" i="2"/>
  <c r="I113" i="2"/>
  <c r="J112" i="2"/>
  <c r="I112" i="2"/>
  <c r="J111" i="2"/>
  <c r="I111" i="2"/>
  <c r="I110" i="2"/>
  <c r="I109" i="2"/>
  <c r="I108" i="2"/>
  <c r="J107" i="2"/>
  <c r="I107" i="2"/>
  <c r="J106" i="2"/>
  <c r="I106" i="2"/>
  <c r="J105" i="2"/>
  <c r="I105" i="2"/>
  <c r="I103" i="2"/>
  <c r="J102" i="2"/>
  <c r="I102" i="2"/>
  <c r="I101" i="2"/>
  <c r="I100" i="2"/>
  <c r="I99" i="2"/>
  <c r="I98" i="2"/>
  <c r="I97" i="2"/>
  <c r="I96" i="2"/>
  <c r="I95" i="2"/>
  <c r="I94" i="2"/>
  <c r="I93" i="2"/>
  <c r="I92" i="2"/>
  <c r="I90" i="2"/>
  <c r="J89" i="2"/>
  <c r="I89" i="2"/>
  <c r="J88" i="2"/>
  <c r="I88" i="2"/>
  <c r="I87" i="2"/>
  <c r="I86" i="2"/>
  <c r="I72" i="2"/>
  <c r="I71" i="2"/>
  <c r="J70" i="2"/>
  <c r="I70" i="2"/>
  <c r="J69" i="2"/>
  <c r="I69" i="2"/>
  <c r="J68" i="2"/>
  <c r="I68" i="2"/>
  <c r="J67" i="2"/>
  <c r="I67" i="2"/>
  <c r="J66" i="2"/>
  <c r="I66" i="2"/>
  <c r="J65" i="2"/>
  <c r="I65" i="2"/>
  <c r="J64" i="2"/>
  <c r="I64" i="2"/>
  <c r="I62" i="2"/>
  <c r="I61" i="2"/>
  <c r="I60" i="2"/>
  <c r="I59" i="2"/>
  <c r="I58" i="2"/>
  <c r="I57" i="2"/>
  <c r="I56" i="2"/>
  <c r="I55" i="2"/>
  <c r="I54" i="2"/>
  <c r="I53" i="2"/>
  <c r="I52" i="2"/>
  <c r="I51" i="2"/>
  <c r="J50" i="2"/>
  <c r="I49" i="2"/>
  <c r="J48" i="2"/>
  <c r="I48" i="2"/>
  <c r="I47" i="2"/>
  <c r="J46" i="2"/>
  <c r="I46" i="2"/>
  <c r="J45" i="2"/>
  <c r="I45" i="2"/>
  <c r="J44" i="2"/>
  <c r="I44" i="2"/>
  <c r="I43" i="2"/>
  <c r="I42" i="2"/>
  <c r="J41" i="2"/>
  <c r="I41" i="2"/>
  <c r="J40" i="2"/>
  <c r="I40" i="2"/>
  <c r="J39" i="2"/>
  <c r="I39" i="2"/>
  <c r="J38" i="2"/>
  <c r="I38" i="2"/>
  <c r="I37" i="2"/>
  <c r="I36" i="2"/>
  <c r="J35" i="2"/>
  <c r="I35" i="2"/>
  <c r="J34" i="2"/>
  <c r="I34" i="2"/>
  <c r="J33" i="2"/>
  <c r="I33" i="2"/>
  <c r="J31" i="2"/>
  <c r="I31" i="2"/>
  <c r="J30" i="2"/>
  <c r="I30" i="2"/>
  <c r="J29" i="2"/>
  <c r="I28" i="2"/>
  <c r="J27" i="2"/>
  <c r="I27" i="2"/>
  <c r="I26" i="2"/>
  <c r="I25" i="2"/>
  <c r="I24" i="2"/>
  <c r="I23" i="2"/>
  <c r="I22" i="2"/>
  <c r="I21" i="2"/>
  <c r="I20" i="2"/>
  <c r="I19" i="2"/>
  <c r="I18" i="2"/>
  <c r="J17" i="2"/>
  <c r="I17" i="2"/>
  <c r="J16" i="2"/>
  <c r="I16" i="2"/>
  <c r="J15" i="2"/>
  <c r="I15" i="2"/>
  <c r="J14" i="2"/>
  <c r="I14" i="2"/>
  <c r="J13" i="2"/>
  <c r="I13" i="2"/>
  <c r="I12" i="2"/>
  <c r="I11" i="2"/>
  <c r="I10" i="2"/>
  <c r="J9" i="2"/>
  <c r="I9" i="2"/>
  <c r="J78" i="2"/>
  <c r="I78" i="2"/>
  <c r="J76" i="2"/>
  <c r="J75" i="2"/>
  <c r="J74" i="2"/>
  <c r="H80" i="2" l="1"/>
  <c r="G64" i="2"/>
  <c r="G116" i="2" l="1"/>
  <c r="I116" i="2" s="1"/>
  <c r="I50" i="2"/>
  <c r="G10" i="2"/>
  <c r="J10" i="2" s="1"/>
  <c r="K6" i="1"/>
  <c r="J6" i="1"/>
  <c r="I6" i="1"/>
  <c r="H6" i="1"/>
  <c r="G6" i="1"/>
  <c r="G37" i="2" l="1"/>
  <c r="J37" i="2" s="1"/>
  <c r="K57" i="1"/>
  <c r="J57" i="1"/>
  <c r="I57" i="1"/>
  <c r="H57" i="1"/>
  <c r="G57" i="1"/>
  <c r="G296" i="2"/>
  <c r="J296" i="2" s="1"/>
  <c r="G250" i="2"/>
  <c r="I250" i="2" s="1"/>
  <c r="G249" i="2"/>
  <c r="J249" i="2" s="1"/>
  <c r="G196" i="2"/>
  <c r="I196" i="2" s="1"/>
  <c r="G138" i="2"/>
  <c r="I138" i="2" s="1"/>
  <c r="G297" i="2"/>
  <c r="J297" i="2" s="1"/>
  <c r="G293" i="2"/>
  <c r="J293" i="2" s="1"/>
  <c r="G292" i="2"/>
  <c r="J292" i="2" s="1"/>
  <c r="G291" i="2"/>
  <c r="J291" i="2" s="1"/>
  <c r="G290" i="2"/>
  <c r="J290" i="2" s="1"/>
  <c r="G289" i="2"/>
  <c r="J289" i="2" s="1"/>
  <c r="G288" i="2"/>
  <c r="J288" i="2" s="1"/>
  <c r="G287" i="2"/>
  <c r="J287" i="2" s="1"/>
  <c r="G286" i="2"/>
  <c r="J286" i="2" s="1"/>
  <c r="G284" i="2"/>
  <c r="J284" i="2" s="1"/>
  <c r="G283" i="2"/>
  <c r="J283" i="2" s="1"/>
  <c r="G281" i="2"/>
  <c r="J281" i="2" s="1"/>
  <c r="G280" i="2"/>
  <c r="J280" i="2" s="1"/>
  <c r="G279" i="2"/>
  <c r="J279" i="2" s="1"/>
  <c r="G278" i="2"/>
  <c r="J278" i="2" s="1"/>
  <c r="G277" i="2"/>
  <c r="J277" i="2" s="1"/>
  <c r="G276" i="2"/>
  <c r="G275" i="2"/>
  <c r="G271" i="2"/>
  <c r="I271" i="2" s="1"/>
  <c r="I299" i="2" s="1"/>
  <c r="G270" i="2"/>
  <c r="G269" i="2"/>
  <c r="G268" i="2"/>
  <c r="G267" i="2"/>
  <c r="G266" i="2"/>
  <c r="G265" i="2"/>
  <c r="K265" i="2" s="1"/>
  <c r="K299" i="2" s="1"/>
  <c r="G264" i="2"/>
  <c r="J264" i="2" s="1"/>
  <c r="G263" i="2"/>
  <c r="J263" i="2" s="1"/>
  <c r="G262" i="2"/>
  <c r="J262" i="2" s="1"/>
  <c r="G261" i="2"/>
  <c r="J261" i="2" s="1"/>
  <c r="G260" i="2"/>
  <c r="J260" i="2" s="1"/>
  <c r="G259" i="2"/>
  <c r="J259" i="2" s="1"/>
  <c r="G251" i="2"/>
  <c r="J251" i="2" s="1"/>
  <c r="G246" i="2"/>
  <c r="J246" i="2" s="1"/>
  <c r="G245" i="2"/>
  <c r="J245" i="2" s="1"/>
  <c r="G244" i="2"/>
  <c r="J244" i="2" s="1"/>
  <c r="G243" i="2"/>
  <c r="J243" i="2" s="1"/>
  <c r="G242" i="2"/>
  <c r="J242" i="2" s="1"/>
  <c r="G241" i="2"/>
  <c r="G240" i="2"/>
  <c r="J240" i="2" s="1"/>
  <c r="G239" i="2"/>
  <c r="J239" i="2" s="1"/>
  <c r="G235" i="2"/>
  <c r="J235" i="2" s="1"/>
  <c r="G234" i="2"/>
  <c r="J234" i="2" s="1"/>
  <c r="G233" i="2"/>
  <c r="J233" i="2" s="1"/>
  <c r="G232" i="2"/>
  <c r="I232" i="2" s="1"/>
  <c r="G231" i="2"/>
  <c r="J231" i="2" s="1"/>
  <c r="G230" i="2"/>
  <c r="J230" i="2" s="1"/>
  <c r="G229" i="2"/>
  <c r="J229" i="2" s="1"/>
  <c r="G228" i="2"/>
  <c r="J228" i="2" s="1"/>
  <c r="G227" i="2"/>
  <c r="J227" i="2" s="1"/>
  <c r="G226" i="2"/>
  <c r="J226" i="2" s="1"/>
  <c r="G225" i="2"/>
  <c r="I225" i="2" s="1"/>
  <c r="G224" i="2"/>
  <c r="J224" i="2" s="1"/>
  <c r="G223" i="2"/>
  <c r="J223" i="2" s="1"/>
  <c r="G222" i="2"/>
  <c r="G274" i="2" s="1"/>
  <c r="J274" i="2" s="1"/>
  <c r="G221" i="2"/>
  <c r="G273" i="2" s="1"/>
  <c r="J273" i="2" s="1"/>
  <c r="G220" i="2"/>
  <c r="G272" i="2" s="1"/>
  <c r="J272" i="2" s="1"/>
  <c r="G219" i="2"/>
  <c r="G218" i="2"/>
  <c r="G217" i="2"/>
  <c r="G216" i="2"/>
  <c r="G215" i="2"/>
  <c r="J215" i="2" s="1"/>
  <c r="G214" i="2"/>
  <c r="K214" i="2" s="1"/>
  <c r="K253" i="2" s="1"/>
  <c r="G213" i="2"/>
  <c r="J213" i="2" s="1"/>
  <c r="G212" i="2"/>
  <c r="J212" i="2" s="1"/>
  <c r="G211" i="2"/>
  <c r="J211" i="2" s="1"/>
  <c r="G210" i="2"/>
  <c r="J210" i="2" s="1"/>
  <c r="G209" i="2"/>
  <c r="J209" i="2" s="1"/>
  <c r="G208" i="2"/>
  <c r="J208" i="2" s="1"/>
  <c r="G207" i="2"/>
  <c r="G206" i="2"/>
  <c r="G205" i="2"/>
  <c r="J205" i="2" s="1"/>
  <c r="G197" i="2"/>
  <c r="J197" i="2" s="1"/>
  <c r="G193" i="2"/>
  <c r="G192" i="2"/>
  <c r="G191" i="2"/>
  <c r="G190" i="2"/>
  <c r="G189" i="2"/>
  <c r="G188" i="2"/>
  <c r="G187" i="2"/>
  <c r="J187" i="2" s="1"/>
  <c r="G186" i="2"/>
  <c r="J186" i="2" s="1"/>
  <c r="G184" i="2"/>
  <c r="J184" i="2" s="1"/>
  <c r="G183" i="2"/>
  <c r="J183" i="2" s="1"/>
  <c r="G181" i="2"/>
  <c r="J181" i="2" s="1"/>
  <c r="G179" i="2"/>
  <c r="J179" i="2" s="1"/>
  <c r="G178" i="2"/>
  <c r="J178" i="2" s="1"/>
  <c r="G177" i="2"/>
  <c r="J177" i="2" s="1"/>
  <c r="G176" i="2"/>
  <c r="I176" i="2" s="1"/>
  <c r="G175" i="2"/>
  <c r="J175" i="2" s="1"/>
  <c r="G174" i="2"/>
  <c r="J174" i="2" s="1"/>
  <c r="G173" i="2"/>
  <c r="J173" i="2" s="1"/>
  <c r="G172" i="2"/>
  <c r="J172" i="2" s="1"/>
  <c r="G171" i="2"/>
  <c r="J171" i="2" s="1"/>
  <c r="G170" i="2"/>
  <c r="J170" i="2" s="1"/>
  <c r="G169" i="2"/>
  <c r="G168" i="2"/>
  <c r="G167" i="2"/>
  <c r="I167" i="2" s="1"/>
  <c r="G166" i="2"/>
  <c r="I166" i="2" s="1"/>
  <c r="G165" i="2"/>
  <c r="J165" i="2" s="1"/>
  <c r="G164" i="2"/>
  <c r="J164" i="2" s="1"/>
  <c r="G163" i="2"/>
  <c r="G162" i="2"/>
  <c r="G161" i="2"/>
  <c r="G160" i="2"/>
  <c r="G159" i="2"/>
  <c r="G158" i="2"/>
  <c r="J158" i="2" s="1"/>
  <c r="G157" i="2"/>
  <c r="K157" i="2" s="1"/>
  <c r="G156" i="2"/>
  <c r="J156" i="2" s="1"/>
  <c r="G155" i="2"/>
  <c r="J155" i="2" s="1"/>
  <c r="G154" i="2"/>
  <c r="J154" i="2" s="1"/>
  <c r="G153" i="2"/>
  <c r="J153" i="2" s="1"/>
  <c r="G152" i="2"/>
  <c r="J152" i="2" s="1"/>
  <c r="G151" i="2"/>
  <c r="J151" i="2" s="1"/>
  <c r="G150" i="2"/>
  <c r="J150" i="2" s="1"/>
  <c r="G149" i="2"/>
  <c r="K149" i="2" s="1"/>
  <c r="G148" i="2"/>
  <c r="J148" i="2" s="1"/>
  <c r="G147" i="2"/>
  <c r="J147" i="2" s="1"/>
  <c r="G139" i="2"/>
  <c r="J139" i="2" s="1"/>
  <c r="G135" i="2"/>
  <c r="J135" i="2" s="1"/>
  <c r="G134" i="2"/>
  <c r="J134" i="2" s="1"/>
  <c r="G133" i="2"/>
  <c r="I133" i="2" s="1"/>
  <c r="G132" i="2"/>
  <c r="I132" i="2" s="1"/>
  <c r="G131" i="2"/>
  <c r="J131" i="2" s="1"/>
  <c r="G130" i="2"/>
  <c r="J130" i="2" s="1"/>
  <c r="G128" i="2"/>
  <c r="J128" i="2" s="1"/>
  <c r="G127" i="2"/>
  <c r="J127" i="2" s="1"/>
  <c r="G126" i="2"/>
  <c r="J126" i="2" s="1"/>
  <c r="G125" i="2"/>
  <c r="J125" i="2" s="1"/>
  <c r="G121" i="2"/>
  <c r="J121" i="2" s="1"/>
  <c r="G120" i="2"/>
  <c r="J120" i="2" s="1"/>
  <c r="G119" i="2"/>
  <c r="J119" i="2" s="1"/>
  <c r="G118" i="2"/>
  <c r="J118" i="2" s="1"/>
  <c r="G117" i="2"/>
  <c r="J117" i="2" s="1"/>
  <c r="G115" i="2"/>
  <c r="J115" i="2" s="1"/>
  <c r="G114" i="2"/>
  <c r="G113" i="2"/>
  <c r="G112" i="2"/>
  <c r="G111" i="2"/>
  <c r="G110" i="2"/>
  <c r="J110" i="2" s="1"/>
  <c r="G109" i="2"/>
  <c r="J109" i="2" s="1"/>
  <c r="G108" i="2"/>
  <c r="J108" i="2" s="1"/>
  <c r="G107" i="2"/>
  <c r="G106" i="2"/>
  <c r="G105" i="2"/>
  <c r="G103" i="2"/>
  <c r="J103" i="2" s="1"/>
  <c r="G102" i="2"/>
  <c r="K102" i="2" s="1"/>
  <c r="G101" i="2"/>
  <c r="J101" i="2" s="1"/>
  <c r="G100" i="2"/>
  <c r="J100" i="2" s="1"/>
  <c r="G99" i="2"/>
  <c r="J99" i="2" s="1"/>
  <c r="G98" i="2"/>
  <c r="J98" i="2" s="1"/>
  <c r="G97" i="2"/>
  <c r="J97" i="2" s="1"/>
  <c r="G96" i="2"/>
  <c r="J96" i="2" s="1"/>
  <c r="G95" i="2"/>
  <c r="J95" i="2" s="1"/>
  <c r="G94" i="2"/>
  <c r="J94" i="2" s="1"/>
  <c r="G93" i="2"/>
  <c r="J93" i="2" s="1"/>
  <c r="G92" i="2"/>
  <c r="J92" i="2" s="1"/>
  <c r="G90" i="2"/>
  <c r="J90" i="2" s="1"/>
  <c r="G89" i="2"/>
  <c r="K89" i="2" s="1"/>
  <c r="G88" i="2"/>
  <c r="G87" i="2"/>
  <c r="J87" i="2" s="1"/>
  <c r="G86" i="2"/>
  <c r="J86" i="2" s="1"/>
  <c r="G78" i="2"/>
  <c r="G140" i="2" s="1"/>
  <c r="I140" i="2" s="1"/>
  <c r="G76" i="2"/>
  <c r="I76" i="2" s="1"/>
  <c r="G74" i="2"/>
  <c r="I74" i="2" s="1"/>
  <c r="G72" i="2"/>
  <c r="J72" i="2" s="1"/>
  <c r="G70" i="2"/>
  <c r="G68" i="2"/>
  <c r="G67" i="2"/>
  <c r="G66" i="2"/>
  <c r="G65" i="2"/>
  <c r="G61" i="2"/>
  <c r="J61" i="2" s="1"/>
  <c r="G59" i="2"/>
  <c r="J59" i="2" s="1"/>
  <c r="G58" i="2"/>
  <c r="J58" i="2" s="1"/>
  <c r="G57" i="2"/>
  <c r="G56" i="2"/>
  <c r="G55" i="2"/>
  <c r="J55" i="2" s="1"/>
  <c r="G54" i="2"/>
  <c r="J54" i="2" s="1"/>
  <c r="G53" i="2"/>
  <c r="J53" i="2" s="1"/>
  <c r="G52" i="2"/>
  <c r="J52" i="2" s="1"/>
  <c r="G51" i="2"/>
  <c r="J51" i="2" s="1"/>
  <c r="G49" i="2"/>
  <c r="J49" i="2" s="1"/>
  <c r="G48" i="2"/>
  <c r="G47" i="2"/>
  <c r="J47" i="2" s="1"/>
  <c r="G46" i="2"/>
  <c r="G45" i="2"/>
  <c r="G44" i="2"/>
  <c r="G43" i="2"/>
  <c r="J43" i="2" s="1"/>
  <c r="G42" i="2"/>
  <c r="G41" i="2"/>
  <c r="G40" i="2"/>
  <c r="G39" i="2"/>
  <c r="G38" i="2"/>
  <c r="G36" i="2"/>
  <c r="J36" i="2" s="1"/>
  <c r="G35" i="2"/>
  <c r="G34" i="2"/>
  <c r="G33" i="2"/>
  <c r="G31" i="2"/>
  <c r="G30" i="2"/>
  <c r="G29" i="2"/>
  <c r="I29" i="2" s="1"/>
  <c r="G28" i="2"/>
  <c r="J28" i="2" s="1"/>
  <c r="G27" i="2"/>
  <c r="K27" i="2" s="1"/>
  <c r="K80" i="2" s="1"/>
  <c r="G26" i="2"/>
  <c r="J26" i="2" s="1"/>
  <c r="G25" i="2"/>
  <c r="J25" i="2" s="1"/>
  <c r="G24" i="2"/>
  <c r="J24" i="2" s="1"/>
  <c r="G23" i="2"/>
  <c r="J23" i="2" s="1"/>
  <c r="G22" i="2"/>
  <c r="J22" i="2" s="1"/>
  <c r="G21" i="2"/>
  <c r="J21" i="2" s="1"/>
  <c r="G20" i="2"/>
  <c r="J20" i="2" s="1"/>
  <c r="G19" i="2"/>
  <c r="J19" i="2" s="1"/>
  <c r="G18" i="2"/>
  <c r="J18" i="2" s="1"/>
  <c r="G17" i="2"/>
  <c r="G16" i="2"/>
  <c r="G15" i="2"/>
  <c r="G14" i="2"/>
  <c r="G13" i="2"/>
  <c r="G12" i="2"/>
  <c r="J12" i="2" s="1"/>
  <c r="G11" i="2"/>
  <c r="J11" i="2" s="1"/>
  <c r="G9" i="2"/>
  <c r="K186" i="1"/>
  <c r="J186" i="1"/>
  <c r="I186" i="1"/>
  <c r="H186" i="1"/>
  <c r="K185" i="1"/>
  <c r="J185" i="1"/>
  <c r="I185" i="1"/>
  <c r="H185" i="1"/>
  <c r="G186" i="1"/>
  <c r="G185" i="1"/>
  <c r="K183" i="1"/>
  <c r="J183" i="1"/>
  <c r="I183" i="1"/>
  <c r="H183" i="1"/>
  <c r="K182" i="1"/>
  <c r="J182" i="1"/>
  <c r="I182" i="1"/>
  <c r="H182" i="1"/>
  <c r="K180" i="1"/>
  <c r="J180" i="1"/>
  <c r="I180" i="1"/>
  <c r="H180" i="1"/>
  <c r="K179" i="1"/>
  <c r="J179" i="1"/>
  <c r="I179" i="1"/>
  <c r="H179" i="1"/>
  <c r="K178" i="1"/>
  <c r="J178" i="1"/>
  <c r="I178" i="1"/>
  <c r="H178" i="1"/>
  <c r="K177" i="1"/>
  <c r="J177" i="1"/>
  <c r="I177" i="1"/>
  <c r="H177" i="1"/>
  <c r="K176" i="1"/>
  <c r="J176" i="1"/>
  <c r="I176" i="1"/>
  <c r="H176" i="1"/>
  <c r="K175" i="1"/>
  <c r="J175" i="1"/>
  <c r="I175" i="1"/>
  <c r="H175" i="1"/>
  <c r="K174" i="1"/>
  <c r="J174" i="1"/>
  <c r="I174" i="1"/>
  <c r="H174" i="1"/>
  <c r="K173" i="1"/>
  <c r="J173" i="1"/>
  <c r="I173" i="1"/>
  <c r="H173" i="1"/>
  <c r="K172" i="1"/>
  <c r="J172" i="1"/>
  <c r="I172" i="1"/>
  <c r="H172" i="1"/>
  <c r="K171" i="1"/>
  <c r="J171" i="1"/>
  <c r="I171" i="1"/>
  <c r="H171" i="1"/>
  <c r="K170" i="1"/>
  <c r="J170" i="1"/>
  <c r="I170" i="1"/>
  <c r="H170" i="1"/>
  <c r="K169" i="1"/>
  <c r="J169" i="1"/>
  <c r="I169" i="1"/>
  <c r="H169" i="1"/>
  <c r="K168" i="1"/>
  <c r="J168" i="1"/>
  <c r="I168" i="1"/>
  <c r="H168" i="1"/>
  <c r="K167" i="1"/>
  <c r="J167" i="1"/>
  <c r="I167" i="1"/>
  <c r="H167" i="1"/>
  <c r="K166" i="1"/>
  <c r="J166" i="1"/>
  <c r="I166" i="1"/>
  <c r="H166" i="1"/>
  <c r="K165" i="1"/>
  <c r="J165" i="1"/>
  <c r="I165" i="1"/>
  <c r="H165" i="1"/>
  <c r="K164" i="1"/>
  <c r="J164" i="1"/>
  <c r="I164" i="1"/>
  <c r="H164" i="1"/>
  <c r="K163" i="1"/>
  <c r="J163" i="1"/>
  <c r="I163" i="1"/>
  <c r="H163" i="1"/>
  <c r="K162" i="1"/>
  <c r="J162" i="1"/>
  <c r="I162" i="1"/>
  <c r="H162" i="1"/>
  <c r="K161" i="1"/>
  <c r="J161" i="1"/>
  <c r="I161" i="1"/>
  <c r="H161" i="1"/>
  <c r="K160" i="1"/>
  <c r="J160" i="1"/>
  <c r="I160" i="1"/>
  <c r="H160" i="1"/>
  <c r="K159" i="1"/>
  <c r="J159" i="1"/>
  <c r="I159" i="1"/>
  <c r="H159" i="1"/>
  <c r="K158" i="1"/>
  <c r="I158" i="1"/>
  <c r="H158" i="1"/>
  <c r="K157" i="1"/>
  <c r="J157" i="1"/>
  <c r="I157" i="1"/>
  <c r="H157" i="1"/>
  <c r="K156" i="1"/>
  <c r="J156" i="1"/>
  <c r="I156" i="1"/>
  <c r="H156" i="1"/>
  <c r="K155" i="1"/>
  <c r="J155" i="1"/>
  <c r="I155" i="1"/>
  <c r="H155" i="1"/>
  <c r="K153" i="1"/>
  <c r="J153" i="1"/>
  <c r="I153" i="1"/>
  <c r="H153" i="1"/>
  <c r="K152" i="1"/>
  <c r="J152" i="1"/>
  <c r="I152" i="1"/>
  <c r="H152" i="1"/>
  <c r="K151" i="1"/>
  <c r="J151" i="1"/>
  <c r="I151" i="1"/>
  <c r="H151" i="1"/>
  <c r="K150" i="1"/>
  <c r="J150" i="1"/>
  <c r="I150" i="1"/>
  <c r="H150" i="1"/>
  <c r="K149" i="1"/>
  <c r="J149" i="1"/>
  <c r="I149" i="1"/>
  <c r="H149" i="1"/>
  <c r="K148" i="1"/>
  <c r="J148" i="1"/>
  <c r="I148" i="1"/>
  <c r="H148" i="1"/>
  <c r="K147" i="1"/>
  <c r="J147" i="1"/>
  <c r="I147" i="1"/>
  <c r="H147" i="1"/>
  <c r="K146" i="1"/>
  <c r="J146" i="1"/>
  <c r="I146" i="1"/>
  <c r="H146" i="1"/>
  <c r="K145" i="1"/>
  <c r="J145" i="1"/>
  <c r="I145" i="1"/>
  <c r="H145" i="1"/>
  <c r="K144" i="1"/>
  <c r="J144" i="1"/>
  <c r="I144" i="1"/>
  <c r="H144" i="1"/>
  <c r="K143" i="1"/>
  <c r="J143" i="1"/>
  <c r="I143" i="1"/>
  <c r="H143" i="1"/>
  <c r="K142" i="1"/>
  <c r="J142" i="1"/>
  <c r="I142" i="1"/>
  <c r="H142" i="1"/>
  <c r="K141" i="1"/>
  <c r="J141" i="1"/>
  <c r="I141" i="1"/>
  <c r="H141" i="1"/>
  <c r="K140" i="1"/>
  <c r="J140" i="1"/>
  <c r="I140" i="1"/>
  <c r="H140" i="1"/>
  <c r="K139" i="1"/>
  <c r="J139" i="1"/>
  <c r="I139" i="1"/>
  <c r="H139" i="1"/>
  <c r="K138" i="1"/>
  <c r="J138" i="1"/>
  <c r="I138" i="1"/>
  <c r="H138" i="1"/>
  <c r="K137" i="1"/>
  <c r="J137" i="1"/>
  <c r="I137" i="1"/>
  <c r="H137" i="1"/>
  <c r="K136" i="1"/>
  <c r="J136" i="1"/>
  <c r="I136" i="1"/>
  <c r="H136" i="1"/>
  <c r="K191" i="1"/>
  <c r="J191" i="1"/>
  <c r="I191" i="1"/>
  <c r="H191" i="1"/>
  <c r="K190" i="1"/>
  <c r="J190" i="1"/>
  <c r="I190" i="1"/>
  <c r="H190" i="1"/>
  <c r="K189" i="1"/>
  <c r="J189" i="1"/>
  <c r="I189" i="1"/>
  <c r="H189" i="1"/>
  <c r="K188" i="1"/>
  <c r="J188" i="1"/>
  <c r="I188" i="1"/>
  <c r="H188" i="1"/>
  <c r="K187" i="1"/>
  <c r="J187" i="1"/>
  <c r="I187" i="1"/>
  <c r="H187" i="1"/>
  <c r="K135" i="1"/>
  <c r="J135" i="1"/>
  <c r="I135" i="1"/>
  <c r="H135" i="1"/>
  <c r="K134" i="1"/>
  <c r="J134" i="1"/>
  <c r="I134" i="1"/>
  <c r="H134" i="1"/>
  <c r="K133" i="1"/>
  <c r="J133" i="1"/>
  <c r="I133" i="1"/>
  <c r="H133" i="1"/>
  <c r="K132" i="1"/>
  <c r="J132" i="1"/>
  <c r="I132" i="1"/>
  <c r="H132" i="1"/>
  <c r="K131" i="1"/>
  <c r="J131" i="1"/>
  <c r="I131" i="1"/>
  <c r="H131" i="1"/>
  <c r="K130" i="1"/>
  <c r="J130" i="1"/>
  <c r="I130" i="1"/>
  <c r="H130" i="1"/>
  <c r="K129" i="1"/>
  <c r="J129" i="1"/>
  <c r="I129" i="1"/>
  <c r="H129" i="1"/>
  <c r="K128" i="1"/>
  <c r="J128" i="1"/>
  <c r="I128" i="1"/>
  <c r="H128" i="1"/>
  <c r="K127" i="1"/>
  <c r="J127" i="1"/>
  <c r="I127" i="1"/>
  <c r="H127" i="1"/>
  <c r="K126" i="1"/>
  <c r="J126" i="1"/>
  <c r="I126" i="1"/>
  <c r="H126" i="1"/>
  <c r="K125" i="1"/>
  <c r="J125" i="1"/>
  <c r="I125" i="1"/>
  <c r="H125" i="1"/>
  <c r="K124" i="1"/>
  <c r="J124" i="1"/>
  <c r="I124" i="1"/>
  <c r="H124" i="1"/>
  <c r="K123" i="1"/>
  <c r="J123" i="1"/>
  <c r="I123" i="1"/>
  <c r="H123" i="1"/>
  <c r="K122" i="1"/>
  <c r="J122" i="1"/>
  <c r="I122" i="1"/>
  <c r="H122" i="1"/>
  <c r="K121" i="1"/>
  <c r="J121" i="1"/>
  <c r="I121" i="1"/>
  <c r="H121" i="1"/>
  <c r="K120" i="1"/>
  <c r="J120" i="1"/>
  <c r="I120" i="1"/>
  <c r="H120" i="1"/>
  <c r="K119" i="1"/>
  <c r="J119" i="1"/>
  <c r="I119" i="1"/>
  <c r="H119" i="1"/>
  <c r="K118" i="1"/>
  <c r="J118" i="1"/>
  <c r="I118" i="1"/>
  <c r="H118" i="1"/>
  <c r="K117" i="1"/>
  <c r="J117" i="1"/>
  <c r="I117" i="1"/>
  <c r="H117" i="1"/>
  <c r="K116" i="1"/>
  <c r="J116" i="1"/>
  <c r="I116" i="1"/>
  <c r="H116" i="1"/>
  <c r="K115" i="1"/>
  <c r="J115" i="1"/>
  <c r="I115" i="1"/>
  <c r="H115" i="1"/>
  <c r="K114" i="1"/>
  <c r="J114" i="1"/>
  <c r="I114" i="1"/>
  <c r="H114" i="1"/>
  <c r="K113" i="1"/>
  <c r="J113" i="1"/>
  <c r="I113" i="1"/>
  <c r="H113" i="1"/>
  <c r="K112" i="1"/>
  <c r="J112" i="1"/>
  <c r="I112" i="1"/>
  <c r="H112" i="1"/>
  <c r="K111" i="1"/>
  <c r="J111" i="1"/>
  <c r="I111" i="1"/>
  <c r="H111" i="1"/>
  <c r="K110" i="1"/>
  <c r="J110" i="1"/>
  <c r="I110" i="1"/>
  <c r="H110" i="1"/>
  <c r="K109" i="1"/>
  <c r="J109" i="1"/>
  <c r="I109" i="1"/>
  <c r="H109" i="1"/>
  <c r="K108" i="1"/>
  <c r="J108" i="1"/>
  <c r="I108" i="1"/>
  <c r="H108" i="1"/>
  <c r="K107" i="1"/>
  <c r="J107" i="1"/>
  <c r="I107" i="1"/>
  <c r="H107" i="1"/>
  <c r="K106" i="1"/>
  <c r="J106" i="1"/>
  <c r="I106" i="1"/>
  <c r="H106" i="1"/>
  <c r="K105" i="1"/>
  <c r="J105" i="1"/>
  <c r="I105" i="1"/>
  <c r="H105" i="1"/>
  <c r="K104" i="1"/>
  <c r="J104" i="1"/>
  <c r="I104" i="1"/>
  <c r="H104" i="1"/>
  <c r="K103" i="1"/>
  <c r="J103" i="1"/>
  <c r="I103" i="1"/>
  <c r="H103" i="1"/>
  <c r="K102" i="1"/>
  <c r="J102" i="1"/>
  <c r="I102" i="1"/>
  <c r="H102" i="1"/>
  <c r="K101" i="1"/>
  <c r="J101" i="1"/>
  <c r="I101" i="1"/>
  <c r="H101" i="1"/>
  <c r="K100" i="1"/>
  <c r="J100" i="1"/>
  <c r="I100" i="1"/>
  <c r="H100" i="1"/>
  <c r="K99" i="1"/>
  <c r="J99" i="1"/>
  <c r="I99" i="1"/>
  <c r="H99" i="1"/>
  <c r="K98" i="1"/>
  <c r="J98" i="1"/>
  <c r="I98" i="1"/>
  <c r="H98" i="1"/>
  <c r="K97" i="1"/>
  <c r="J97" i="1"/>
  <c r="I97" i="1"/>
  <c r="H97" i="1"/>
  <c r="K96" i="1"/>
  <c r="J96" i="1"/>
  <c r="I96" i="1"/>
  <c r="H96" i="1"/>
  <c r="K95" i="1"/>
  <c r="J95" i="1"/>
  <c r="I95" i="1"/>
  <c r="H95" i="1"/>
  <c r="K94" i="1"/>
  <c r="J94" i="1"/>
  <c r="I94" i="1"/>
  <c r="H94" i="1"/>
  <c r="K93" i="1"/>
  <c r="J93" i="1"/>
  <c r="I93" i="1"/>
  <c r="H93" i="1"/>
  <c r="K92" i="1"/>
  <c r="J92" i="1"/>
  <c r="I92" i="1"/>
  <c r="H92" i="1"/>
  <c r="K91" i="1"/>
  <c r="J91" i="1"/>
  <c r="I91" i="1"/>
  <c r="H91" i="1"/>
  <c r="K90" i="1"/>
  <c r="J90" i="1"/>
  <c r="I90" i="1"/>
  <c r="H90" i="1"/>
  <c r="K89" i="1"/>
  <c r="J89" i="1"/>
  <c r="I89" i="1"/>
  <c r="H89" i="1"/>
  <c r="K88" i="1"/>
  <c r="J88" i="1"/>
  <c r="I88" i="1"/>
  <c r="H88" i="1"/>
  <c r="K87" i="1"/>
  <c r="J87" i="1"/>
  <c r="I87" i="1"/>
  <c r="H87" i="1"/>
  <c r="K86" i="1"/>
  <c r="J86" i="1"/>
  <c r="I86" i="1"/>
  <c r="H86" i="1"/>
  <c r="K85" i="1"/>
  <c r="J85" i="1"/>
  <c r="I85" i="1"/>
  <c r="H85" i="1"/>
  <c r="K84" i="1"/>
  <c r="J84" i="1"/>
  <c r="I84" i="1"/>
  <c r="H84" i="1"/>
  <c r="K83" i="1"/>
  <c r="J83" i="1"/>
  <c r="I83" i="1"/>
  <c r="H83" i="1"/>
  <c r="K82" i="1"/>
  <c r="J82" i="1"/>
  <c r="I82" i="1"/>
  <c r="H82" i="1"/>
  <c r="K81" i="1"/>
  <c r="J81" i="1"/>
  <c r="I81" i="1"/>
  <c r="H81" i="1"/>
  <c r="K80" i="1"/>
  <c r="J80" i="1"/>
  <c r="I80" i="1"/>
  <c r="H80" i="1"/>
  <c r="K79" i="1"/>
  <c r="J79" i="1"/>
  <c r="I79" i="1"/>
  <c r="H79" i="1"/>
  <c r="K78" i="1"/>
  <c r="J78" i="1"/>
  <c r="I78" i="1"/>
  <c r="H78" i="1"/>
  <c r="K77" i="1"/>
  <c r="J77" i="1"/>
  <c r="I77" i="1"/>
  <c r="H77" i="1"/>
  <c r="K76" i="1"/>
  <c r="J76" i="1"/>
  <c r="I76" i="1"/>
  <c r="H76" i="1"/>
  <c r="K75" i="1"/>
  <c r="J75" i="1"/>
  <c r="I75" i="1"/>
  <c r="H75" i="1"/>
  <c r="K74" i="1"/>
  <c r="J74" i="1"/>
  <c r="I74" i="1"/>
  <c r="H74" i="1"/>
  <c r="K73" i="1"/>
  <c r="J73" i="1"/>
  <c r="I73" i="1"/>
  <c r="H73" i="1"/>
  <c r="K72" i="1"/>
  <c r="J72" i="1"/>
  <c r="I72" i="1"/>
  <c r="H72" i="1"/>
  <c r="K71" i="1"/>
  <c r="J71" i="1"/>
  <c r="I71" i="1"/>
  <c r="H71" i="1"/>
  <c r="K70" i="1"/>
  <c r="J70" i="1"/>
  <c r="I70" i="1"/>
  <c r="H70" i="1"/>
  <c r="K69" i="1"/>
  <c r="J69" i="1"/>
  <c r="I69" i="1"/>
  <c r="H69" i="1"/>
  <c r="K68" i="1"/>
  <c r="J68" i="1"/>
  <c r="I68" i="1"/>
  <c r="H68" i="1"/>
  <c r="K67" i="1"/>
  <c r="J67" i="1"/>
  <c r="I67" i="1"/>
  <c r="H67" i="1"/>
  <c r="K66" i="1"/>
  <c r="J66" i="1"/>
  <c r="I66" i="1"/>
  <c r="H66" i="1"/>
  <c r="K65" i="1"/>
  <c r="J65" i="1"/>
  <c r="I65" i="1"/>
  <c r="H65" i="1"/>
  <c r="K64" i="1"/>
  <c r="J64" i="1"/>
  <c r="I64" i="1"/>
  <c r="H64" i="1"/>
  <c r="K63" i="1"/>
  <c r="J63" i="1"/>
  <c r="I63" i="1"/>
  <c r="H63" i="1"/>
  <c r="K62" i="1"/>
  <c r="J62" i="1"/>
  <c r="I62" i="1"/>
  <c r="H62" i="1"/>
  <c r="K61" i="1"/>
  <c r="J61" i="1"/>
  <c r="I61" i="1"/>
  <c r="H61" i="1"/>
  <c r="K60" i="1"/>
  <c r="J60" i="1"/>
  <c r="I60" i="1"/>
  <c r="H60" i="1"/>
  <c r="K59" i="1"/>
  <c r="J59" i="1"/>
  <c r="I59" i="1"/>
  <c r="H59" i="1"/>
  <c r="K58" i="1"/>
  <c r="J58" i="1"/>
  <c r="I58" i="1"/>
  <c r="H58" i="1"/>
  <c r="K56" i="1"/>
  <c r="J56" i="1"/>
  <c r="I56" i="1"/>
  <c r="H56" i="1"/>
  <c r="K55" i="1"/>
  <c r="J55" i="1"/>
  <c r="I55" i="1"/>
  <c r="H55" i="1"/>
  <c r="K54" i="1"/>
  <c r="J54" i="1"/>
  <c r="I54" i="1"/>
  <c r="H54" i="1"/>
  <c r="K53" i="1"/>
  <c r="J53" i="1"/>
  <c r="I53" i="1"/>
  <c r="H53" i="1"/>
  <c r="K52" i="1"/>
  <c r="J52" i="1"/>
  <c r="I52" i="1"/>
  <c r="H52" i="1"/>
  <c r="K51" i="1"/>
  <c r="J51" i="1"/>
  <c r="I51" i="1"/>
  <c r="H51" i="1"/>
  <c r="K50" i="1"/>
  <c r="J50" i="1"/>
  <c r="I50" i="1"/>
  <c r="H50" i="1"/>
  <c r="K49" i="1"/>
  <c r="J49" i="1"/>
  <c r="I49" i="1"/>
  <c r="H49" i="1"/>
  <c r="K48" i="1"/>
  <c r="J48" i="1"/>
  <c r="I48" i="1"/>
  <c r="H48" i="1"/>
  <c r="K47" i="1"/>
  <c r="J47" i="1"/>
  <c r="I47" i="1"/>
  <c r="H47" i="1"/>
  <c r="K46" i="1"/>
  <c r="J46" i="1"/>
  <c r="I46" i="1"/>
  <c r="H46" i="1"/>
  <c r="K45" i="1"/>
  <c r="J45" i="1"/>
  <c r="I45" i="1"/>
  <c r="H45" i="1"/>
  <c r="K44" i="1"/>
  <c r="J44" i="1"/>
  <c r="I44" i="1"/>
  <c r="H44" i="1"/>
  <c r="K43" i="1"/>
  <c r="J43" i="1"/>
  <c r="I43" i="1"/>
  <c r="H43" i="1"/>
  <c r="K42" i="1"/>
  <c r="J42" i="1"/>
  <c r="I42" i="1"/>
  <c r="H42" i="1"/>
  <c r="K41" i="1"/>
  <c r="J41" i="1"/>
  <c r="I41" i="1"/>
  <c r="H41" i="1"/>
  <c r="K40" i="1"/>
  <c r="J40" i="1"/>
  <c r="I40" i="1"/>
  <c r="H40" i="1"/>
  <c r="K39" i="1"/>
  <c r="J39" i="1"/>
  <c r="I39" i="1"/>
  <c r="H39" i="1"/>
  <c r="K38" i="1"/>
  <c r="J38" i="1"/>
  <c r="I38" i="1"/>
  <c r="H38" i="1"/>
  <c r="K37" i="1"/>
  <c r="J37" i="1"/>
  <c r="I37" i="1"/>
  <c r="H37" i="1"/>
  <c r="K36" i="1"/>
  <c r="J36" i="1"/>
  <c r="I36" i="1"/>
  <c r="H36" i="1"/>
  <c r="K35" i="1"/>
  <c r="J35" i="1"/>
  <c r="I35" i="1"/>
  <c r="H35" i="1"/>
  <c r="K34" i="1"/>
  <c r="J34" i="1"/>
  <c r="I34" i="1"/>
  <c r="H34" i="1"/>
  <c r="K33" i="1"/>
  <c r="J33" i="1"/>
  <c r="I33" i="1"/>
  <c r="H33" i="1"/>
  <c r="K32" i="1"/>
  <c r="J32" i="1"/>
  <c r="I32" i="1"/>
  <c r="H32" i="1"/>
  <c r="K31" i="1"/>
  <c r="J31" i="1"/>
  <c r="I31" i="1"/>
  <c r="H31" i="1"/>
  <c r="K30" i="1"/>
  <c r="J30" i="1"/>
  <c r="I30" i="1"/>
  <c r="H30" i="1"/>
  <c r="K29" i="1"/>
  <c r="J29" i="1"/>
  <c r="I29" i="1"/>
  <c r="H29" i="1"/>
  <c r="K28" i="1"/>
  <c r="J28" i="1"/>
  <c r="I28" i="1"/>
  <c r="H28" i="1"/>
  <c r="K27" i="1"/>
  <c r="J27" i="1"/>
  <c r="I27" i="1"/>
  <c r="H27" i="1"/>
  <c r="K26" i="1"/>
  <c r="J26" i="1"/>
  <c r="I26" i="1"/>
  <c r="H26" i="1"/>
  <c r="K25" i="1"/>
  <c r="J25" i="1"/>
  <c r="I25" i="1"/>
  <c r="H25" i="1"/>
  <c r="K24" i="1"/>
  <c r="J24" i="1"/>
  <c r="I24" i="1"/>
  <c r="H24" i="1"/>
  <c r="K23" i="1"/>
  <c r="J23" i="1"/>
  <c r="I23" i="1"/>
  <c r="H23" i="1"/>
  <c r="K22" i="1"/>
  <c r="J22" i="1"/>
  <c r="I22" i="1"/>
  <c r="H22" i="1"/>
  <c r="K21" i="1"/>
  <c r="J21" i="1"/>
  <c r="I21" i="1"/>
  <c r="H21" i="1"/>
  <c r="K20" i="1"/>
  <c r="J20" i="1"/>
  <c r="I20" i="1"/>
  <c r="H20" i="1"/>
  <c r="K19" i="1"/>
  <c r="J19" i="1"/>
  <c r="I19" i="1"/>
  <c r="H19" i="1"/>
  <c r="K18" i="1"/>
  <c r="J18" i="1"/>
  <c r="I18" i="1"/>
  <c r="H18" i="1"/>
  <c r="K17" i="1"/>
  <c r="J17" i="1"/>
  <c r="I17" i="1"/>
  <c r="H17" i="1"/>
  <c r="K16" i="1"/>
  <c r="J16" i="1"/>
  <c r="I16" i="1"/>
  <c r="H16" i="1"/>
  <c r="K15" i="1"/>
  <c r="J15" i="1"/>
  <c r="I15" i="1"/>
  <c r="H15" i="1"/>
  <c r="K14" i="1"/>
  <c r="J14" i="1"/>
  <c r="I14" i="1"/>
  <c r="H14" i="1"/>
  <c r="K13" i="1"/>
  <c r="J13" i="1"/>
  <c r="I13" i="1"/>
  <c r="H13" i="1"/>
  <c r="K12" i="1"/>
  <c r="J12" i="1"/>
  <c r="I12" i="1"/>
  <c r="H12" i="1"/>
  <c r="K11" i="1"/>
  <c r="J11" i="1"/>
  <c r="I11" i="1"/>
  <c r="H11" i="1"/>
  <c r="K10" i="1"/>
  <c r="J10" i="1"/>
  <c r="I10" i="1"/>
  <c r="H10" i="1"/>
  <c r="K9" i="1"/>
  <c r="J9" i="1"/>
  <c r="I9" i="1"/>
  <c r="H9" i="1"/>
  <c r="K8" i="1"/>
  <c r="J8" i="1"/>
  <c r="I8" i="1"/>
  <c r="H8" i="1"/>
  <c r="K7" i="1"/>
  <c r="J7" i="1"/>
  <c r="I7" i="1"/>
  <c r="H7" i="1"/>
  <c r="K5" i="1"/>
  <c r="J5" i="1"/>
  <c r="I5" i="1"/>
  <c r="H5" i="1"/>
  <c r="G183" i="1"/>
  <c r="G182" i="1"/>
  <c r="G180" i="1"/>
  <c r="G179" i="1"/>
  <c r="G178" i="1"/>
  <c r="G177" i="1"/>
  <c r="G176" i="1"/>
  <c r="G175" i="1"/>
  <c r="G174" i="1"/>
  <c r="G173" i="1"/>
  <c r="G172" i="1"/>
  <c r="G170" i="1"/>
  <c r="G169" i="1"/>
  <c r="G168" i="1"/>
  <c r="G167" i="1"/>
  <c r="G166" i="1"/>
  <c r="G165" i="1"/>
  <c r="G164" i="1"/>
  <c r="G163" i="1"/>
  <c r="G162" i="1"/>
  <c r="G161" i="1"/>
  <c r="G160" i="1"/>
  <c r="G159" i="1"/>
  <c r="G157" i="1"/>
  <c r="G156" i="1"/>
  <c r="G155" i="1"/>
  <c r="G153" i="1"/>
  <c r="G152" i="1"/>
  <c r="G151" i="1"/>
  <c r="G150" i="1"/>
  <c r="G149" i="1"/>
  <c r="G148" i="1"/>
  <c r="G147" i="1"/>
  <c r="G146" i="1"/>
  <c r="G145" i="1"/>
  <c r="G144" i="1"/>
  <c r="G143" i="1"/>
  <c r="G142" i="1"/>
  <c r="G141" i="1"/>
  <c r="G140" i="1"/>
  <c r="G139" i="1"/>
  <c r="G138" i="1"/>
  <c r="G137" i="1"/>
  <c r="G136" i="1"/>
  <c r="G191" i="1"/>
  <c r="G190" i="1"/>
  <c r="G189" i="1"/>
  <c r="G187"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5" i="1"/>
  <c r="K141" i="2" l="1"/>
  <c r="J56" i="2"/>
  <c r="G122" i="2"/>
  <c r="J122" i="2" s="1"/>
  <c r="J57" i="2"/>
  <c r="G123" i="2"/>
  <c r="J123" i="2" s="1"/>
  <c r="K199" i="2"/>
  <c r="I253" i="2"/>
  <c r="I141" i="2"/>
  <c r="I199" i="2"/>
  <c r="F89" i="9"/>
  <c r="G89" i="9"/>
  <c r="H89" i="9"/>
  <c r="I89" i="9"/>
  <c r="J89" i="9"/>
  <c r="K89" i="9"/>
  <c r="L89" i="9"/>
  <c r="M89" i="9"/>
  <c r="N89" i="9"/>
  <c r="O89" i="9"/>
  <c r="K54" i="8" l="1"/>
  <c r="P54" i="8"/>
  <c r="F54" i="8"/>
  <c r="G55" i="8"/>
  <c r="Q55" i="8"/>
  <c r="L55" i="8"/>
  <c r="L54" i="8"/>
  <c r="M55" i="8"/>
  <c r="G54" i="8"/>
  <c r="I55" i="8"/>
  <c r="Q54" i="8"/>
  <c r="I56" i="8"/>
  <c r="M56" i="8"/>
  <c r="E56" i="8"/>
  <c r="J56" i="8"/>
  <c r="O56" i="8"/>
  <c r="F56" i="8"/>
  <c r="K56" i="8"/>
  <c r="P56" i="8"/>
  <c r="G56" i="8"/>
  <c r="L56" i="8"/>
  <c r="Q56" i="8"/>
  <c r="E54" i="8"/>
  <c r="I54" i="8"/>
  <c r="M54" i="8"/>
  <c r="E55" i="8"/>
  <c r="J55" i="8"/>
  <c r="O55" i="8"/>
  <c r="J54" i="8"/>
  <c r="O54" i="8"/>
  <c r="K55" i="8"/>
  <c r="P55" i="8"/>
  <c r="M49" i="8"/>
  <c r="M50" i="8" s="1"/>
  <c r="K49" i="8"/>
  <c r="K50" i="8" s="1"/>
  <c r="P49" i="8"/>
  <c r="P50" i="8" s="1"/>
  <c r="J49" i="8"/>
  <c r="J50" i="8" s="1"/>
  <c r="L49" i="8"/>
  <c r="L50" i="8" s="1"/>
  <c r="O49" i="8"/>
  <c r="O50" i="8" s="1"/>
  <c r="G49" i="8"/>
  <c r="G50" i="8" s="1"/>
  <c r="Q49" i="8"/>
  <c r="Q50" i="8" s="1"/>
  <c r="I49" i="8"/>
  <c r="I50" i="8" s="1"/>
  <c r="E49" i="8"/>
  <c r="E50" i="8" s="1"/>
  <c r="D72" i="4"/>
  <c r="G108" i="9"/>
  <c r="E72" i="4" s="1"/>
  <c r="H108" i="9"/>
  <c r="F72" i="4" s="1"/>
  <c r="I108" i="9"/>
  <c r="G72" i="4" s="1"/>
  <c r="J108" i="9"/>
  <c r="H72" i="4" s="1"/>
  <c r="K108" i="9"/>
  <c r="I72" i="4" s="1"/>
  <c r="L108" i="9"/>
  <c r="J72" i="4" s="1"/>
  <c r="M108" i="9"/>
  <c r="K72" i="4" s="1"/>
  <c r="N108" i="9"/>
  <c r="L72" i="4" s="1"/>
  <c r="O108" i="9"/>
  <c r="M72" i="4" s="1"/>
  <c r="P108" i="9"/>
  <c r="N72" i="4" s="1"/>
  <c r="E61" i="14"/>
  <c r="D62" i="4" s="1"/>
  <c r="F61" i="14"/>
  <c r="E62" i="4" s="1"/>
  <c r="G61" i="14"/>
  <c r="F62" i="4" s="1"/>
  <c r="H61" i="14"/>
  <c r="G62" i="4" s="1"/>
  <c r="I61" i="14"/>
  <c r="H62" i="4" s="1"/>
  <c r="J61" i="14"/>
  <c r="I62" i="4" s="1"/>
  <c r="K61" i="14"/>
  <c r="J62" i="4" s="1"/>
  <c r="L61" i="14"/>
  <c r="K62" i="4" s="1"/>
  <c r="M61" i="14"/>
  <c r="L62" i="4" s="1"/>
  <c r="N61" i="14"/>
  <c r="M62" i="4" s="1"/>
  <c r="O61" i="14"/>
  <c r="N62" i="4" s="1"/>
  <c r="D43" i="13"/>
  <c r="D52" i="4" s="1"/>
  <c r="E43" i="13"/>
  <c r="E52" i="4" s="1"/>
  <c r="F43" i="13"/>
  <c r="F52" i="4" s="1"/>
  <c r="G43" i="13"/>
  <c r="G52" i="4" s="1"/>
  <c r="H43" i="13"/>
  <c r="H52" i="4" s="1"/>
  <c r="I43" i="13"/>
  <c r="I52" i="4" s="1"/>
  <c r="J43" i="13"/>
  <c r="J52" i="4" s="1"/>
  <c r="K43" i="13"/>
  <c r="K52" i="4" s="1"/>
  <c r="L43" i="13"/>
  <c r="L52" i="4" s="1"/>
  <c r="M43" i="13"/>
  <c r="M52" i="4" s="1"/>
  <c r="N43" i="13"/>
  <c r="N52" i="4" s="1"/>
  <c r="D35" i="12"/>
  <c r="D32" i="4" s="1"/>
  <c r="E35" i="12"/>
  <c r="E32" i="4" s="1"/>
  <c r="F35" i="12"/>
  <c r="F32" i="4" s="1"/>
  <c r="G35" i="12"/>
  <c r="G32" i="4" s="1"/>
  <c r="H35" i="12"/>
  <c r="H32" i="4" s="1"/>
  <c r="I35" i="12"/>
  <c r="I32" i="4" s="1"/>
  <c r="J35" i="12"/>
  <c r="J32" i="4" s="1"/>
  <c r="K35" i="12"/>
  <c r="K32" i="4" s="1"/>
  <c r="L35" i="12"/>
  <c r="L32" i="4" s="1"/>
  <c r="M35" i="12"/>
  <c r="M32" i="4" s="1"/>
  <c r="N35" i="12"/>
  <c r="N32" i="4" s="1"/>
  <c r="D109" i="11"/>
  <c r="D22" i="4" s="1"/>
  <c r="E109" i="11"/>
  <c r="E22" i="4" s="1"/>
  <c r="F109" i="11"/>
  <c r="F22" i="4" s="1"/>
  <c r="G109" i="11"/>
  <c r="G22" i="4" s="1"/>
  <c r="H109" i="11"/>
  <c r="H22" i="4" s="1"/>
  <c r="I109" i="11"/>
  <c r="I22" i="4" s="1"/>
  <c r="J109" i="11"/>
  <c r="J22" i="4" s="1"/>
  <c r="K109" i="11"/>
  <c r="K22" i="4" s="1"/>
  <c r="L109" i="11"/>
  <c r="L22" i="4" s="1"/>
  <c r="M109" i="11"/>
  <c r="M22" i="4" s="1"/>
  <c r="N109" i="11"/>
  <c r="N22" i="4" s="1"/>
  <c r="N61" i="10"/>
  <c r="N12" i="4" s="1"/>
  <c r="M61" i="10"/>
  <c r="M12" i="4" s="1"/>
  <c r="L61" i="10"/>
  <c r="L12" i="4" s="1"/>
  <c r="K61" i="10"/>
  <c r="K12" i="4" s="1"/>
  <c r="J61" i="10"/>
  <c r="J12" i="4" s="1"/>
  <c r="I61" i="10"/>
  <c r="I12" i="4" s="1"/>
  <c r="H61" i="10"/>
  <c r="H12" i="4" s="1"/>
  <c r="G61" i="10"/>
  <c r="G12" i="4" s="1"/>
  <c r="F61" i="10"/>
  <c r="F12" i="4" s="1"/>
  <c r="E61" i="10"/>
  <c r="E12" i="4" s="1"/>
  <c r="D61" i="10"/>
  <c r="D12" i="4" s="1"/>
  <c r="G59" i="8" l="1"/>
  <c r="G60" i="8" s="1"/>
  <c r="Q59" i="8"/>
  <c r="Q60" i="8" s="1"/>
  <c r="L59" i="8"/>
  <c r="L60" i="8" s="1"/>
  <c r="M59" i="8"/>
  <c r="M60" i="8" s="1"/>
  <c r="I59" i="8"/>
  <c r="I60" i="8" s="1"/>
  <c r="P59" i="8"/>
  <c r="P60" i="8" s="1"/>
  <c r="K59" i="8"/>
  <c r="K60" i="8" s="1"/>
  <c r="J59" i="8"/>
  <c r="J60" i="8" s="1"/>
  <c r="E59" i="8"/>
  <c r="E60" i="8" s="1"/>
  <c r="O59" i="8"/>
  <c r="O60" i="8" s="1"/>
  <c r="G188" i="1"/>
  <c r="G75" i="2"/>
  <c r="N93" i="4"/>
  <c r="F93" i="4"/>
  <c r="H93" i="4"/>
  <c r="G93" i="4"/>
  <c r="I93" i="4"/>
  <c r="J93" i="4"/>
  <c r="K93" i="4"/>
  <c r="L93" i="4"/>
  <c r="E93" i="4"/>
  <c r="M93" i="4"/>
  <c r="D93" i="4"/>
  <c r="P110" i="9"/>
  <c r="O110" i="9"/>
  <c r="N110" i="9"/>
  <c r="M110" i="9"/>
  <c r="L110" i="9"/>
  <c r="K110" i="9"/>
  <c r="J110" i="9"/>
  <c r="I110" i="9"/>
  <c r="H110" i="9"/>
  <c r="G110" i="9"/>
  <c r="P109" i="9"/>
  <c r="O109" i="9"/>
  <c r="N109" i="9"/>
  <c r="M109" i="9"/>
  <c r="L109" i="9"/>
  <c r="K109" i="9"/>
  <c r="J109" i="9"/>
  <c r="I109" i="9"/>
  <c r="H109" i="9"/>
  <c r="G109" i="9"/>
  <c r="P107" i="9"/>
  <c r="O107" i="9"/>
  <c r="N107" i="9"/>
  <c r="M107" i="9"/>
  <c r="L107" i="9"/>
  <c r="K107" i="9"/>
  <c r="J107" i="9"/>
  <c r="I107" i="9"/>
  <c r="H107" i="9"/>
  <c r="G107" i="9"/>
  <c r="P106" i="9"/>
  <c r="O106" i="9"/>
  <c r="N106" i="9"/>
  <c r="M106" i="9"/>
  <c r="L106" i="9"/>
  <c r="K106" i="9"/>
  <c r="J106" i="9"/>
  <c r="I106" i="9"/>
  <c r="H106" i="9"/>
  <c r="G106" i="9"/>
  <c r="P105" i="9"/>
  <c r="O105" i="9"/>
  <c r="N105" i="9"/>
  <c r="M105" i="9"/>
  <c r="L105" i="9"/>
  <c r="K105" i="9"/>
  <c r="J105" i="9"/>
  <c r="I105" i="9"/>
  <c r="H105" i="9"/>
  <c r="G105" i="9"/>
  <c r="P104" i="9"/>
  <c r="O104" i="9"/>
  <c r="N104" i="9"/>
  <c r="M104" i="9"/>
  <c r="L104" i="9"/>
  <c r="K104" i="9"/>
  <c r="J104" i="9"/>
  <c r="I104" i="9"/>
  <c r="H104" i="9"/>
  <c r="G104" i="9"/>
  <c r="F104" i="9"/>
  <c r="P89" i="9"/>
  <c r="F49" i="8" l="1"/>
  <c r="F50" i="8" s="1"/>
  <c r="F55" i="8"/>
  <c r="F59" i="8" s="1"/>
  <c r="I75" i="2"/>
  <c r="I80" i="2" s="1"/>
  <c r="G60" i="14"/>
  <c r="F60" i="8" l="1"/>
  <c r="O48" i="14"/>
  <c r="O74" i="14" s="1"/>
  <c r="N48" i="14"/>
  <c r="N74" i="14" s="1"/>
  <c r="L48" i="14"/>
  <c r="L74" i="14" s="1"/>
  <c r="K48" i="14"/>
  <c r="K74" i="14" s="1"/>
  <c r="J48" i="14"/>
  <c r="J74" i="14" s="1"/>
  <c r="I48" i="14"/>
  <c r="I74" i="14" s="1"/>
  <c r="H48" i="14"/>
  <c r="H74" i="14" s="1"/>
  <c r="G48" i="14"/>
  <c r="G74" i="14" s="1"/>
  <c r="N75" i="14" l="1"/>
  <c r="M106" i="4"/>
  <c r="G75" i="14"/>
  <c r="F106" i="4"/>
  <c r="H75" i="14"/>
  <c r="G106" i="4"/>
  <c r="O75" i="14"/>
  <c r="N106" i="4"/>
  <c r="I75" i="14"/>
  <c r="H106" i="4"/>
  <c r="I106" i="4"/>
  <c r="J75" i="14"/>
  <c r="K75" i="14"/>
  <c r="J106" i="4"/>
  <c r="L75" i="14"/>
  <c r="K106" i="4"/>
  <c r="J181" i="1"/>
  <c r="G247" i="2"/>
  <c r="J247" i="2" s="1"/>
  <c r="K181" i="1"/>
  <c r="G294" i="2"/>
  <c r="J294" i="2" s="1"/>
  <c r="G136" i="2"/>
  <c r="J136" i="2" s="1"/>
  <c r="H181" i="1"/>
  <c r="G194" i="2"/>
  <c r="J194" i="2" s="1"/>
  <c r="I181" i="1"/>
  <c r="G71" i="2"/>
  <c r="J71" i="2" s="1"/>
  <c r="G181" i="1"/>
  <c r="H154" i="1" l="1"/>
  <c r="H193" i="1" s="1"/>
  <c r="G124" i="2"/>
  <c r="G60" i="2"/>
  <c r="G154" i="1"/>
  <c r="I154" i="1"/>
  <c r="I193" i="1" s="1"/>
  <c r="G180" i="2"/>
  <c r="G62" i="2"/>
  <c r="J62" i="2" s="1"/>
  <c r="G158" i="1"/>
  <c r="G236" i="2"/>
  <c r="J236" i="2" s="1"/>
  <c r="J154" i="1"/>
  <c r="G237" i="2"/>
  <c r="J237" i="2" s="1"/>
  <c r="J158" i="1"/>
  <c r="K154" i="1"/>
  <c r="K193" i="1" s="1"/>
  <c r="G282" i="2"/>
  <c r="G69" i="2"/>
  <c r="G171" i="1"/>
  <c r="N74" i="4"/>
  <c r="M74" i="4"/>
  <c r="L74" i="4"/>
  <c r="K74" i="4"/>
  <c r="J74" i="4"/>
  <c r="I74" i="4"/>
  <c r="H74" i="4"/>
  <c r="G74" i="4"/>
  <c r="F74" i="4"/>
  <c r="E74" i="4"/>
  <c r="D74" i="4"/>
  <c r="N73" i="4"/>
  <c r="M73" i="4"/>
  <c r="L73" i="4"/>
  <c r="K73" i="4"/>
  <c r="J73" i="4"/>
  <c r="I73" i="4"/>
  <c r="H73" i="4"/>
  <c r="G73" i="4"/>
  <c r="F73" i="4"/>
  <c r="E73" i="4"/>
  <c r="D73" i="4"/>
  <c r="N71" i="4"/>
  <c r="M71" i="4"/>
  <c r="L71" i="4"/>
  <c r="K71" i="4"/>
  <c r="J71" i="4"/>
  <c r="I71" i="4"/>
  <c r="H71" i="4"/>
  <c r="G71" i="4"/>
  <c r="F71" i="4"/>
  <c r="E71" i="4"/>
  <c r="D71" i="4"/>
  <c r="N70" i="4"/>
  <c r="M70" i="4"/>
  <c r="L70" i="4"/>
  <c r="K70" i="4"/>
  <c r="J70" i="4"/>
  <c r="I70" i="4"/>
  <c r="H70" i="4"/>
  <c r="G70" i="4"/>
  <c r="F70" i="4"/>
  <c r="E70" i="4"/>
  <c r="D70" i="4"/>
  <c r="N69" i="4"/>
  <c r="M69" i="4"/>
  <c r="L69" i="4"/>
  <c r="K69" i="4"/>
  <c r="J69" i="4"/>
  <c r="I69" i="4"/>
  <c r="H69" i="4"/>
  <c r="G69" i="4"/>
  <c r="F69" i="4"/>
  <c r="E69" i="4"/>
  <c r="D69" i="4"/>
  <c r="N68" i="4"/>
  <c r="M68" i="4"/>
  <c r="L68" i="4"/>
  <c r="K68" i="4"/>
  <c r="J68" i="4"/>
  <c r="I68" i="4"/>
  <c r="H68" i="4"/>
  <c r="G68" i="4"/>
  <c r="F68" i="4"/>
  <c r="E68" i="4"/>
  <c r="D68" i="4"/>
  <c r="P95" i="9"/>
  <c r="O95" i="9"/>
  <c r="N95" i="9"/>
  <c r="M95" i="9"/>
  <c r="L95" i="9"/>
  <c r="K95" i="9"/>
  <c r="J95" i="9"/>
  <c r="I95" i="9"/>
  <c r="H95" i="9"/>
  <c r="G95" i="9"/>
  <c r="F95" i="9"/>
  <c r="J253" i="2" l="1"/>
  <c r="G299" i="2"/>
  <c r="J282" i="2"/>
  <c r="J299" i="2" s="1"/>
  <c r="G199" i="2"/>
  <c r="J180" i="2"/>
  <c r="J199" i="2" s="1"/>
  <c r="G141" i="2"/>
  <c r="J124" i="2"/>
  <c r="J141" i="2" s="1"/>
  <c r="J60" i="2"/>
  <c r="J80" i="2" s="1"/>
  <c r="J193" i="1"/>
  <c r="G253" i="2"/>
  <c r="G193" i="1"/>
  <c r="G80" i="2"/>
  <c r="N97" i="9"/>
  <c r="N102" i="9" s="1"/>
  <c r="F97" i="9"/>
  <c r="F102" i="9" s="1"/>
  <c r="J97" i="9"/>
  <c r="J102" i="9" s="1"/>
  <c r="M97" i="9"/>
  <c r="M102" i="9" s="1"/>
  <c r="I97" i="9"/>
  <c r="I102" i="9" s="1"/>
  <c r="H75" i="4"/>
  <c r="D75" i="4"/>
  <c r="L75" i="4"/>
  <c r="E75" i="4"/>
  <c r="I75" i="4"/>
  <c r="M75" i="4"/>
  <c r="F75" i="4"/>
  <c r="J75" i="4"/>
  <c r="N75" i="4"/>
  <c r="G75" i="4"/>
  <c r="K75" i="4"/>
  <c r="G97" i="9"/>
  <c r="G102" i="9" s="1"/>
  <c r="K97" i="9"/>
  <c r="K102" i="9" s="1"/>
  <c r="O97" i="9"/>
  <c r="O102" i="9" s="1"/>
  <c r="F111" i="9"/>
  <c r="F123" i="9" s="1"/>
  <c r="N111" i="9"/>
  <c r="N123" i="9" s="1"/>
  <c r="H111" i="9"/>
  <c r="H123" i="9" s="1"/>
  <c r="P111" i="9"/>
  <c r="P123" i="9" s="1"/>
  <c r="K111" i="9"/>
  <c r="K123" i="9" s="1"/>
  <c r="H97" i="9"/>
  <c r="H102" i="9" s="1"/>
  <c r="L97" i="9"/>
  <c r="L102" i="9" s="1"/>
  <c r="P97" i="9"/>
  <c r="P102" i="9" s="1"/>
  <c r="J111" i="9"/>
  <c r="J123" i="9" s="1"/>
  <c r="L111" i="9"/>
  <c r="L123" i="9" s="1"/>
  <c r="G111" i="9"/>
  <c r="G123" i="9" s="1"/>
  <c r="O111" i="9"/>
  <c r="O123" i="9" s="1"/>
  <c r="I111" i="9"/>
  <c r="I123" i="9" s="1"/>
  <c r="M111" i="9"/>
  <c r="M123" i="9" s="1"/>
  <c r="G76" i="4" l="1"/>
  <c r="F76" i="4"/>
  <c r="L76" i="4"/>
  <c r="M76" i="4"/>
  <c r="E76" i="4"/>
  <c r="I76" i="4"/>
  <c r="K76" i="4"/>
  <c r="D76" i="4"/>
  <c r="N76" i="4"/>
  <c r="H76" i="4"/>
  <c r="J76" i="4"/>
  <c r="I112" i="9"/>
  <c r="K112" i="9"/>
  <c r="N112" i="9"/>
  <c r="F112" i="9"/>
  <c r="J112" i="9"/>
  <c r="M112" i="9"/>
  <c r="O112" i="9"/>
  <c r="G112" i="9"/>
  <c r="H112" i="9"/>
  <c r="L112" i="9"/>
  <c r="P112" i="9"/>
  <c r="P36" i="7" l="1"/>
  <c r="O36" i="7"/>
  <c r="N36" i="7"/>
  <c r="L36" i="7"/>
  <c r="K36" i="7"/>
  <c r="J36" i="7"/>
  <c r="I36" i="7"/>
  <c r="H36" i="7"/>
  <c r="F36" i="7"/>
  <c r="E36" i="7"/>
  <c r="D36" i="7"/>
  <c r="O63" i="14"/>
  <c r="N63" i="14"/>
  <c r="M63" i="14"/>
  <c r="L63" i="14"/>
  <c r="K63" i="14"/>
  <c r="J63" i="14"/>
  <c r="I63" i="14"/>
  <c r="H63" i="14"/>
  <c r="G63" i="14"/>
  <c r="F63" i="14"/>
  <c r="E63" i="14"/>
  <c r="O62" i="14"/>
  <c r="N63" i="4" s="1"/>
  <c r="N62" i="14"/>
  <c r="M63" i="4" s="1"/>
  <c r="M62" i="14"/>
  <c r="L63" i="4" s="1"/>
  <c r="L62" i="14"/>
  <c r="K63" i="4" s="1"/>
  <c r="K62" i="14"/>
  <c r="J63" i="4" s="1"/>
  <c r="J62" i="14"/>
  <c r="I63" i="4" s="1"/>
  <c r="I62" i="14"/>
  <c r="H63" i="4" s="1"/>
  <c r="H62" i="14"/>
  <c r="G63" i="4" s="1"/>
  <c r="G62" i="14"/>
  <c r="F63" i="4" s="1"/>
  <c r="F62" i="14"/>
  <c r="E63" i="4" s="1"/>
  <c r="E62" i="14"/>
  <c r="D63" i="4" s="1"/>
  <c r="O60" i="14"/>
  <c r="N61" i="4" s="1"/>
  <c r="N60" i="14"/>
  <c r="M61" i="4" s="1"/>
  <c r="M60" i="14"/>
  <c r="L61" i="4" s="1"/>
  <c r="L60" i="14"/>
  <c r="K61" i="4" s="1"/>
  <c r="K60" i="14"/>
  <c r="J61" i="4" s="1"/>
  <c r="J60" i="14"/>
  <c r="I61" i="4" s="1"/>
  <c r="I60" i="14"/>
  <c r="H61" i="4" s="1"/>
  <c r="H60" i="14"/>
  <c r="G61" i="4" s="1"/>
  <c r="F61" i="4"/>
  <c r="F60" i="14"/>
  <c r="E61" i="4" s="1"/>
  <c r="E60" i="14"/>
  <c r="D61" i="4" s="1"/>
  <c r="O59" i="14"/>
  <c r="N60" i="4" s="1"/>
  <c r="N59" i="14"/>
  <c r="M60" i="4" s="1"/>
  <c r="M59" i="14"/>
  <c r="L60" i="4" s="1"/>
  <c r="L59" i="14"/>
  <c r="K60" i="4" s="1"/>
  <c r="K59" i="14"/>
  <c r="J60" i="4" s="1"/>
  <c r="J59" i="14"/>
  <c r="I60" i="4" s="1"/>
  <c r="I59" i="14"/>
  <c r="H60" i="4" s="1"/>
  <c r="H59" i="14"/>
  <c r="G60" i="4" s="1"/>
  <c r="G59" i="14"/>
  <c r="F60" i="4" s="1"/>
  <c r="F59" i="14"/>
  <c r="E60" i="4" s="1"/>
  <c r="E59" i="14"/>
  <c r="D60" i="4" s="1"/>
  <c r="O58" i="14"/>
  <c r="N59" i="4" s="1"/>
  <c r="N58" i="14"/>
  <c r="M59" i="4" s="1"/>
  <c r="M58" i="14"/>
  <c r="L59" i="4" s="1"/>
  <c r="L58" i="14"/>
  <c r="K59" i="4" s="1"/>
  <c r="K58" i="14"/>
  <c r="J59" i="4" s="1"/>
  <c r="J58" i="14"/>
  <c r="I59" i="4" s="1"/>
  <c r="I58" i="14"/>
  <c r="H59" i="4" s="1"/>
  <c r="H58" i="14"/>
  <c r="G59" i="4" s="1"/>
  <c r="G58" i="14"/>
  <c r="F59" i="4" s="1"/>
  <c r="F58" i="14"/>
  <c r="E58" i="14"/>
  <c r="D59" i="4" s="1"/>
  <c r="O57" i="14"/>
  <c r="N58" i="4" s="1"/>
  <c r="N57" i="14"/>
  <c r="M58" i="4" s="1"/>
  <c r="M57" i="14"/>
  <c r="L58" i="4" s="1"/>
  <c r="L57" i="14"/>
  <c r="K58" i="4" s="1"/>
  <c r="K57" i="14"/>
  <c r="J58" i="4" s="1"/>
  <c r="J57" i="14"/>
  <c r="I58" i="4" s="1"/>
  <c r="I57" i="14"/>
  <c r="H58" i="4" s="1"/>
  <c r="H57" i="14"/>
  <c r="G58" i="4" s="1"/>
  <c r="G57" i="14"/>
  <c r="F58" i="4" s="1"/>
  <c r="F57" i="14"/>
  <c r="E58" i="4" s="1"/>
  <c r="E57" i="14"/>
  <c r="D58" i="4" s="1"/>
  <c r="O51" i="14"/>
  <c r="N51" i="14"/>
  <c r="M51" i="14"/>
  <c r="L51" i="14"/>
  <c r="K51" i="14"/>
  <c r="J51" i="14"/>
  <c r="I51" i="14"/>
  <c r="H51" i="14"/>
  <c r="G51" i="14"/>
  <c r="F51" i="14"/>
  <c r="E51" i="14"/>
  <c r="O45" i="14"/>
  <c r="N45" i="14"/>
  <c r="M45" i="14"/>
  <c r="L45" i="14"/>
  <c r="K45" i="14"/>
  <c r="J45" i="14"/>
  <c r="I45" i="14"/>
  <c r="H45" i="14"/>
  <c r="G45" i="14"/>
  <c r="F45" i="14"/>
  <c r="E45" i="14"/>
  <c r="N45" i="13"/>
  <c r="M45" i="13"/>
  <c r="L45" i="13"/>
  <c r="K45" i="13"/>
  <c r="J45" i="13"/>
  <c r="I45" i="13"/>
  <c r="H45" i="13"/>
  <c r="G45" i="13"/>
  <c r="F45" i="13"/>
  <c r="E45" i="13"/>
  <c r="D45" i="13"/>
  <c r="N44" i="13"/>
  <c r="N53" i="4" s="1"/>
  <c r="M44" i="13"/>
  <c r="M53" i="4" s="1"/>
  <c r="L44" i="13"/>
  <c r="L53" i="4" s="1"/>
  <c r="K44" i="13"/>
  <c r="K53" i="4" s="1"/>
  <c r="J44" i="13"/>
  <c r="J53" i="4" s="1"/>
  <c r="I44" i="13"/>
  <c r="I53" i="4" s="1"/>
  <c r="H44" i="13"/>
  <c r="H53" i="4" s="1"/>
  <c r="G44" i="13"/>
  <c r="G53" i="4" s="1"/>
  <c r="F44" i="13"/>
  <c r="F53" i="4" s="1"/>
  <c r="E44" i="13"/>
  <c r="E53" i="4" s="1"/>
  <c r="D44" i="13"/>
  <c r="D53" i="4" s="1"/>
  <c r="N42" i="13"/>
  <c r="N51" i="4" s="1"/>
  <c r="M42" i="13"/>
  <c r="M51" i="4" s="1"/>
  <c r="L42" i="13"/>
  <c r="L51" i="4" s="1"/>
  <c r="K42" i="13"/>
  <c r="K51" i="4" s="1"/>
  <c r="J42" i="13"/>
  <c r="J51" i="4" s="1"/>
  <c r="I42" i="13"/>
  <c r="I51" i="4" s="1"/>
  <c r="H42" i="13"/>
  <c r="H51" i="4" s="1"/>
  <c r="G42" i="13"/>
  <c r="G51" i="4" s="1"/>
  <c r="F42" i="13"/>
  <c r="F51" i="4" s="1"/>
  <c r="E42" i="13"/>
  <c r="E51" i="4" s="1"/>
  <c r="D42" i="13"/>
  <c r="D51" i="4" s="1"/>
  <c r="N41" i="13"/>
  <c r="N50" i="4" s="1"/>
  <c r="M41" i="13"/>
  <c r="M50" i="4" s="1"/>
  <c r="L41" i="13"/>
  <c r="L50" i="4" s="1"/>
  <c r="K41" i="13"/>
  <c r="K50" i="4" s="1"/>
  <c r="J41" i="13"/>
  <c r="J50" i="4" s="1"/>
  <c r="I41" i="13"/>
  <c r="I50" i="4" s="1"/>
  <c r="H41" i="13"/>
  <c r="H50" i="4" s="1"/>
  <c r="G41" i="13"/>
  <c r="G50" i="4" s="1"/>
  <c r="F41" i="13"/>
  <c r="F50" i="4" s="1"/>
  <c r="E41" i="13"/>
  <c r="E50" i="4" s="1"/>
  <c r="D41" i="13"/>
  <c r="D50" i="4" s="1"/>
  <c r="N40" i="13"/>
  <c r="N49" i="4" s="1"/>
  <c r="M40" i="13"/>
  <c r="M49" i="4" s="1"/>
  <c r="L40" i="13"/>
  <c r="L49" i="4" s="1"/>
  <c r="K40" i="13"/>
  <c r="K49" i="4" s="1"/>
  <c r="J40" i="13"/>
  <c r="J49" i="4" s="1"/>
  <c r="I40" i="13"/>
  <c r="I49" i="4" s="1"/>
  <c r="H40" i="13"/>
  <c r="H49" i="4" s="1"/>
  <c r="G40" i="13"/>
  <c r="G49" i="4" s="1"/>
  <c r="F40" i="13"/>
  <c r="F49" i="4" s="1"/>
  <c r="E40" i="13"/>
  <c r="E49" i="4" s="1"/>
  <c r="D40" i="13"/>
  <c r="D49" i="4" s="1"/>
  <c r="N39" i="13"/>
  <c r="N48" i="4" s="1"/>
  <c r="M39" i="13"/>
  <c r="M48" i="4" s="1"/>
  <c r="L39" i="13"/>
  <c r="L48" i="4" s="1"/>
  <c r="K39" i="13"/>
  <c r="K48" i="4" s="1"/>
  <c r="J39" i="13"/>
  <c r="J48" i="4" s="1"/>
  <c r="I39" i="13"/>
  <c r="I48" i="4" s="1"/>
  <c r="H39" i="13"/>
  <c r="H48" i="4" s="1"/>
  <c r="G39" i="13"/>
  <c r="G48" i="4" s="1"/>
  <c r="F39" i="13"/>
  <c r="F48" i="4" s="1"/>
  <c r="E39" i="13"/>
  <c r="E48" i="4" s="1"/>
  <c r="D39" i="13"/>
  <c r="D48" i="4" s="1"/>
  <c r="N33" i="13"/>
  <c r="M33" i="13"/>
  <c r="L33" i="13"/>
  <c r="K33" i="13"/>
  <c r="J33" i="13"/>
  <c r="I33" i="13"/>
  <c r="H33" i="13"/>
  <c r="G33" i="13"/>
  <c r="F33" i="13"/>
  <c r="E33" i="13"/>
  <c r="D33" i="13"/>
  <c r="N23" i="13"/>
  <c r="M23" i="13"/>
  <c r="L23" i="13"/>
  <c r="K23" i="13"/>
  <c r="J23" i="13"/>
  <c r="I23" i="13"/>
  <c r="H23" i="13"/>
  <c r="G23" i="13"/>
  <c r="F23" i="13"/>
  <c r="E23" i="13"/>
  <c r="D23" i="13"/>
  <c r="N37" i="12"/>
  <c r="M37" i="12"/>
  <c r="L37" i="12"/>
  <c r="K37" i="12"/>
  <c r="J37" i="12"/>
  <c r="I37" i="12"/>
  <c r="H37" i="12"/>
  <c r="G37" i="12"/>
  <c r="F37" i="12"/>
  <c r="E37" i="12"/>
  <c r="D37" i="12"/>
  <c r="N36" i="12"/>
  <c r="N33" i="4" s="1"/>
  <c r="M36" i="12"/>
  <c r="M33" i="4" s="1"/>
  <c r="L36" i="12"/>
  <c r="L33" i="4" s="1"/>
  <c r="K36" i="12"/>
  <c r="K33" i="4" s="1"/>
  <c r="J36" i="12"/>
  <c r="J33" i="4" s="1"/>
  <c r="I36" i="12"/>
  <c r="I33" i="4" s="1"/>
  <c r="H36" i="12"/>
  <c r="H33" i="4" s="1"/>
  <c r="G36" i="12"/>
  <c r="G33" i="4" s="1"/>
  <c r="F36" i="12"/>
  <c r="F33" i="4" s="1"/>
  <c r="E36" i="12"/>
  <c r="E33" i="4" s="1"/>
  <c r="D36" i="12"/>
  <c r="D33" i="4" s="1"/>
  <c r="N34" i="12"/>
  <c r="N31" i="4" s="1"/>
  <c r="M34" i="12"/>
  <c r="M31" i="4" s="1"/>
  <c r="L34" i="12"/>
  <c r="L31" i="4" s="1"/>
  <c r="K34" i="12"/>
  <c r="K31" i="4" s="1"/>
  <c r="J34" i="12"/>
  <c r="J31" i="4" s="1"/>
  <c r="I34" i="12"/>
  <c r="I31" i="4" s="1"/>
  <c r="H34" i="12"/>
  <c r="H31" i="4" s="1"/>
  <c r="G34" i="12"/>
  <c r="G31" i="4" s="1"/>
  <c r="F34" i="12"/>
  <c r="F31" i="4" s="1"/>
  <c r="E34" i="12"/>
  <c r="E31" i="4" s="1"/>
  <c r="D34" i="12"/>
  <c r="D31" i="4" s="1"/>
  <c r="N33" i="12"/>
  <c r="N30" i="4" s="1"/>
  <c r="M33" i="12"/>
  <c r="M30" i="4" s="1"/>
  <c r="L33" i="12"/>
  <c r="L30" i="4" s="1"/>
  <c r="K33" i="12"/>
  <c r="K30" i="4" s="1"/>
  <c r="J33" i="12"/>
  <c r="J30" i="4" s="1"/>
  <c r="I33" i="12"/>
  <c r="I30" i="4" s="1"/>
  <c r="H33" i="12"/>
  <c r="H30" i="4" s="1"/>
  <c r="G33" i="12"/>
  <c r="G30" i="4" s="1"/>
  <c r="F33" i="12"/>
  <c r="F30" i="4" s="1"/>
  <c r="E33" i="12"/>
  <c r="E30" i="4" s="1"/>
  <c r="D33" i="12"/>
  <c r="D30" i="4" s="1"/>
  <c r="N32" i="12"/>
  <c r="N29" i="4" s="1"/>
  <c r="M32" i="12"/>
  <c r="M29" i="4" s="1"/>
  <c r="L32" i="12"/>
  <c r="L29" i="4" s="1"/>
  <c r="K32" i="12"/>
  <c r="K29" i="4" s="1"/>
  <c r="J32" i="12"/>
  <c r="J29" i="4" s="1"/>
  <c r="I32" i="12"/>
  <c r="I29" i="4" s="1"/>
  <c r="H32" i="12"/>
  <c r="H29" i="4" s="1"/>
  <c r="G32" i="12"/>
  <c r="G29" i="4" s="1"/>
  <c r="F32" i="12"/>
  <c r="F29" i="4" s="1"/>
  <c r="E32" i="12"/>
  <c r="E29" i="4" s="1"/>
  <c r="D32" i="12"/>
  <c r="D29" i="4" s="1"/>
  <c r="N31" i="12"/>
  <c r="N28" i="4" s="1"/>
  <c r="M31" i="12"/>
  <c r="M28" i="4" s="1"/>
  <c r="L31" i="12"/>
  <c r="L28" i="4" s="1"/>
  <c r="K31" i="12"/>
  <c r="K28" i="4" s="1"/>
  <c r="J31" i="12"/>
  <c r="J28" i="4" s="1"/>
  <c r="I31" i="12"/>
  <c r="I28" i="4" s="1"/>
  <c r="H31" i="12"/>
  <c r="H28" i="4" s="1"/>
  <c r="G31" i="12"/>
  <c r="G28" i="4" s="1"/>
  <c r="F31" i="12"/>
  <c r="F28" i="4" s="1"/>
  <c r="E31" i="12"/>
  <c r="E28" i="4" s="1"/>
  <c r="D31" i="12"/>
  <c r="D28" i="4" s="1"/>
  <c r="N25" i="12"/>
  <c r="M25" i="12"/>
  <c r="L25" i="12"/>
  <c r="K25" i="12"/>
  <c r="J25" i="12"/>
  <c r="I25" i="12"/>
  <c r="H25" i="12"/>
  <c r="G25" i="12"/>
  <c r="F25" i="12"/>
  <c r="E25" i="12"/>
  <c r="D25" i="12"/>
  <c r="N17" i="12"/>
  <c r="M17" i="12"/>
  <c r="L17" i="12"/>
  <c r="K17" i="12"/>
  <c r="J17" i="12"/>
  <c r="I17" i="12"/>
  <c r="H17" i="12"/>
  <c r="G17" i="12"/>
  <c r="F17" i="12"/>
  <c r="E17" i="12"/>
  <c r="D17" i="12"/>
  <c r="N111" i="11"/>
  <c r="M111" i="11"/>
  <c r="L111" i="11"/>
  <c r="K111" i="11"/>
  <c r="J111" i="11"/>
  <c r="I111" i="11"/>
  <c r="H111" i="11"/>
  <c r="G111" i="11"/>
  <c r="F111" i="11"/>
  <c r="E111" i="11"/>
  <c r="D111" i="11"/>
  <c r="N110" i="11"/>
  <c r="N23" i="4" s="1"/>
  <c r="M110" i="11"/>
  <c r="M23" i="4" s="1"/>
  <c r="L110" i="11"/>
  <c r="L23" i="4" s="1"/>
  <c r="K110" i="11"/>
  <c r="K23" i="4" s="1"/>
  <c r="J110" i="11"/>
  <c r="J23" i="4" s="1"/>
  <c r="I110" i="11"/>
  <c r="I23" i="4" s="1"/>
  <c r="H110" i="11"/>
  <c r="H23" i="4" s="1"/>
  <c r="G110" i="11"/>
  <c r="G23" i="4" s="1"/>
  <c r="F110" i="11"/>
  <c r="F23" i="4" s="1"/>
  <c r="E110" i="11"/>
  <c r="E23" i="4" s="1"/>
  <c r="D110" i="11"/>
  <c r="D23" i="4" s="1"/>
  <c r="N108" i="11"/>
  <c r="N21" i="4" s="1"/>
  <c r="M108" i="11"/>
  <c r="M21" i="4" s="1"/>
  <c r="L108" i="11"/>
  <c r="L21" i="4" s="1"/>
  <c r="K108" i="11"/>
  <c r="K21" i="4" s="1"/>
  <c r="J108" i="11"/>
  <c r="J21" i="4" s="1"/>
  <c r="I108" i="11"/>
  <c r="I21" i="4" s="1"/>
  <c r="H108" i="11"/>
  <c r="H21" i="4" s="1"/>
  <c r="G108" i="11"/>
  <c r="G21" i="4" s="1"/>
  <c r="F108" i="11"/>
  <c r="F21" i="4" s="1"/>
  <c r="E108" i="11"/>
  <c r="E21" i="4" s="1"/>
  <c r="D108" i="11"/>
  <c r="D21" i="4" s="1"/>
  <c r="N107" i="11"/>
  <c r="N20" i="4" s="1"/>
  <c r="M107" i="11"/>
  <c r="M20" i="4" s="1"/>
  <c r="L107" i="11"/>
  <c r="L20" i="4" s="1"/>
  <c r="K107" i="11"/>
  <c r="K20" i="4" s="1"/>
  <c r="J107" i="11"/>
  <c r="J20" i="4" s="1"/>
  <c r="I107" i="11"/>
  <c r="I20" i="4" s="1"/>
  <c r="H107" i="11"/>
  <c r="H20" i="4" s="1"/>
  <c r="G107" i="11"/>
  <c r="G20" i="4" s="1"/>
  <c r="F107" i="11"/>
  <c r="F20" i="4" s="1"/>
  <c r="E107" i="11"/>
  <c r="E20" i="4" s="1"/>
  <c r="D107" i="11"/>
  <c r="D20" i="4" s="1"/>
  <c r="N106" i="11"/>
  <c r="N19" i="4" s="1"/>
  <c r="M106" i="11"/>
  <c r="M19" i="4" s="1"/>
  <c r="L106" i="11"/>
  <c r="L19" i="4" s="1"/>
  <c r="K106" i="11"/>
  <c r="K19" i="4" s="1"/>
  <c r="J106" i="11"/>
  <c r="J19" i="4" s="1"/>
  <c r="I106" i="11"/>
  <c r="I19" i="4" s="1"/>
  <c r="H106" i="11"/>
  <c r="H19" i="4" s="1"/>
  <c r="G106" i="11"/>
  <c r="G19" i="4" s="1"/>
  <c r="F106" i="11"/>
  <c r="F19" i="4" s="1"/>
  <c r="E106" i="11"/>
  <c r="E19" i="4" s="1"/>
  <c r="D106" i="11"/>
  <c r="D19" i="4" s="1"/>
  <c r="N105" i="11"/>
  <c r="N18" i="4" s="1"/>
  <c r="M105" i="11"/>
  <c r="M18" i="4" s="1"/>
  <c r="L105" i="11"/>
  <c r="L18" i="4" s="1"/>
  <c r="K105" i="11"/>
  <c r="K18" i="4" s="1"/>
  <c r="J105" i="11"/>
  <c r="J18" i="4" s="1"/>
  <c r="I105" i="11"/>
  <c r="I18" i="4" s="1"/>
  <c r="H105" i="11"/>
  <c r="H18" i="4" s="1"/>
  <c r="G105" i="11"/>
  <c r="G18" i="4" s="1"/>
  <c r="F105" i="11"/>
  <c r="F18" i="4" s="1"/>
  <c r="E105" i="11"/>
  <c r="E18" i="4" s="1"/>
  <c r="D105" i="11"/>
  <c r="D18" i="4" s="1"/>
  <c r="N96" i="11"/>
  <c r="M96" i="11"/>
  <c r="L96" i="11"/>
  <c r="K96" i="11"/>
  <c r="J96" i="11"/>
  <c r="I96" i="11"/>
  <c r="H96" i="11"/>
  <c r="G96" i="11"/>
  <c r="F96" i="11"/>
  <c r="E96" i="11"/>
  <c r="D96" i="11"/>
  <c r="N63" i="11"/>
  <c r="M63" i="11"/>
  <c r="L63" i="11"/>
  <c r="K63" i="11"/>
  <c r="J63" i="11"/>
  <c r="I63" i="11"/>
  <c r="H63" i="11"/>
  <c r="G63" i="11"/>
  <c r="F63" i="11"/>
  <c r="E63" i="11"/>
  <c r="D63" i="11"/>
  <c r="N45" i="4"/>
  <c r="N116" i="4" s="1"/>
  <c r="M45" i="4"/>
  <c r="M116" i="4" s="1"/>
  <c r="L45" i="4"/>
  <c r="L116" i="4" s="1"/>
  <c r="K45" i="4"/>
  <c r="K116" i="4" s="1"/>
  <c r="J45" i="4"/>
  <c r="J116" i="4" s="1"/>
  <c r="I45" i="4"/>
  <c r="I116" i="4" s="1"/>
  <c r="H45" i="4"/>
  <c r="H116" i="4" s="1"/>
  <c r="G45" i="4"/>
  <c r="G116" i="4" s="1"/>
  <c r="F45" i="4"/>
  <c r="F116" i="4" s="1"/>
  <c r="E45" i="4"/>
  <c r="E116" i="4" s="1"/>
  <c r="D45" i="4"/>
  <c r="D116" i="4" s="1"/>
  <c r="D63" i="10"/>
  <c r="D14" i="4" s="1"/>
  <c r="E63" i="10"/>
  <c r="F63" i="10"/>
  <c r="F14" i="4" s="1"/>
  <c r="G63" i="10"/>
  <c r="G14" i="4" s="1"/>
  <c r="H63" i="10"/>
  <c r="H14" i="4" s="1"/>
  <c r="I63" i="10"/>
  <c r="I14" i="4" s="1"/>
  <c r="J63" i="10"/>
  <c r="J14" i="4" s="1"/>
  <c r="K63" i="10"/>
  <c r="L63" i="10"/>
  <c r="L14" i="4" s="1"/>
  <c r="M63" i="10"/>
  <c r="N63" i="10"/>
  <c r="N14" i="4" s="1"/>
  <c r="N62" i="10"/>
  <c r="N13" i="4" s="1"/>
  <c r="N60" i="10"/>
  <c r="N11" i="4" s="1"/>
  <c r="N59" i="10"/>
  <c r="N10" i="4" s="1"/>
  <c r="N58" i="10"/>
  <c r="N9" i="4" s="1"/>
  <c r="N57" i="10"/>
  <c r="N49" i="10"/>
  <c r="N43" i="10"/>
  <c r="M62" i="10"/>
  <c r="M13" i="4" s="1"/>
  <c r="L62" i="10"/>
  <c r="L13" i="4" s="1"/>
  <c r="K62" i="10"/>
  <c r="K13" i="4" s="1"/>
  <c r="J62" i="10"/>
  <c r="J13" i="4" s="1"/>
  <c r="I62" i="10"/>
  <c r="I13" i="4" s="1"/>
  <c r="H62" i="10"/>
  <c r="H13" i="4" s="1"/>
  <c r="G62" i="10"/>
  <c r="G13" i="4" s="1"/>
  <c r="F62" i="10"/>
  <c r="F13" i="4" s="1"/>
  <c r="E62" i="10"/>
  <c r="E13" i="4" s="1"/>
  <c r="M60" i="10"/>
  <c r="M11" i="4" s="1"/>
  <c r="L60" i="10"/>
  <c r="L11" i="4" s="1"/>
  <c r="K60" i="10"/>
  <c r="K11" i="4" s="1"/>
  <c r="J60" i="10"/>
  <c r="J11" i="4" s="1"/>
  <c r="I60" i="10"/>
  <c r="I11" i="4" s="1"/>
  <c r="H60" i="10"/>
  <c r="H11" i="4" s="1"/>
  <c r="G60" i="10"/>
  <c r="G11" i="4" s="1"/>
  <c r="F60" i="10"/>
  <c r="F11" i="4" s="1"/>
  <c r="E60" i="10"/>
  <c r="E11" i="4" s="1"/>
  <c r="M59" i="10"/>
  <c r="M10" i="4" s="1"/>
  <c r="L59" i="10"/>
  <c r="L10" i="4" s="1"/>
  <c r="K59" i="10"/>
  <c r="K10" i="4" s="1"/>
  <c r="J59" i="10"/>
  <c r="J10" i="4" s="1"/>
  <c r="I59" i="10"/>
  <c r="I10" i="4" s="1"/>
  <c r="H59" i="10"/>
  <c r="H10" i="4" s="1"/>
  <c r="G59" i="10"/>
  <c r="G10" i="4" s="1"/>
  <c r="F59" i="10"/>
  <c r="F10" i="4" s="1"/>
  <c r="E59" i="10"/>
  <c r="E10" i="4" s="1"/>
  <c r="M58" i="10"/>
  <c r="M9" i="4" s="1"/>
  <c r="L58" i="10"/>
  <c r="L9" i="4" s="1"/>
  <c r="K58" i="10"/>
  <c r="K9" i="4" s="1"/>
  <c r="J58" i="10"/>
  <c r="J9" i="4" s="1"/>
  <c r="I58" i="10"/>
  <c r="I9" i="4" s="1"/>
  <c r="H58" i="10"/>
  <c r="H9" i="4" s="1"/>
  <c r="G58" i="10"/>
  <c r="G9" i="4" s="1"/>
  <c r="F58" i="10"/>
  <c r="F9" i="4" s="1"/>
  <c r="E58" i="10"/>
  <c r="E9" i="4" s="1"/>
  <c r="M57" i="10"/>
  <c r="M8" i="4" s="1"/>
  <c r="L57" i="10"/>
  <c r="K57" i="10"/>
  <c r="K8" i="4" s="1"/>
  <c r="J57" i="10"/>
  <c r="J8" i="4" s="1"/>
  <c r="I57" i="10"/>
  <c r="I8" i="4" s="1"/>
  <c r="H57" i="10"/>
  <c r="G57" i="10"/>
  <c r="G8" i="4" s="1"/>
  <c r="F57" i="10"/>
  <c r="E57" i="10"/>
  <c r="E8" i="4" s="1"/>
  <c r="D62" i="10"/>
  <c r="D13" i="4" s="1"/>
  <c r="D60" i="10"/>
  <c r="D11" i="4" s="1"/>
  <c r="D59" i="10"/>
  <c r="D10" i="4" s="1"/>
  <c r="D58" i="10"/>
  <c r="D9" i="4" s="1"/>
  <c r="D57" i="10"/>
  <c r="D8" i="4" s="1"/>
  <c r="M43" i="10"/>
  <c r="L43" i="10"/>
  <c r="K43" i="10"/>
  <c r="J43" i="10"/>
  <c r="I43" i="10"/>
  <c r="H43" i="10"/>
  <c r="G43" i="10"/>
  <c r="F43" i="10"/>
  <c r="E43" i="10"/>
  <c r="D43" i="10"/>
  <c r="M49" i="10"/>
  <c r="L49" i="10"/>
  <c r="K49" i="10"/>
  <c r="J49" i="10"/>
  <c r="I49" i="10"/>
  <c r="H49" i="10"/>
  <c r="G49" i="10"/>
  <c r="F49" i="10"/>
  <c r="E49" i="10"/>
  <c r="D49" i="10"/>
  <c r="F111" i="4" l="1"/>
  <c r="F112" i="4" s="1"/>
  <c r="G111" i="4"/>
  <c r="G112" i="4" s="1"/>
  <c r="D111" i="4"/>
  <c r="L111" i="4"/>
  <c r="K111" i="4"/>
  <c r="E111" i="4"/>
  <c r="M111" i="4"/>
  <c r="J111" i="4"/>
  <c r="H111" i="4"/>
  <c r="I111" i="4"/>
  <c r="N111" i="4"/>
  <c r="E59" i="4"/>
  <c r="E90" i="4" s="1"/>
  <c r="F51" i="10"/>
  <c r="E51" i="10"/>
  <c r="G51" i="10"/>
  <c r="F64" i="10"/>
  <c r="F72" i="10" s="1"/>
  <c r="F104" i="4" s="1"/>
  <c r="H64" i="10"/>
  <c r="H72" i="10" s="1"/>
  <c r="H104" i="4" s="1"/>
  <c r="F92" i="4"/>
  <c r="J35" i="13"/>
  <c r="G27" i="12"/>
  <c r="L64" i="10"/>
  <c r="L72" i="10" s="1"/>
  <c r="L104" i="4" s="1"/>
  <c r="N64" i="10"/>
  <c r="N72" i="10" s="1"/>
  <c r="N104" i="4" s="1"/>
  <c r="J98" i="11"/>
  <c r="J103" i="11" s="1"/>
  <c r="I92" i="4"/>
  <c r="G25" i="4"/>
  <c r="N25" i="4"/>
  <c r="H25" i="4"/>
  <c r="D25" i="4"/>
  <c r="L25" i="4"/>
  <c r="I25" i="4"/>
  <c r="J25" i="4"/>
  <c r="J26" i="4" s="1"/>
  <c r="K25" i="4"/>
  <c r="F25" i="4"/>
  <c r="E25" i="4"/>
  <c r="M25" i="4"/>
  <c r="J27" i="12"/>
  <c r="I27" i="12"/>
  <c r="L91" i="4"/>
  <c r="G90" i="4"/>
  <c r="N94" i="4"/>
  <c r="D92" i="4"/>
  <c r="N90" i="4"/>
  <c r="H92" i="4"/>
  <c r="D91" i="4"/>
  <c r="J89" i="4"/>
  <c r="I90" i="4"/>
  <c r="N91" i="4"/>
  <c r="K94" i="4"/>
  <c r="G91" i="4"/>
  <c r="G92" i="4"/>
  <c r="F94" i="4"/>
  <c r="L92" i="4"/>
  <c r="M91" i="4"/>
  <c r="K91" i="4"/>
  <c r="K92" i="4"/>
  <c r="M90" i="4"/>
  <c r="K89" i="4"/>
  <c r="D94" i="4"/>
  <c r="J91" i="4"/>
  <c r="F90" i="4"/>
  <c r="N92" i="4"/>
  <c r="J94" i="4"/>
  <c r="M92" i="4"/>
  <c r="H91" i="4"/>
  <c r="K90" i="4"/>
  <c r="D89" i="4"/>
  <c r="D90" i="4"/>
  <c r="M89" i="4"/>
  <c r="M94" i="4"/>
  <c r="L90" i="4"/>
  <c r="L94" i="4"/>
  <c r="J92" i="4"/>
  <c r="J90" i="4"/>
  <c r="I94" i="4"/>
  <c r="I89" i="4"/>
  <c r="I91" i="4"/>
  <c r="H90" i="4"/>
  <c r="H94" i="4"/>
  <c r="G94" i="4"/>
  <c r="G89" i="4"/>
  <c r="F91" i="4"/>
  <c r="L8" i="4"/>
  <c r="L89" i="4" s="1"/>
  <c r="K64" i="10"/>
  <c r="K72" i="10" s="1"/>
  <c r="K104" i="4" s="1"/>
  <c r="E92" i="4"/>
  <c r="J38" i="7"/>
  <c r="J64" i="10"/>
  <c r="J72" i="10" s="1"/>
  <c r="J104" i="4" s="1"/>
  <c r="E64" i="10"/>
  <c r="E72" i="10" s="1"/>
  <c r="E104" i="4" s="1"/>
  <c r="H51" i="10"/>
  <c r="F8" i="4"/>
  <c r="F89" i="4" s="1"/>
  <c r="N8" i="4"/>
  <c r="N89" i="4" s="1"/>
  <c r="D64" i="10"/>
  <c r="D72" i="10" s="1"/>
  <c r="D104" i="4" s="1"/>
  <c r="K98" i="11"/>
  <c r="K103" i="11" s="1"/>
  <c r="I64" i="10"/>
  <c r="I72" i="10" s="1"/>
  <c r="I104" i="4" s="1"/>
  <c r="K14" i="4"/>
  <c r="E94" i="4"/>
  <c r="H8" i="4"/>
  <c r="H89" i="4" s="1"/>
  <c r="H27" i="12"/>
  <c r="M64" i="10"/>
  <c r="M72" i="10" s="1"/>
  <c r="M104" i="4" s="1"/>
  <c r="E14" i="4"/>
  <c r="M14" i="4"/>
  <c r="E91" i="4"/>
  <c r="I51" i="10"/>
  <c r="D51" i="10"/>
  <c r="J51" i="10"/>
  <c r="G64" i="10"/>
  <c r="E89" i="4"/>
  <c r="I98" i="11"/>
  <c r="I103" i="11" s="1"/>
  <c r="G112" i="11"/>
  <c r="G119" i="11" s="1"/>
  <c r="E98" i="11"/>
  <c r="E103" i="11" s="1"/>
  <c r="M98" i="11"/>
  <c r="M103" i="11" s="1"/>
  <c r="D98" i="11"/>
  <c r="D103" i="11" s="1"/>
  <c r="L98" i="11"/>
  <c r="L103" i="11" s="1"/>
  <c r="J112" i="11"/>
  <c r="J119" i="11" s="1"/>
  <c r="E112" i="11"/>
  <c r="E119" i="11" s="1"/>
  <c r="M112" i="11"/>
  <c r="M119" i="11" s="1"/>
  <c r="F35" i="4"/>
  <c r="F117" i="4" s="1"/>
  <c r="J35" i="4"/>
  <c r="J117" i="4" s="1"/>
  <c r="N35" i="4"/>
  <c r="H35" i="4"/>
  <c r="H117" i="4" s="1"/>
  <c r="I35" i="4"/>
  <c r="M35" i="4"/>
  <c r="F65" i="4"/>
  <c r="F119" i="4" s="1"/>
  <c r="J65" i="4"/>
  <c r="N65" i="4"/>
  <c r="L35" i="4"/>
  <c r="L117" i="4" s="1"/>
  <c r="K65" i="4"/>
  <c r="K119" i="4" s="1"/>
  <c r="H65" i="4"/>
  <c r="H119" i="4" s="1"/>
  <c r="L65" i="4"/>
  <c r="L119" i="4" s="1"/>
  <c r="I65" i="4"/>
  <c r="M65" i="4"/>
  <c r="M119" i="4" s="1"/>
  <c r="G65" i="4"/>
  <c r="D65" i="4"/>
  <c r="D119" i="4" s="1"/>
  <c r="G35" i="4"/>
  <c r="K35" i="4"/>
  <c r="D35" i="4"/>
  <c r="D117" i="4" s="1"/>
  <c r="E35" i="4"/>
  <c r="E117" i="4" s="1"/>
  <c r="F53" i="14"/>
  <c r="L64" i="14"/>
  <c r="L76" i="14" s="1"/>
  <c r="L53" i="14"/>
  <c r="N53" i="14"/>
  <c r="H64" i="14"/>
  <c r="H76" i="14" s="1"/>
  <c r="I53" i="14"/>
  <c r="F64" i="14"/>
  <c r="F76" i="14" s="1"/>
  <c r="N64" i="14"/>
  <c r="N76" i="14" s="1"/>
  <c r="J55" i="4"/>
  <c r="D55" i="4"/>
  <c r="D118" i="4" s="1"/>
  <c r="H55" i="4"/>
  <c r="L55" i="4"/>
  <c r="I55" i="4"/>
  <c r="I118" i="4" s="1"/>
  <c r="M55" i="4"/>
  <c r="N55" i="4"/>
  <c r="N118" i="4" s="1"/>
  <c r="F55" i="4"/>
  <c r="F118" i="4" s="1"/>
  <c r="G55" i="4"/>
  <c r="G118" i="4" s="1"/>
  <c r="K55" i="4"/>
  <c r="K118" i="4" s="1"/>
  <c r="E55" i="4"/>
  <c r="E35" i="13"/>
  <c r="M35" i="13"/>
  <c r="D35" i="13"/>
  <c r="H35" i="13"/>
  <c r="L35" i="13"/>
  <c r="K46" i="13"/>
  <c r="K53" i="13" s="1"/>
  <c r="I35" i="13"/>
  <c r="G35" i="13"/>
  <c r="E46" i="13"/>
  <c r="M46" i="13"/>
  <c r="J38" i="12"/>
  <c r="J52" i="12" s="1"/>
  <c r="G38" i="12"/>
  <c r="K27" i="12"/>
  <c r="H38" i="12"/>
  <c r="K38" i="12"/>
  <c r="K52" i="12" s="1"/>
  <c r="D27" i="12"/>
  <c r="L27" i="12"/>
  <c r="E38" i="12"/>
  <c r="E52" i="12" s="1"/>
  <c r="M38" i="12"/>
  <c r="M52" i="12" s="1"/>
  <c r="K38" i="7"/>
  <c r="G98" i="11"/>
  <c r="G103" i="11" s="1"/>
  <c r="H98" i="11"/>
  <c r="H103" i="11" s="1"/>
  <c r="F112" i="11"/>
  <c r="F119" i="11" s="1"/>
  <c r="N112" i="11"/>
  <c r="N119" i="11" s="1"/>
  <c r="H112" i="11"/>
  <c r="H119" i="11" s="1"/>
  <c r="F98" i="11"/>
  <c r="F103" i="11" s="1"/>
  <c r="N98" i="11"/>
  <c r="N103" i="11" s="1"/>
  <c r="I112" i="11"/>
  <c r="I119" i="11" s="1"/>
  <c r="K112" i="11"/>
  <c r="D112" i="11"/>
  <c r="D119" i="11" s="1"/>
  <c r="L112" i="11"/>
  <c r="L119" i="11" s="1"/>
  <c r="F38" i="12"/>
  <c r="F52" i="12" s="1"/>
  <c r="N38" i="12"/>
  <c r="N52" i="12" s="1"/>
  <c r="E27" i="12"/>
  <c r="M27" i="12"/>
  <c r="F27" i="12"/>
  <c r="N27" i="12"/>
  <c r="I38" i="12"/>
  <c r="D38" i="12"/>
  <c r="D52" i="12" s="1"/>
  <c r="L38" i="12"/>
  <c r="L52" i="12" s="1"/>
  <c r="K35" i="13"/>
  <c r="F46" i="13"/>
  <c r="F53" i="13" s="1"/>
  <c r="N46" i="13"/>
  <c r="N53" i="13" s="1"/>
  <c r="H46" i="13"/>
  <c r="H53" i="13" s="1"/>
  <c r="G46" i="13"/>
  <c r="G53" i="13" s="1"/>
  <c r="F35" i="13"/>
  <c r="N35" i="13"/>
  <c r="I46" i="13"/>
  <c r="J46" i="13"/>
  <c r="D46" i="13"/>
  <c r="D53" i="13" s="1"/>
  <c r="L46" i="13"/>
  <c r="L53" i="13" s="1"/>
  <c r="H53" i="14"/>
  <c r="J53" i="14"/>
  <c r="E53" i="14"/>
  <c r="M53" i="14"/>
  <c r="I64" i="14"/>
  <c r="I76" i="14" s="1"/>
  <c r="J64" i="14"/>
  <c r="J76" i="14" s="1"/>
  <c r="G53" i="14"/>
  <c r="O53" i="14"/>
  <c r="K64" i="14"/>
  <c r="K76" i="14" s="1"/>
  <c r="E64" i="14"/>
  <c r="E76" i="14" s="1"/>
  <c r="M64" i="14"/>
  <c r="M76" i="14" s="1"/>
  <c r="K53" i="14"/>
  <c r="G64" i="14"/>
  <c r="G76" i="14" s="1"/>
  <c r="O64" i="14"/>
  <c r="O76" i="14" s="1"/>
  <c r="H38" i="7"/>
  <c r="I38" i="7"/>
  <c r="L38" i="7"/>
  <c r="N38" i="7"/>
  <c r="E38" i="7"/>
  <c r="O38" i="7"/>
  <c r="F38" i="7"/>
  <c r="P38" i="7"/>
  <c r="D38" i="7"/>
  <c r="I15" i="4"/>
  <c r="G15" i="4"/>
  <c r="D15" i="4"/>
  <c r="J15" i="4"/>
  <c r="N51" i="10"/>
  <c r="K51" i="10"/>
  <c r="L51" i="10"/>
  <c r="M51" i="10"/>
  <c r="D16" i="4" l="1"/>
  <c r="J16" i="4"/>
  <c r="M107" i="4"/>
  <c r="L107" i="4"/>
  <c r="I107" i="4"/>
  <c r="N107" i="4"/>
  <c r="K107" i="4"/>
  <c r="J107" i="4"/>
  <c r="F103" i="4"/>
  <c r="D103" i="4"/>
  <c r="L103" i="4"/>
  <c r="N103" i="4"/>
  <c r="M56" i="4"/>
  <c r="M118" i="4"/>
  <c r="K36" i="4"/>
  <c r="K117" i="4"/>
  <c r="N36" i="4"/>
  <c r="N117" i="4"/>
  <c r="J56" i="4"/>
  <c r="J118" i="4"/>
  <c r="G36" i="4"/>
  <c r="G117" i="4"/>
  <c r="I66" i="4"/>
  <c r="I119" i="4"/>
  <c r="M36" i="4"/>
  <c r="M117" i="4"/>
  <c r="E56" i="4"/>
  <c r="E118" i="4"/>
  <c r="H56" i="4"/>
  <c r="H118" i="4"/>
  <c r="G66" i="4"/>
  <c r="G119" i="4"/>
  <c r="J66" i="4"/>
  <c r="J119" i="4"/>
  <c r="L56" i="4"/>
  <c r="L118" i="4"/>
  <c r="N66" i="4"/>
  <c r="N119" i="4"/>
  <c r="I36" i="4"/>
  <c r="I117" i="4"/>
  <c r="F26" i="4"/>
  <c r="G26" i="4"/>
  <c r="G16" i="4"/>
  <c r="I16" i="4"/>
  <c r="M26" i="4"/>
  <c r="H26" i="4"/>
  <c r="K113" i="11"/>
  <c r="K119" i="11"/>
  <c r="K103" i="4" s="1"/>
  <c r="K56" i="4"/>
  <c r="D56" i="4"/>
  <c r="M66" i="4"/>
  <c r="F66" i="4"/>
  <c r="E26" i="4"/>
  <c r="N26" i="4"/>
  <c r="H39" i="12"/>
  <c r="H52" i="12"/>
  <c r="H103" i="4" s="1"/>
  <c r="F56" i="4"/>
  <c r="E36" i="4"/>
  <c r="L66" i="4"/>
  <c r="K26" i="4"/>
  <c r="I39" i="12"/>
  <c r="I52" i="12"/>
  <c r="G56" i="4"/>
  <c r="G39" i="12"/>
  <c r="G52" i="12"/>
  <c r="G103" i="4" s="1"/>
  <c r="N56" i="4"/>
  <c r="D36" i="4"/>
  <c r="H66" i="4"/>
  <c r="H36" i="4"/>
  <c r="J47" i="13"/>
  <c r="J53" i="13"/>
  <c r="J103" i="4" s="1"/>
  <c r="K66" i="4"/>
  <c r="I26" i="4"/>
  <c r="I47" i="13"/>
  <c r="I53" i="13"/>
  <c r="M47" i="13"/>
  <c r="M53" i="13"/>
  <c r="M103" i="4" s="1"/>
  <c r="I56" i="4"/>
  <c r="L36" i="4"/>
  <c r="J36" i="4"/>
  <c r="L26" i="4"/>
  <c r="E47" i="13"/>
  <c r="E53" i="13"/>
  <c r="E103" i="4" s="1"/>
  <c r="D66" i="4"/>
  <c r="F36" i="4"/>
  <c r="D26" i="4"/>
  <c r="G65" i="10"/>
  <c r="G72" i="10"/>
  <c r="G104" i="4" s="1"/>
  <c r="E65" i="4"/>
  <c r="J113" i="11"/>
  <c r="E65" i="10"/>
  <c r="F65" i="10"/>
  <c r="G47" i="13"/>
  <c r="D65" i="10"/>
  <c r="I65" i="10"/>
  <c r="L65" i="10"/>
  <c r="H65" i="10"/>
  <c r="N15" i="4"/>
  <c r="N16" i="4" s="1"/>
  <c r="E15" i="4"/>
  <c r="E16" i="4" s="1"/>
  <c r="L15" i="4"/>
  <c r="L16" i="4" s="1"/>
  <c r="K15" i="4"/>
  <c r="K16" i="4" s="1"/>
  <c r="M15" i="4"/>
  <c r="M16" i="4" s="1"/>
  <c r="J65" i="10"/>
  <c r="M65" i="10"/>
  <c r="H15" i="4"/>
  <c r="H16" i="4" s="1"/>
  <c r="L113" i="11"/>
  <c r="F15" i="4"/>
  <c r="F16" i="4" s="1"/>
  <c r="I125" i="4"/>
  <c r="M113" i="11"/>
  <c r="J39" i="12"/>
  <c r="D125" i="4"/>
  <c r="H125" i="4"/>
  <c r="K125" i="4"/>
  <c r="J65" i="14"/>
  <c r="L125" i="4"/>
  <c r="M125" i="4"/>
  <c r="E125" i="4"/>
  <c r="N65" i="14"/>
  <c r="I65" i="14"/>
  <c r="N113" i="11"/>
  <c r="E113" i="11"/>
  <c r="I113" i="11"/>
  <c r="G113" i="11"/>
  <c r="D113" i="11"/>
  <c r="F113" i="11"/>
  <c r="J125" i="4"/>
  <c r="E39" i="12"/>
  <c r="K65" i="14"/>
  <c r="H65" i="14"/>
  <c r="F65" i="14"/>
  <c r="L65" i="14"/>
  <c r="G65" i="14"/>
  <c r="L47" i="13"/>
  <c r="H47" i="13"/>
  <c r="G125" i="4"/>
  <c r="F125" i="4"/>
  <c r="N125" i="4"/>
  <c r="K47" i="13"/>
  <c r="D47" i="13"/>
  <c r="F47" i="13"/>
  <c r="N47" i="13"/>
  <c r="M39" i="12"/>
  <c r="K39" i="12"/>
  <c r="L39" i="12"/>
  <c r="D39" i="12"/>
  <c r="N39" i="12"/>
  <c r="H113" i="11"/>
  <c r="F39" i="12"/>
  <c r="M65" i="14"/>
  <c r="E65" i="14"/>
  <c r="O65" i="14"/>
  <c r="N65" i="10"/>
  <c r="K65" i="10"/>
  <c r="J108" i="4" l="1"/>
  <c r="N108" i="4"/>
  <c r="K108" i="4"/>
  <c r="I103" i="4"/>
  <c r="I108" i="4" s="1"/>
  <c r="M108" i="4"/>
  <c r="D107" i="4"/>
  <c r="D108" i="4" s="1"/>
  <c r="D84" i="4"/>
  <c r="L108" i="4"/>
  <c r="G107" i="4"/>
  <c r="G84" i="4"/>
  <c r="H107" i="4"/>
  <c r="H108" i="4" s="1"/>
  <c r="H84" i="4"/>
  <c r="E107" i="4"/>
  <c r="E108" i="4" s="1"/>
  <c r="E84" i="4"/>
  <c r="F107" i="4"/>
  <c r="F108" i="4" s="1"/>
  <c r="F84" i="4"/>
  <c r="G108" i="4"/>
  <c r="I84" i="4"/>
  <c r="J84" i="4"/>
  <c r="L84" i="4"/>
  <c r="K84" i="4"/>
  <c r="M84" i="4"/>
  <c r="N84" i="4"/>
  <c r="E66" i="4"/>
  <c r="E119" i="4"/>
  <c r="I127" i="4"/>
  <c r="I126" i="4"/>
  <c r="N126" i="4"/>
  <c r="N127" i="4"/>
  <c r="L127" i="4"/>
  <c r="L126" i="4"/>
  <c r="D126" i="4"/>
  <c r="D127" i="4"/>
  <c r="G126" i="4"/>
  <c r="G127" i="4"/>
  <c r="J126" i="4"/>
  <c r="J127" i="4"/>
  <c r="F126" i="4"/>
  <c r="F127" i="4"/>
  <c r="E127" i="4"/>
  <c r="E126" i="4"/>
  <c r="K126" i="4"/>
  <c r="K127" i="4"/>
  <c r="M127" i="4"/>
  <c r="M126" i="4"/>
  <c r="H127" i="4"/>
  <c r="H126" i="4"/>
  <c r="E85" i="4" l="1"/>
  <c r="E95" i="4"/>
  <c r="E96" i="4" s="1"/>
  <c r="H85" i="4"/>
  <c r="H95" i="4"/>
  <c r="H96" i="4" s="1"/>
  <c r="F85" i="4"/>
  <c r="F95" i="4"/>
  <c r="F96" i="4" s="1"/>
  <c r="D85" i="4"/>
  <c r="D95" i="4"/>
  <c r="D96" i="4" s="1"/>
  <c r="G85" i="4"/>
  <c r="G95" i="4"/>
  <c r="G96" i="4" s="1"/>
  <c r="K85" i="4"/>
  <c r="K95" i="4"/>
  <c r="K96" i="4" s="1"/>
  <c r="L85" i="4"/>
  <c r="L95" i="4"/>
  <c r="L96" i="4" s="1"/>
  <c r="N85" i="4"/>
  <c r="N95" i="4"/>
  <c r="N96" i="4" s="1"/>
  <c r="J85" i="4"/>
  <c r="J95" i="4"/>
  <c r="J96" i="4" s="1"/>
  <c r="M85" i="4"/>
  <c r="M95" i="4"/>
  <c r="M96" i="4" s="1"/>
  <c r="I85" i="4"/>
  <c r="I95" i="4"/>
  <c r="I96" i="4" s="1"/>
  <c r="I97" i="4" l="1"/>
  <c r="M97" i="4"/>
  <c r="N97" i="4"/>
  <c r="K97" i="4"/>
  <c r="D97" i="4"/>
  <c r="L97" i="4"/>
  <c r="F120" i="4"/>
  <c r="F121" i="4" s="1"/>
  <c r="F122" i="4" s="1"/>
  <c r="F86" i="4"/>
  <c r="H97" i="4"/>
  <c r="G254" i="2"/>
  <c r="J194" i="1"/>
  <c r="H120" i="4"/>
  <c r="H121" i="4" s="1"/>
  <c r="H122" i="4" s="1"/>
  <c r="H86" i="4"/>
  <c r="G97" i="4"/>
  <c r="I194" i="1"/>
  <c r="G200" i="2"/>
  <c r="G109" i="4"/>
  <c r="G120" i="4"/>
  <c r="G121" i="4" s="1"/>
  <c r="G122" i="4" s="1"/>
  <c r="G86" i="4"/>
  <c r="E97" i="4"/>
  <c r="E109" i="4"/>
  <c r="G194" i="1"/>
  <c r="G81" i="2"/>
  <c r="E120" i="4"/>
  <c r="E121" i="4" s="1"/>
  <c r="E122" i="4" s="1"/>
  <c r="E86" i="4"/>
  <c r="D120" i="4"/>
  <c r="D121" i="4" s="1"/>
  <c r="D122" i="4" s="1"/>
  <c r="D86" i="4"/>
  <c r="H109" i="4"/>
  <c r="F109" i="4"/>
  <c r="H194" i="1"/>
  <c r="G142" i="2"/>
  <c r="F97" i="4"/>
  <c r="D109" i="4"/>
  <c r="N86" i="4"/>
  <c r="N120" i="4"/>
  <c r="N121" i="4" s="1"/>
  <c r="N122" i="4" s="1"/>
  <c r="L86" i="4"/>
  <c r="L120" i="4"/>
  <c r="L121" i="4" s="1"/>
  <c r="L122" i="4" s="1"/>
  <c r="I86" i="4"/>
  <c r="I120" i="4"/>
  <c r="I121" i="4" s="1"/>
  <c r="I122" i="4" s="1"/>
  <c r="M86" i="4"/>
  <c r="M120" i="4"/>
  <c r="M121" i="4" s="1"/>
  <c r="M122" i="4" s="1"/>
  <c r="K86" i="4"/>
  <c r="K120" i="4"/>
  <c r="K121" i="4" s="1"/>
  <c r="K122" i="4" s="1"/>
  <c r="J86" i="4"/>
  <c r="J120" i="4"/>
  <c r="J121" i="4" s="1"/>
  <c r="J122" i="4" s="1"/>
  <c r="J97" i="4"/>
  <c r="L109" i="4"/>
  <c r="K194" i="1"/>
  <c r="I109" i="4"/>
  <c r="G300" i="2"/>
  <c r="N109" i="4"/>
  <c r="K109" i="4"/>
  <c r="M109" i="4"/>
  <c r="J109" i="4"/>
  <c r="O370" i="5"/>
  <c r="N78" i="21" s="1"/>
  <c r="P370" i="5"/>
  <c r="O388" i="5"/>
  <c r="O391" i="5" s="1"/>
  <c r="O367" i="5"/>
  <c r="O378" i="5"/>
  <c r="L78" i="21" l="1"/>
  <c r="P78" i="21"/>
  <c r="R78" i="21"/>
  <c r="T78" i="21"/>
  <c r="R132" i="20"/>
  <c r="T132" i="20"/>
  <c r="P132" i="20"/>
  <c r="T139" i="20"/>
  <c r="P139" i="20"/>
  <c r="R139" i="20"/>
  <c r="O392" i="5"/>
  <c r="O379" i="5"/>
  <c r="O380" i="5" s="1"/>
  <c r="O381" i="5" l="1"/>
  <c r="P378" i="5"/>
  <c r="P379" i="5" s="1"/>
  <c r="P367" i="5"/>
  <c r="P388" i="5"/>
  <c r="P391" i="5" s="1"/>
  <c r="P381" i="5" l="1"/>
  <c r="P380" i="5"/>
  <c r="P392" i="5"/>
  <c r="K35" i="18"/>
  <c r="K101" i="18"/>
  <c r="A3" i="25"/>
</calcChain>
</file>

<file path=xl/comments1.xml><?xml version="1.0" encoding="utf-8"?>
<comments xmlns="http://schemas.openxmlformats.org/spreadsheetml/2006/main">
  <authors>
    <author>Delaney</author>
    <author>Kevin Delaney</author>
  </authors>
  <commentList>
    <comment ref="L41" authorId="0">
      <text>
        <r>
          <rPr>
            <b/>
            <sz val="9"/>
            <color indexed="81"/>
            <rFont val="Tahoma"/>
            <family val="2"/>
          </rPr>
          <t>Delaney:</t>
        </r>
        <r>
          <rPr>
            <sz val="9"/>
            <color indexed="81"/>
            <rFont val="Tahoma"/>
            <family val="2"/>
          </rPr>
          <t xml:space="preserve">
Used FY19 operating surplus  to:
add $30K for higher than budgeted car &amp; equipment costs
add $80K for the purchase of two more vehicles</t>
        </r>
      </text>
    </comment>
    <comment ref="L98" authorId="1">
      <text>
        <r>
          <rPr>
            <b/>
            <sz val="9"/>
            <color indexed="81"/>
            <rFont val="Tahoma"/>
            <family val="2"/>
          </rPr>
          <t>Kevin Delaney:</t>
        </r>
        <r>
          <rPr>
            <sz val="9"/>
            <color indexed="81"/>
            <rFont val="Tahoma"/>
            <family val="2"/>
          </rPr>
          <t xml:space="preserve">
includes $28k for concrete sidewalks</t>
        </r>
      </text>
    </comment>
    <comment ref="M98" authorId="1">
      <text>
        <r>
          <rPr>
            <b/>
            <sz val="9"/>
            <color indexed="81"/>
            <rFont val="Tahoma"/>
            <family val="2"/>
          </rPr>
          <t>Kevin Delaney:</t>
        </r>
        <r>
          <rPr>
            <sz val="9"/>
            <color indexed="81"/>
            <rFont val="Tahoma"/>
            <family val="2"/>
          </rPr>
          <t xml:space="preserve">
includes $28k for concrete sidewalks</t>
        </r>
      </text>
    </comment>
    <comment ref="L151" authorId="0">
      <text>
        <r>
          <rPr>
            <b/>
            <sz val="9"/>
            <color indexed="81"/>
            <rFont val="Tahoma"/>
            <family val="2"/>
          </rPr>
          <t>Delaney:</t>
        </r>
        <r>
          <rPr>
            <sz val="9"/>
            <color indexed="81"/>
            <rFont val="Tahoma"/>
            <family val="2"/>
          </rPr>
          <t xml:space="preserve">
funded $25K cut from Fy20 budget with FY19 surplus operating funds</t>
        </r>
      </text>
    </comment>
    <comment ref="L208" authorId="0">
      <text>
        <r>
          <rPr>
            <b/>
            <sz val="9"/>
            <color indexed="81"/>
            <rFont val="Tahoma"/>
            <family val="2"/>
          </rPr>
          <t>Delaney:</t>
        </r>
        <r>
          <rPr>
            <sz val="9"/>
            <color indexed="81"/>
            <rFont val="Tahoma"/>
            <family val="2"/>
          </rPr>
          <t xml:space="preserve">
funded with FY19 surplus operating funds</t>
        </r>
      </text>
    </comment>
    <comment ref="L228" authorId="1">
      <text>
        <r>
          <rPr>
            <b/>
            <sz val="9"/>
            <color indexed="81"/>
            <rFont val="Tahoma"/>
            <family val="2"/>
          </rPr>
          <t>Kevin Delaney:</t>
        </r>
        <r>
          <rPr>
            <sz val="9"/>
            <color indexed="81"/>
            <rFont val="Tahoma"/>
            <family val="2"/>
          </rPr>
          <t xml:space="preserve">
incorporate into Wilcox Ave paving projects</t>
        </r>
      </text>
    </comment>
    <comment ref="M239" authorId="1">
      <text>
        <r>
          <rPr>
            <sz val="9"/>
            <color indexed="81"/>
            <rFont val="Tahoma"/>
            <family val="2"/>
          </rPr>
          <t>Per TM, only replace lights</t>
        </r>
      </text>
    </comment>
    <comment ref="R239" authorId="1">
      <text>
        <r>
          <rPr>
            <sz val="9"/>
            <color indexed="81"/>
            <rFont val="Tahoma"/>
            <family val="2"/>
          </rPr>
          <t>Per TM, only replace lights</t>
        </r>
      </text>
    </comment>
    <comment ref="L271" authorId="0">
      <text>
        <r>
          <rPr>
            <b/>
            <sz val="9"/>
            <color indexed="81"/>
            <rFont val="Tahoma"/>
            <family val="2"/>
          </rPr>
          <t>Delaney:</t>
        </r>
        <r>
          <rPr>
            <sz val="9"/>
            <color indexed="81"/>
            <rFont val="Tahoma"/>
            <family val="2"/>
          </rPr>
          <t xml:space="preserve">
Funded with:$15K FY19 operating surplus
+ $10K Youth Svcs summer program $
+$10K UpBeat
+2.6K TimberCup funds</t>
        </r>
      </text>
    </comment>
    <comment ref="L313" authorId="0">
      <text>
        <r>
          <rPr>
            <b/>
            <sz val="9"/>
            <color indexed="81"/>
            <rFont val="Tahoma"/>
            <family val="2"/>
          </rPr>
          <t>Delaney:</t>
        </r>
        <r>
          <rPr>
            <sz val="9"/>
            <color indexed="81"/>
            <rFont val="Tahoma"/>
            <family val="2"/>
          </rPr>
          <t xml:space="preserve">
Used site &amp; bldg money budgeted for McGee work - McGee work (aud carpeting &amp; wiring closet clean up) were funded by BOE with excedd FY18 funds</t>
        </r>
      </text>
    </comment>
    <comment ref="M313" authorId="0">
      <text>
        <r>
          <rPr>
            <b/>
            <sz val="9"/>
            <color indexed="81"/>
            <rFont val="Tahoma"/>
            <family val="2"/>
          </rPr>
          <t>Delaney:</t>
        </r>
        <r>
          <rPr>
            <sz val="9"/>
            <color indexed="81"/>
            <rFont val="Tahoma"/>
            <family val="2"/>
          </rPr>
          <t xml:space="preserve">
funded with school security transfer in FY20 budget</t>
        </r>
      </text>
    </comment>
    <comment ref="L317" authorId="0">
      <text>
        <r>
          <rPr>
            <b/>
            <sz val="9"/>
            <color indexed="81"/>
            <rFont val="Tahoma"/>
            <family val="2"/>
          </rPr>
          <t>Delaney:</t>
        </r>
        <r>
          <rPr>
            <sz val="9"/>
            <color indexed="81"/>
            <rFont val="Tahoma"/>
            <family val="2"/>
          </rPr>
          <t xml:space="preserve">
funded with BOE suplus FY18 funds </t>
        </r>
      </text>
    </comment>
    <comment ref="L318" authorId="0">
      <text>
        <r>
          <rPr>
            <b/>
            <sz val="9"/>
            <color indexed="81"/>
            <rFont val="Tahoma"/>
            <family val="2"/>
          </rPr>
          <t>Delaney:</t>
        </r>
        <r>
          <rPr>
            <sz val="9"/>
            <color indexed="81"/>
            <rFont val="Tahoma"/>
            <family val="2"/>
          </rPr>
          <t xml:space="preserve">
BOE paying for using excess FY19 operating funds</t>
        </r>
      </text>
    </comment>
  </commentList>
</comments>
</file>

<file path=xl/comments2.xml><?xml version="1.0" encoding="utf-8"?>
<comments xmlns="http://schemas.openxmlformats.org/spreadsheetml/2006/main">
  <authors>
    <author>Kevin Delaney</author>
  </authors>
  <commentList>
    <comment ref="I51" authorId="0">
      <text>
        <r>
          <rPr>
            <b/>
            <sz val="9"/>
            <color indexed="81"/>
            <rFont val="Tahoma"/>
            <family val="2"/>
          </rPr>
          <t>Kevin Delaney:</t>
        </r>
        <r>
          <rPr>
            <sz val="9"/>
            <color indexed="81"/>
            <rFont val="Tahoma"/>
            <family val="2"/>
          </rPr>
          <t xml:space="preserve">
IT 5-yr plan submission plus $20k for Vision software in Assessors Office</t>
        </r>
      </text>
    </comment>
  </commentList>
</comments>
</file>

<file path=xl/comments3.xml><?xml version="1.0" encoding="utf-8"?>
<comments xmlns="http://schemas.openxmlformats.org/spreadsheetml/2006/main">
  <authors>
    <author>Kevin Delaney</author>
  </authors>
  <commentList>
    <comment ref="E13" authorId="0">
      <text>
        <r>
          <rPr>
            <b/>
            <sz val="9"/>
            <color indexed="81"/>
            <rFont val="Tahoma"/>
            <family val="2"/>
          </rPr>
          <t>Kevin Delaney:</t>
        </r>
        <r>
          <rPr>
            <sz val="9"/>
            <color indexed="81"/>
            <rFont val="Tahoma"/>
            <family val="2"/>
          </rPr>
          <t xml:space="preserve">
includes $28k for concrete sidewalks</t>
        </r>
      </text>
    </comment>
    <comment ref="E14" authorId="0">
      <text>
        <r>
          <rPr>
            <b/>
            <sz val="9"/>
            <color indexed="81"/>
            <rFont val="Tahoma"/>
            <family val="2"/>
          </rPr>
          <t>Kevin Delaney:</t>
        </r>
        <r>
          <rPr>
            <sz val="9"/>
            <color indexed="81"/>
            <rFont val="Tahoma"/>
            <family val="2"/>
          </rPr>
          <t xml:space="preserve">
includes $28k for concrete sidewalks</t>
        </r>
      </text>
    </comment>
  </commentList>
</comments>
</file>

<file path=xl/comments4.xml><?xml version="1.0" encoding="utf-8"?>
<comments xmlns="http://schemas.openxmlformats.org/spreadsheetml/2006/main">
  <authors>
    <author>Kevin Delaney</author>
  </authors>
  <commentList>
    <comment ref="E9" authorId="0">
      <text>
        <r>
          <rPr>
            <b/>
            <sz val="9"/>
            <color indexed="81"/>
            <rFont val="Tahoma"/>
            <family val="2"/>
          </rPr>
          <t>Kevin Delaney:</t>
        </r>
        <r>
          <rPr>
            <sz val="9"/>
            <color indexed="81"/>
            <rFont val="Tahoma"/>
            <family val="2"/>
          </rPr>
          <t xml:space="preserve">
incorporate into Wilcox Ave paving projects</t>
        </r>
      </text>
    </comment>
  </commentList>
</comments>
</file>

<file path=xl/sharedStrings.xml><?xml version="1.0" encoding="utf-8"?>
<sst xmlns="http://schemas.openxmlformats.org/spreadsheetml/2006/main" count="7255" uniqueCount="1116">
  <si>
    <t>TOWN</t>
  </si>
  <si>
    <t>Schools</t>
  </si>
  <si>
    <t>FY18</t>
  </si>
  <si>
    <t>FY19</t>
  </si>
  <si>
    <t>FY20</t>
  </si>
  <si>
    <t>FY21</t>
  </si>
  <si>
    <t>FY22</t>
  </si>
  <si>
    <t>FY23</t>
  </si>
  <si>
    <t>FY24</t>
  </si>
  <si>
    <t>FY25</t>
  </si>
  <si>
    <t>FY26</t>
  </si>
  <si>
    <t>FY27</t>
  </si>
  <si>
    <t>Replace artifical turf at Scalise</t>
  </si>
  <si>
    <t>BAN</t>
  </si>
  <si>
    <t>Rebuild Zipadelli infield</t>
  </si>
  <si>
    <t>Soccer Goals (3 sets)</t>
  </si>
  <si>
    <t>GF</t>
  </si>
  <si>
    <t>BHS Track - Resurfacing</t>
  </si>
  <si>
    <t>BHS field inside track</t>
  </si>
  <si>
    <t>Bond</t>
  </si>
  <si>
    <t>Large rotary mower</t>
  </si>
  <si>
    <t>Ball field groomer</t>
  </si>
  <si>
    <t>Trailer (20 ft.) replacement</t>
  </si>
  <si>
    <t>Zero degree mower</t>
  </si>
  <si>
    <t>Sage Park auxiliary field</t>
  </si>
  <si>
    <t>Mini excavator (used)</t>
  </si>
  <si>
    <t>Patterson Way property development</t>
  </si>
  <si>
    <t>Leaf box</t>
  </si>
  <si>
    <t>Sage 1 &amp; 2 construction - bathrooms &amp; concession, dugouts at Sage 2</t>
  </si>
  <si>
    <t>Dredging Sage Pond</t>
  </si>
  <si>
    <t>Ragged Mountain Walking Trails</t>
  </si>
  <si>
    <t>Gravely Sweeper</t>
  </si>
  <si>
    <t>Roller</t>
  </si>
  <si>
    <t>Sage Park front reconstruction (add fields)</t>
  </si>
  <si>
    <t>Schools Total</t>
  </si>
  <si>
    <t>Grand Total</t>
  </si>
  <si>
    <t>Town Total</t>
  </si>
  <si>
    <t>LoCIP</t>
  </si>
  <si>
    <t>Grants</t>
  </si>
  <si>
    <t>Riding mower (w/ cab, plow &amp; broom)</t>
  </si>
  <si>
    <t>Future bikeways</t>
  </si>
  <si>
    <t>Pistol Creek Field Development</t>
  </si>
  <si>
    <t>Lightening Warning System</t>
  </si>
  <si>
    <t>Petit Field Addition: Challenger Field</t>
  </si>
  <si>
    <t>Zipadelli Field - artifical surface</t>
  </si>
  <si>
    <t>FY28</t>
  </si>
  <si>
    <t>Public Grounds</t>
  </si>
  <si>
    <t>Public Buildings</t>
  </si>
  <si>
    <t>Bridges</t>
  </si>
  <si>
    <t>Vehicles</t>
  </si>
  <si>
    <t>Water Control</t>
  </si>
  <si>
    <t>TOTAL</t>
  </si>
  <si>
    <t>Roads</t>
  </si>
  <si>
    <t>Total Debt Request</t>
  </si>
  <si>
    <t>roads will be developed and maintained in Public Works/Highway.</t>
  </si>
  <si>
    <t>GF: General Fund - paid through annual property tax levy.</t>
  </si>
  <si>
    <t>LoCIP: Cocal Capital Improvement Project money - funded by the State of Connecticut</t>
  </si>
  <si>
    <t>Bond: long-term bond funding</t>
  </si>
  <si>
    <t>BAN: short-term note funding</t>
  </si>
  <si>
    <t>Water Control: paid by usage assessments - only applies to Berlin Water Control residents, not the entire Town of Berlin</t>
  </si>
  <si>
    <t>Water</t>
  </si>
  <si>
    <t>Sewer</t>
  </si>
  <si>
    <t>Town of Berlin</t>
  </si>
  <si>
    <t>10-Year Capital Improvement Plan (CIP)</t>
  </si>
  <si>
    <t>Fiscal Year 2018 - 2028</t>
  </si>
  <si>
    <t>Berlin Water Control</t>
  </si>
  <si>
    <t>10-Year Capital Improvement Plan (CIP) - Public Grounds</t>
  </si>
  <si>
    <t>10-Year Capital Improvement Plan (CIP) - Public Buildings</t>
  </si>
  <si>
    <t>10-Year Capital Improvement Plan (CIP) - Bridges</t>
  </si>
  <si>
    <t>10-Year Capital Improvement Plan (CIP) - Parking Lots</t>
  </si>
  <si>
    <t>10-Year Capital Improvement Plan (CIP) - Vehicles</t>
  </si>
  <si>
    <t>10-Year Capital Improvement Plan (CIP) - Summary</t>
  </si>
  <si>
    <t>Assumptions:</t>
  </si>
  <si>
    <t>(1)  Farmington Av.: total cost $2.3 million; 80% federal, 10% state, 10% town</t>
  </si>
  <si>
    <t>(2)  Spruce Brook: total cost $1.6 million; 31% state 69% town</t>
  </si>
  <si>
    <t>(4)  Burnham Street: total cost $2.31 million; 47% state, 53% town</t>
  </si>
  <si>
    <t>(3)  High Road: total cost $2.45 million; 47% state, 53% town</t>
  </si>
  <si>
    <t>Farmington Av (remainder paid from existing bond money)</t>
  </si>
  <si>
    <t>Burham Street</t>
  </si>
  <si>
    <t>High Road (initially funded in Sep '17 BAN, then rolled to May '18 bond)</t>
  </si>
  <si>
    <t>East Berlin Pool</t>
  </si>
  <si>
    <t>Dennehy Field</t>
  </si>
  <si>
    <t>Timberlin</t>
  </si>
  <si>
    <t>Sage Park (w Surranna Dr.)</t>
  </si>
  <si>
    <t>Worthington Ridge Playground</t>
  </si>
  <si>
    <t>Senior Center</t>
  </si>
  <si>
    <t>Petit Field</t>
  </si>
  <si>
    <t>Hubbard School Playground</t>
  </si>
  <si>
    <t>Griswold School Playground &amp; Parking Lot</t>
  </si>
  <si>
    <t>Hubbard School Parking Lot</t>
  </si>
  <si>
    <t>Paper Goods Pond</t>
  </si>
  <si>
    <t>Parking Lots &amp; Playgrounds</t>
  </si>
  <si>
    <t>Percival Field/Pool</t>
  </si>
  <si>
    <t>Pistol Creek</t>
  </si>
  <si>
    <t>Veterans Park</t>
  </si>
  <si>
    <t>McGee School Parking Lot</t>
  </si>
  <si>
    <t>Williard School Parking Lot &amp; Playground</t>
  </si>
  <si>
    <t>Town Hall Parking Lot &amp; Road</t>
  </si>
  <si>
    <t>Berlin High School Parking Lot (2031)</t>
  </si>
  <si>
    <t>Spruce Brook (latest est = $1,120,000 for town share)</t>
  </si>
  <si>
    <t>10-Year Capital Improvement Plan (CIP) - Other Capital Needs</t>
  </si>
  <si>
    <t>Other Capital Needs</t>
  </si>
  <si>
    <t>Fire - SCBA Equipment</t>
  </si>
  <si>
    <t>Police - Radio Equipment</t>
  </si>
  <si>
    <t>Hubbard School Roof</t>
  </si>
  <si>
    <t>FY18 assumes on 50% of annual amount b/c of existing balance in the</t>
  </si>
  <si>
    <t>Road fund.</t>
  </si>
  <si>
    <t>Business Continuity</t>
  </si>
  <si>
    <t>McGee Lockers</t>
  </si>
  <si>
    <t>Security Cameras (various schools)</t>
  </si>
  <si>
    <t>Railroad Pond Dam (pursuing State grant funding)</t>
  </si>
  <si>
    <t>Community Center - TBD, referendum likely required</t>
  </si>
  <si>
    <t>Faciltiies - Generators (still being evaluated)</t>
  </si>
  <si>
    <t>Fire - Heavy Engines</t>
  </si>
  <si>
    <t>Fire - Brush Engines</t>
  </si>
  <si>
    <t>Fire - Specialty Units</t>
  </si>
  <si>
    <t>Fire - Utility Vehicles</t>
  </si>
  <si>
    <t>Fire - Stand By Generators</t>
  </si>
  <si>
    <t>Faciltiies - Service Vans</t>
  </si>
  <si>
    <t>Facilities - Specialty &amp; Supervisors</t>
  </si>
  <si>
    <t>Highway - large dump trucks</t>
  </si>
  <si>
    <t>Highway - small dump truck</t>
  </si>
  <si>
    <t>Highway - 250/350 dump trucks</t>
  </si>
  <si>
    <t>Highway - Equipment</t>
  </si>
  <si>
    <t>Police - Patrol Units</t>
  </si>
  <si>
    <t>Police - K9 Units</t>
  </si>
  <si>
    <t>Police - SRO</t>
  </si>
  <si>
    <t>Police - Supervisor SUV</t>
  </si>
  <si>
    <t>Police - Unmarked/Admin</t>
  </si>
  <si>
    <t>Parks &amp; Grounds - Dump Trucks</t>
  </si>
  <si>
    <t>Parks &amp; Grounds - Service Trucks</t>
  </si>
  <si>
    <t>Parks &amp; Grounds - Pick Ups</t>
  </si>
  <si>
    <t>Parks &amp; Grounds - Trailers</t>
  </si>
  <si>
    <t>Parks &amp; Grounds - Equipment</t>
  </si>
  <si>
    <t>All Other - Passenger Cars</t>
  </si>
  <si>
    <t>All Other - 4X4 SUVs</t>
  </si>
  <si>
    <t>All Other - Buses</t>
  </si>
  <si>
    <t>All Other - Pick Ups</t>
  </si>
  <si>
    <t>All Other - Special Service</t>
  </si>
  <si>
    <t>Vans</t>
  </si>
  <si>
    <t>Cars</t>
  </si>
  <si>
    <t>Service Vehicles (2031)</t>
  </si>
  <si>
    <t>Are Bond/BAN amounts below $10 million?</t>
  </si>
  <si>
    <t>Are Bond/BAN amounts below $5 million?</t>
  </si>
  <si>
    <t>McGee Phones</t>
  </si>
  <si>
    <t>Plan of Conservation &amp; Development Implementation Studies</t>
  </si>
  <si>
    <t>Street Sign Replacement</t>
  </si>
  <si>
    <t>Develop New Business Park (Econ. Dev.) - TBD, referendum likely required</t>
  </si>
  <si>
    <t>Wireless Zone Study</t>
  </si>
  <si>
    <t>Prepare redevelopment plan for Washington Av area</t>
  </si>
  <si>
    <t>Microwave system (Fire)</t>
  </si>
  <si>
    <t>Pump simulator</t>
  </si>
  <si>
    <t>Training Tower</t>
  </si>
  <si>
    <t>Off Road UTV</t>
  </si>
  <si>
    <t>Rescue Tools</t>
  </si>
  <si>
    <t>Boat &amp; Motor</t>
  </si>
  <si>
    <t>Interstate Stabilization System</t>
  </si>
  <si>
    <t>Pistol Replacement</t>
  </si>
  <si>
    <t>Body Armor Replacement</t>
  </si>
  <si>
    <t>Live Fire Simulation (Police)</t>
  </si>
  <si>
    <t>Body Camera System</t>
  </si>
  <si>
    <t>AFIS Livescan Replacement</t>
  </si>
  <si>
    <t>CAD/RMS System Replacement</t>
  </si>
  <si>
    <t>Taser Replacement</t>
  </si>
  <si>
    <t>New UPS Units for Servers</t>
  </si>
  <si>
    <t>NCIC Computers</t>
  </si>
  <si>
    <t>NCIC Printer</t>
  </si>
  <si>
    <t>NCIC Color Printer</t>
  </si>
  <si>
    <t>Computer Replacements</t>
  </si>
  <si>
    <t>Printer Replacements</t>
  </si>
  <si>
    <t>Laptop Replacements</t>
  </si>
  <si>
    <t>Dispatch Monitor Replacement</t>
  </si>
  <si>
    <t>CAD/RMS Migration</t>
  </si>
  <si>
    <t>Server/SAN/Switch Replacements</t>
  </si>
  <si>
    <t>Message Switch Warranty</t>
  </si>
  <si>
    <t>Backup Hardware Replacement</t>
  </si>
  <si>
    <t>CAD/RMS Enterprise Upgrade</t>
  </si>
  <si>
    <t>Drainage Analysis/Improvements</t>
  </si>
  <si>
    <t>Recycling Center Improvements</t>
  </si>
  <si>
    <t>Sidewalk Replacement (TAR)</t>
  </si>
  <si>
    <t>MUTCD Sign Replacement</t>
  </si>
  <si>
    <t>New Garage Facility - TBD, referendum likely required</t>
  </si>
  <si>
    <t>Tables/ Chairs @ Communtiy Center</t>
  </si>
  <si>
    <t>Exercise Equipment @ Community Center</t>
  </si>
  <si>
    <t>Splash Pad</t>
  </si>
  <si>
    <t>Golf Equip Lease - SandPro, Utility Verhicle, Arifier &amp; Greens Mower</t>
  </si>
  <si>
    <t>Golf Equip Lease - Large Rough Mower &amp; Fairway Mower</t>
  </si>
  <si>
    <t>Golf Equip Lease - Greens Mower, Dump Body Utility</t>
  </si>
  <si>
    <t>Architectural Study 1st Floor Expansion</t>
  </si>
  <si>
    <t>Nursing - Computer Equipment</t>
  </si>
  <si>
    <t>Nursing - Telemonitor Lease</t>
  </si>
  <si>
    <t>Electrical Panel Upgrade - all schools</t>
  </si>
  <si>
    <t>Masonary Repairs &amp; Installation - all schools</t>
  </si>
  <si>
    <t>Plumbing Fixture Upgrades - all schools</t>
  </si>
  <si>
    <t>Boiler Replacement - Hubbard (2)</t>
  </si>
  <si>
    <t>Boiler Replacement - Willard (2)</t>
  </si>
  <si>
    <t>Window Replacement @ McGee</t>
  </si>
  <si>
    <t>Roof Top Unit Replacement</t>
  </si>
  <si>
    <t>HVAC - Griswold</t>
  </si>
  <si>
    <t>HVAC - Hubbard</t>
  </si>
  <si>
    <t>Fire Alarm Upgrades - McGee</t>
  </si>
  <si>
    <t>Fire Alarm Upgrades - Hubbard</t>
  </si>
  <si>
    <t>Fire Alarm Upgrades - Willard</t>
  </si>
  <si>
    <t>Fire Alarm Upgrades - Griswold</t>
  </si>
  <si>
    <t>Technology - Various</t>
  </si>
  <si>
    <t>Go Forward (Placeholder)</t>
  </si>
  <si>
    <t>Dept</t>
  </si>
  <si>
    <t>Inventory management system</t>
  </si>
  <si>
    <t>02</t>
  </si>
  <si>
    <t>07</t>
  </si>
  <si>
    <t>03</t>
  </si>
  <si>
    <t>Worthington Meetings House - TBD, paid with grant funding</t>
  </si>
  <si>
    <t>Deming Road House (Mobile Home caretakers house?)</t>
  </si>
  <si>
    <t>Old Peck/Historical Society - TBD, need guidance on future use</t>
  </si>
  <si>
    <t>Pistol Creek - TBD</t>
  </si>
  <si>
    <t>Community Art League/Ledge School - TBD</t>
  </si>
  <si>
    <t>Facilities - addition</t>
  </si>
  <si>
    <t>South Kensington Fire House - building modifications</t>
  </si>
  <si>
    <t>Town Hall:</t>
  </si>
  <si>
    <t xml:space="preserve">     Storefront, Access Controls,Gutters</t>
  </si>
  <si>
    <t xml:space="preserve">     Window Replacement</t>
  </si>
  <si>
    <t xml:space="preserve">     Roof Repl-Est</t>
  </si>
  <si>
    <t xml:space="preserve">     Exhaust Fans</t>
  </si>
  <si>
    <t xml:space="preserve">     Elevators Modifications</t>
  </si>
  <si>
    <t>Physical Services - Roof Repairs (includes Highway, Water, Public Buildings, Fleet Garage)</t>
  </si>
  <si>
    <t>Townwide - ADA Compliance</t>
  </si>
  <si>
    <t>Berlin-Peck Library:</t>
  </si>
  <si>
    <t xml:space="preserve">     Soffit Replacement</t>
  </si>
  <si>
    <t xml:space="preserve">     Fire Alarm Upgrade</t>
  </si>
  <si>
    <t xml:space="preserve">     Chiller Replacement</t>
  </si>
  <si>
    <t xml:space="preserve">     Roof Replacement</t>
  </si>
  <si>
    <t xml:space="preserve">     New Windows</t>
  </si>
  <si>
    <t xml:space="preserve">     Carpet Replacement</t>
  </si>
  <si>
    <t>Community Center:</t>
  </si>
  <si>
    <t xml:space="preserve">     HVAC</t>
  </si>
  <si>
    <t>Senior Center:</t>
  </si>
  <si>
    <t xml:space="preserve">     HVAC-1</t>
  </si>
  <si>
    <t xml:space="preserve">     HVAC-2</t>
  </si>
  <si>
    <t xml:space="preserve">     Replace Windows</t>
  </si>
  <si>
    <t xml:space="preserve">     Handicap Door</t>
  </si>
  <si>
    <t>HVAC - Willard</t>
  </si>
  <si>
    <t>HVAC - McGee</t>
  </si>
  <si>
    <t>REFERENDUM</t>
  </si>
  <si>
    <t>Bond - E</t>
  </si>
  <si>
    <t>Bond - E: existing long-term bond funding where bond funds are reallocated to an authorized bonded project other than the original authorized bonded project - normally used when bond funds remain at the end of bonded project</t>
  </si>
  <si>
    <t>Security Vestibules - all schools except BHS</t>
  </si>
  <si>
    <t>Department</t>
  </si>
  <si>
    <t>Project</t>
  </si>
  <si>
    <t>Fire Department</t>
  </si>
  <si>
    <t>Police Department</t>
  </si>
  <si>
    <t>Public Works</t>
  </si>
  <si>
    <t>Library - First Floor Renovation - need new community ctr first ($1 million)</t>
  </si>
  <si>
    <t>Financing criteria based on the proposed capital &amp; bond policies:</t>
  </si>
  <si>
    <t>Project/Asset Total Cost</t>
  </si>
  <si>
    <t>Cash</t>
  </si>
  <si>
    <t>Capital Lease</t>
  </si>
  <si>
    <t>BAN (S-T)</t>
  </si>
  <si>
    <t>Bond (L-T)</t>
  </si>
  <si>
    <t>Less than $100,000</t>
  </si>
  <si>
    <t>ü</t>
  </si>
  <si>
    <t> </t>
  </si>
  <si>
    <t>$100,000 - $500,000</t>
  </si>
  <si>
    <t>More than $500,000</t>
  </si>
  <si>
    <t>Pool Building - Percival (borrow in middle or end of project, work done in FY20)</t>
  </si>
  <si>
    <t>Pool Building - East Berlin (borrow in middle or end of project, work done in FY20)</t>
  </si>
  <si>
    <t>Goal: budget $700,000/year in General Fund</t>
  </si>
  <si>
    <t>Goal: budget $250,000/year in General Fund - replace one parking lot per yr</t>
  </si>
  <si>
    <t>Goal: shift funding to General Fund as bridge maintenace becomes priority</t>
  </si>
  <si>
    <t xml:space="preserve">Assumes a flat $1 million annually for roads.  Cycle of individual </t>
  </si>
  <si>
    <t>Goal: shift from bonding to General Fund financing starting in FY22</t>
  </si>
  <si>
    <t>Funding</t>
  </si>
  <si>
    <t>Town</t>
  </si>
  <si>
    <t>School</t>
  </si>
  <si>
    <t>Annual Roads</t>
  </si>
  <si>
    <t>Capital Item</t>
  </si>
  <si>
    <t>Town/School</t>
  </si>
  <si>
    <t>Future projects that either require approval at referendum or require another event before proceeding:</t>
  </si>
  <si>
    <t>Police Station - TBD, referendum likely required if build new ($1.1 million renovation)</t>
  </si>
  <si>
    <t>TBD</t>
  </si>
  <si>
    <t>Public Buildings - Town Hall</t>
  </si>
  <si>
    <t>Public Buildings - Library</t>
  </si>
  <si>
    <t>5-Year Capital Plan Details</t>
  </si>
  <si>
    <t>Replace locks  at Sage Park</t>
  </si>
  <si>
    <t>Folder/Inserter</t>
  </si>
  <si>
    <t>Priority</t>
  </si>
  <si>
    <t>Grant</t>
  </si>
  <si>
    <t>Highway - large dump trucks (was $102,500, but emergency purchase was madei n FY18)</t>
  </si>
  <si>
    <t>Bridge Preservation Work (Worthington Ridge,  Berlin Street, Wildermere Road and Heritage Drive)</t>
  </si>
  <si>
    <t>use annual amount in FY20 to fund balance</t>
  </si>
  <si>
    <t>Pushed out to</t>
  </si>
  <si>
    <t>CNR?</t>
  </si>
  <si>
    <t>Carryover from Sr Ctr</t>
  </si>
  <si>
    <t>Grants?</t>
  </si>
  <si>
    <t>Golf CIP fee?</t>
  </si>
  <si>
    <t>Any opportunity to push tech items in Police out 1 or more years?</t>
  </si>
  <si>
    <t>Burnham St bridge, East Berlin &amp; Dennehy field parking lots moved from FY19</t>
  </si>
  <si>
    <t>Pushed out to FY23</t>
  </si>
  <si>
    <t>Sage 1&amp;2 construction, dredging Sage pond &amp; Ragged Mtn walking trails moved from FY21</t>
  </si>
  <si>
    <t>Pushed out to FY2020</t>
  </si>
  <si>
    <t>pushed to FY2020</t>
  </si>
  <si>
    <t>Burnham Street</t>
  </si>
  <si>
    <t>High Road</t>
  </si>
  <si>
    <t>Use for Spruce Brook</t>
  </si>
  <si>
    <t>Move to operational?</t>
  </si>
  <si>
    <t>Grant money from the State?</t>
  </si>
  <si>
    <t>Usa proceeds from firetruck sales?</t>
  </si>
  <si>
    <t>assumes "pad" is added in FY19 and cost in FY28 is approximately 1/2 of FY 19 b/c just replacing turf (pad+turf every 20 years &amp; turf every 10 years)</t>
  </si>
  <si>
    <t>Golf Equip Lease - Triplex mowers, greens/tees</t>
  </si>
  <si>
    <t>Police - cruiser equipment</t>
  </si>
  <si>
    <t>As of October 30, 2017</t>
  </si>
  <si>
    <t>Boulevard to Train Station</t>
  </si>
  <si>
    <t>Fire - Complete Radio System (incl. Microwave Systems)</t>
  </si>
  <si>
    <t>Cameras</t>
  </si>
  <si>
    <t>Meters</t>
  </si>
  <si>
    <t>General Government</t>
  </si>
  <si>
    <t>Public Safety</t>
  </si>
  <si>
    <t>Community Development</t>
  </si>
  <si>
    <t>All Other - Pool Cars</t>
  </si>
  <si>
    <t>Gantry Crane</t>
  </si>
  <si>
    <t>4 Post Vehicle Lift</t>
  </si>
  <si>
    <t>(2) 40 Ton Wheel Lifts</t>
  </si>
  <si>
    <t>Stormwater Management</t>
  </si>
  <si>
    <t>Flood Control Projects</t>
  </si>
  <si>
    <t>Townwide Sidewalks</t>
  </si>
  <si>
    <t xml:space="preserve">Paper Goods Pond Dam </t>
  </si>
  <si>
    <t>Highway - Front End Loader</t>
  </si>
  <si>
    <t>Highway - Asphalt Uploader</t>
  </si>
  <si>
    <t>Highway - Tractor/Mower</t>
  </si>
  <si>
    <t>Highway - Rack Body</t>
  </si>
  <si>
    <t>Highway - Pickup Truck</t>
  </si>
  <si>
    <t>Highway - Paving Box</t>
  </si>
  <si>
    <t>Negotiating sale of mobile home park - incl. demolishing house with sale</t>
  </si>
  <si>
    <t>Physical Services - Gutter &amp; Gables replacement</t>
  </si>
  <si>
    <t>split cost b/w library &amp; community ctr</t>
  </si>
  <si>
    <t xml:space="preserve">     Gutter Roof Trace</t>
  </si>
  <si>
    <t>Garage:</t>
  </si>
  <si>
    <t>Timrberline:</t>
  </si>
  <si>
    <t xml:space="preserve">     Masonry repairs</t>
  </si>
  <si>
    <t xml:space="preserve">     Boiler replacement</t>
  </si>
  <si>
    <t xml:space="preserve">     Flooring replacement - multi-purpose room</t>
  </si>
  <si>
    <t>Security System upgrades - Townwide</t>
  </si>
  <si>
    <t xml:space="preserve">     Window replacement</t>
  </si>
  <si>
    <t xml:space="preserve">     Electrical service upgrades</t>
  </si>
  <si>
    <t xml:space="preserve">     Exit door replacement</t>
  </si>
  <si>
    <t xml:space="preserve">     Roof, windos &amp; door replacement - Timberlin Maintenance</t>
  </si>
  <si>
    <t xml:space="preserve">     HVAC upgrades</t>
  </si>
  <si>
    <t>Upgrade &amp; repairs of Sage Park restrooms</t>
  </si>
  <si>
    <t>Concession Building Upgrades - Little League</t>
  </si>
  <si>
    <t>Golf - used pickup truck</t>
  </si>
  <si>
    <t>Golf - Wash Station</t>
  </si>
  <si>
    <t>Golf - Driving Range</t>
  </si>
  <si>
    <t>Makerspace Equipment</t>
  </si>
  <si>
    <t>Makerspace Room</t>
  </si>
  <si>
    <t>Goosinator</t>
  </si>
  <si>
    <t>Playground Equipment</t>
  </si>
  <si>
    <t>Fencing - Parks</t>
  </si>
  <si>
    <t>Kitchen cabinet replacement</t>
  </si>
  <si>
    <t>Phones for all four schools (ex BHS, but integrated with BHS)</t>
  </si>
  <si>
    <t>Clean up wiring at McGee</t>
  </si>
  <si>
    <t>Switches (75% BOE/25% Town)</t>
  </si>
  <si>
    <t>Drinking Fountain Replacement (all schools ex BHS)</t>
  </si>
  <si>
    <t>Willard Softball Field Improvements</t>
  </si>
  <si>
    <t>GriswoldPulcini/Garrity Baseball Field Improvements</t>
  </si>
  <si>
    <t>BHS Rebuild Soccer Field</t>
  </si>
  <si>
    <t>Placeholder</t>
  </si>
  <si>
    <t>Physical Services</t>
  </si>
  <si>
    <t>Parks, Recreation &amp; Libraries</t>
  </si>
  <si>
    <t>Health &amp; Human Services</t>
  </si>
  <si>
    <t>Schools (incl in Physical Services)</t>
  </si>
  <si>
    <t>Safety Equipment</t>
  </si>
  <si>
    <t>Grants: various grant sources other including TAR and other than State of Connecticut grants</t>
  </si>
  <si>
    <t>Sage 1 &amp; 2 construction</t>
  </si>
  <si>
    <t>Projects NOT included in the 10-year plan</t>
  </si>
  <si>
    <t>Police Station - TBD, referendum likely required if build new ($1.1MM renovate)</t>
  </si>
  <si>
    <t>Develop New Business Park (Econ. Dev.) - TBD</t>
  </si>
  <si>
    <t xml:space="preserve">     Chiller Replacement (split 50/50 with Community Center below)</t>
  </si>
  <si>
    <t xml:space="preserve">     Chiller Replacement (split 50/50 with Library above)</t>
  </si>
  <si>
    <t>Total Public Grounds</t>
  </si>
  <si>
    <t>Total Public Buildings</t>
  </si>
  <si>
    <t>Total Bridges</t>
  </si>
  <si>
    <t>Total Roads</t>
  </si>
  <si>
    <t>Total Parking Lots &amp; Playgrounds</t>
  </si>
  <si>
    <t>Total Vehicles</t>
  </si>
  <si>
    <t>Total Other Capital Needs</t>
  </si>
  <si>
    <t>Total Water Control</t>
  </si>
  <si>
    <t>(May 2017)</t>
  </si>
  <si>
    <t>FY24:  $2.5M</t>
  </si>
  <si>
    <t>FY25: $2.5M</t>
  </si>
  <si>
    <t>FY24: $0.5M</t>
  </si>
  <si>
    <t>FY23: $0.3M</t>
  </si>
  <si>
    <t>FY27: $1.5M</t>
  </si>
  <si>
    <t>Police Station - TBD, referendum likely required if build new ($1.1 million remodel)</t>
  </si>
  <si>
    <t>SMALL CAPITAL (less than $50,000)</t>
  </si>
  <si>
    <t>LARGE CAPITAL ($50,000 or more)</t>
  </si>
  <si>
    <t>Small Capital</t>
  </si>
  <si>
    <t>Large Capital</t>
  </si>
  <si>
    <t>Need to add next cycle when FY 2029 is added with next CIP</t>
  </si>
  <si>
    <t>BHS Track - Resurfacing (assumed 10% cost increase with each 5-yr cycle)</t>
  </si>
  <si>
    <t>Parking Lots</t>
  </si>
  <si>
    <t>Fiscal Year 2019 Requests</t>
  </si>
  <si>
    <t xml:space="preserve">     Masonry repairs (Town Hall)</t>
  </si>
  <si>
    <t xml:space="preserve">     Handicap Door (Community Center)</t>
  </si>
  <si>
    <t xml:space="preserve">     HVAC (Community Center)</t>
  </si>
  <si>
    <t xml:space="preserve">     HVAC-2 (Senior Center)</t>
  </si>
  <si>
    <t xml:space="preserve">     Storefront, Access Controls,Gutters (Town Hall)</t>
  </si>
  <si>
    <t xml:space="preserve">     Gutter Roof Trace (Town Hall)</t>
  </si>
  <si>
    <t xml:space="preserve">     Soffit Replacement (Berlin-Peck Library)</t>
  </si>
  <si>
    <t>Vans (School)</t>
  </si>
  <si>
    <t>Grouping</t>
  </si>
  <si>
    <t>Total</t>
  </si>
  <si>
    <t>Lg</t>
  </si>
  <si>
    <t>Large/</t>
  </si>
  <si>
    <t>Small</t>
  </si>
  <si>
    <t>Replace Pickup Truck</t>
  </si>
  <si>
    <t>Update Sewer Pump Stations- Deming Rd.</t>
  </si>
  <si>
    <t>Hydrant Replacement Program</t>
  </si>
  <si>
    <t>Loop Weth. Rd. - Design</t>
  </si>
  <si>
    <t>Loop Weth. Rd. - Construction</t>
  </si>
  <si>
    <t>Pump Station - Berlin Turnpike</t>
  </si>
  <si>
    <t>RF Meters</t>
  </si>
  <si>
    <t>Savage Hill Sewer Pump Station Elimination</t>
  </si>
  <si>
    <t>Division St. Main Upgrade - Design</t>
  </si>
  <si>
    <t>Division St. Main Upgrade - Construction</t>
  </si>
  <si>
    <t>Rowley St. - Potable Pump Station Upgrade</t>
  </si>
  <si>
    <t>Water main re-lining E. Berlin - 5,000 ft.</t>
  </si>
  <si>
    <t>Generator at Elton Road</t>
  </si>
  <si>
    <t>Dismantle/Re-locate Woodlawn P.S./Tank Study</t>
  </si>
  <si>
    <t>Replace &amp; Upgrade Meter Pits Study</t>
  </si>
  <si>
    <t>NOT INCLUDED IN THE CAPITAL PLAN</t>
  </si>
  <si>
    <t>Carpeting in McGee auditoriun</t>
  </si>
  <si>
    <t>Willard Renovations</t>
  </si>
  <si>
    <t>Cages for Sports Equipment @ BHS</t>
  </si>
  <si>
    <t>Safety Load Science &amp; Media Center</t>
  </si>
  <si>
    <t>CAFR Grouping</t>
  </si>
  <si>
    <t>Description</t>
  </si>
  <si>
    <t>Library</t>
  </si>
  <si>
    <t>Municipal Garage</t>
  </si>
  <si>
    <t>Development Services</t>
  </si>
  <si>
    <t>Golf Course</t>
  </si>
  <si>
    <t>IT</t>
  </si>
  <si>
    <t>Economic Development</t>
  </si>
  <si>
    <t>Purchase/Remediate 861 Farmington Ave &amp; Rail Spur property</t>
  </si>
  <si>
    <t>Deming Road House (Mobile Home caretakers house)</t>
  </si>
  <si>
    <t>Masonry repairs (Town Hall)</t>
  </si>
  <si>
    <t>Handicap Door (Community Center)</t>
  </si>
  <si>
    <t>HVAC (Community Center)</t>
  </si>
  <si>
    <t>HVAC-1 (Senior Center)</t>
  </si>
  <si>
    <t>HVAC-2 (Senior Center)</t>
  </si>
  <si>
    <t>Electrical service upgrades (Timerlin)</t>
  </si>
  <si>
    <t>Window Replacement (Town Hall)</t>
  </si>
  <si>
    <t>Roof Repl-Est (Town Hall)</t>
  </si>
  <si>
    <t>Gutter Roof Trace (Town Hall)</t>
  </si>
  <si>
    <t>Soffit Replacement (Library)</t>
  </si>
  <si>
    <t>Carpet Replacement (Library)</t>
  </si>
  <si>
    <t>Fire Alarm Upgrade (Library)</t>
  </si>
  <si>
    <t>Roof Replacement (Library)</t>
  </si>
  <si>
    <t>Roof Replacement (Senior Center)</t>
  </si>
  <si>
    <t>Exit door replacement (Senior Center)</t>
  </si>
  <si>
    <t>Roof Replacement (Garage)</t>
  </si>
  <si>
    <t>Boiler replacement (Timberlin)</t>
  </si>
  <si>
    <t>Annual Bridge Maintenance</t>
  </si>
  <si>
    <t>Highway</t>
  </si>
  <si>
    <t>Cruiser equipment</t>
  </si>
  <si>
    <t>Large dump trucks</t>
  </si>
  <si>
    <t>Small dump truck</t>
  </si>
  <si>
    <t>Asphalt Uploader</t>
  </si>
  <si>
    <t>Rack Body</t>
  </si>
  <si>
    <t>Service Vans</t>
  </si>
  <si>
    <t>Specialty &amp; Supervisors</t>
  </si>
  <si>
    <t>Brush Engines</t>
  </si>
  <si>
    <t>Specialty Units</t>
  </si>
  <si>
    <t>Utility Vehicles</t>
  </si>
  <si>
    <t>Stand By Generators</t>
  </si>
  <si>
    <t>Used pickup truck</t>
  </si>
  <si>
    <t>Dump Trucks</t>
  </si>
  <si>
    <t>Service Trucks</t>
  </si>
  <si>
    <t>Pick Ups</t>
  </si>
  <si>
    <t>Trailers</t>
  </si>
  <si>
    <t>(Excludes Berlin Water Control - budgeted separately)</t>
  </si>
  <si>
    <t>GRAND TOTAL</t>
  </si>
  <si>
    <t>Roof, windows &amp; door replacement - Timberlin Maintenance (Timberlin)</t>
  </si>
  <si>
    <t>Tables/ Chairs @ Community Center</t>
  </si>
  <si>
    <t>Golf Equip Lease - SandPro, Utility Vehicle, Arifier &amp; Greens Mower</t>
  </si>
  <si>
    <t>Replace artificial turf at Scalise</t>
  </si>
  <si>
    <t>Griswold Pulcini/Garrity Baseball Field Improvements</t>
  </si>
  <si>
    <t>Masonry Repairs &amp; Installation - all schools</t>
  </si>
  <si>
    <t>Switches (75% Schools/25% Town) - schools displayed under dept 61 below</t>
  </si>
  <si>
    <t>East Berlin Pool Parking Lot</t>
  </si>
  <si>
    <t>Timberlin Parking Lot</t>
  </si>
  <si>
    <t>Dennehy Field Parking Lot</t>
  </si>
  <si>
    <t>Worthington Ridge Playground Parking Lot</t>
  </si>
  <si>
    <t>Petit Field Parking Lot</t>
  </si>
  <si>
    <t>Percival Field/Pool Parking Lot</t>
  </si>
  <si>
    <t>Pistol Creek Parking Lot</t>
  </si>
  <si>
    <t>Veterans Park Parking Lot</t>
  </si>
  <si>
    <t>Chiller Replacement (Community Center/Library)</t>
  </si>
  <si>
    <t>Fire Marshall</t>
  </si>
  <si>
    <t>Deputy Fire Marshall Verhicle</t>
  </si>
  <si>
    <t>High Road Bridge</t>
  </si>
  <si>
    <t>Various Contractual Services</t>
  </si>
  <si>
    <t>11</t>
  </si>
  <si>
    <t>Town Clerk</t>
  </si>
  <si>
    <t>Dept #</t>
  </si>
  <si>
    <t>Patterson Way property purchase/development</t>
  </si>
  <si>
    <t>Security Vestibules - all schools except BHS; BHS completed as part of project</t>
  </si>
  <si>
    <t>Recreation</t>
  </si>
  <si>
    <r>
      <t xml:space="preserve">Vans </t>
    </r>
    <r>
      <rPr>
        <sz val="11"/>
        <color rgb="FFFF0000"/>
        <rFont val="Calibri"/>
        <family val="2"/>
        <scheme val="minor"/>
      </rPr>
      <t>- capital</t>
    </r>
  </si>
  <si>
    <r>
      <t>Service Vehicles (2031)</t>
    </r>
    <r>
      <rPr>
        <sz val="11"/>
        <color rgb="FFFF0000"/>
        <rFont val="Calibri"/>
        <family val="2"/>
        <scheme val="minor"/>
      </rPr>
      <t xml:space="preserve"> - capital</t>
    </r>
  </si>
  <si>
    <r>
      <t xml:space="preserve">Phones for all four schools (ex BHS, but integrated with BHS) </t>
    </r>
    <r>
      <rPr>
        <sz val="11"/>
        <color rgb="FFFF0000"/>
        <rFont val="Calibri"/>
        <family val="2"/>
        <scheme val="minor"/>
      </rPr>
      <t>- capital</t>
    </r>
  </si>
  <si>
    <r>
      <t xml:space="preserve">Willard Renovations </t>
    </r>
    <r>
      <rPr>
        <sz val="11"/>
        <color rgb="FFFF0000"/>
        <rFont val="Calibri"/>
        <family val="2"/>
        <scheme val="minor"/>
      </rPr>
      <t>- site &amp; building</t>
    </r>
  </si>
  <si>
    <r>
      <t xml:space="preserve">Clean up wiring at McGee </t>
    </r>
    <r>
      <rPr>
        <sz val="11"/>
        <color rgb="FFFF0000"/>
        <rFont val="Calibri"/>
        <family val="2"/>
        <scheme val="minor"/>
      </rPr>
      <t>- site &amp; building</t>
    </r>
  </si>
  <si>
    <r>
      <t xml:space="preserve">Carpeting in McGee auditorium </t>
    </r>
    <r>
      <rPr>
        <sz val="11"/>
        <color rgb="FFFF0000"/>
        <rFont val="Calibri"/>
        <family val="2"/>
        <scheme val="minor"/>
      </rPr>
      <t>- site &amp; building</t>
    </r>
  </si>
  <si>
    <t>Vehicle - Patrol Units</t>
  </si>
  <si>
    <t>Vehicle - Supervisor SUV</t>
  </si>
  <si>
    <t>Vehicle - Unmarked/Admin</t>
  </si>
  <si>
    <t>Transfers</t>
  </si>
  <si>
    <t>Revaluation</t>
  </si>
  <si>
    <t>Modernize elevator @ Town Hall</t>
  </si>
  <si>
    <t>Window Replacement (Library/Community Center)</t>
  </si>
  <si>
    <r>
      <t xml:space="preserve">Exhaust Fans (Town Hall) - </t>
    </r>
    <r>
      <rPr>
        <sz val="11"/>
        <color rgb="FFFF0000"/>
        <rFont val="Calibri"/>
        <family val="2"/>
        <scheme val="minor"/>
      </rPr>
      <t>Carried over from FY2017 and completed early FY2018</t>
    </r>
  </si>
  <si>
    <t>Wood Chipper</t>
  </si>
  <si>
    <t>Backhoe</t>
  </si>
  <si>
    <t>Recurring</t>
  </si>
  <si>
    <r>
      <rPr>
        <b/>
        <sz val="11"/>
        <color theme="1"/>
        <rFont val="Calibri"/>
        <family val="2"/>
        <scheme val="minor"/>
      </rPr>
      <t>GF</t>
    </r>
    <r>
      <rPr>
        <sz val="11"/>
        <color theme="1"/>
        <rFont val="Calibri"/>
        <family val="2"/>
        <scheme val="minor"/>
      </rPr>
      <t>: General Fund - paid through annual property tax levy</t>
    </r>
  </si>
  <si>
    <r>
      <rPr>
        <b/>
        <sz val="11"/>
        <color theme="1"/>
        <rFont val="Calibri"/>
        <family val="2"/>
        <scheme val="minor"/>
      </rPr>
      <t>LoCIP</t>
    </r>
    <r>
      <rPr>
        <sz val="11"/>
        <color theme="1"/>
        <rFont val="Calibri"/>
        <family val="2"/>
        <scheme val="minor"/>
      </rPr>
      <t>: Local Capital Improvement Project money - funded by the State of Connecticut</t>
    </r>
  </si>
  <si>
    <r>
      <rPr>
        <b/>
        <sz val="11"/>
        <color theme="1"/>
        <rFont val="Calibri"/>
        <family val="2"/>
        <scheme val="minor"/>
      </rPr>
      <t>Grants</t>
    </r>
    <r>
      <rPr>
        <sz val="11"/>
        <color theme="1"/>
        <rFont val="Calibri"/>
        <family val="2"/>
        <scheme val="minor"/>
      </rPr>
      <t>: various grant sources other including TAR and other than State of Connecticut grants</t>
    </r>
  </si>
  <si>
    <r>
      <rPr>
        <b/>
        <sz val="11"/>
        <color theme="1"/>
        <rFont val="Calibri"/>
        <family val="2"/>
        <scheme val="minor"/>
      </rPr>
      <t>Bond</t>
    </r>
    <r>
      <rPr>
        <sz val="11"/>
        <color theme="1"/>
        <rFont val="Calibri"/>
        <family val="2"/>
        <scheme val="minor"/>
      </rPr>
      <t>: long-term bond funding</t>
    </r>
  </si>
  <si>
    <r>
      <rPr>
        <b/>
        <sz val="11"/>
        <color theme="1"/>
        <rFont val="Calibri"/>
        <family val="2"/>
        <scheme val="minor"/>
      </rPr>
      <t>Bond - E</t>
    </r>
    <r>
      <rPr>
        <sz val="11"/>
        <color theme="1"/>
        <rFont val="Calibri"/>
        <family val="2"/>
        <scheme val="minor"/>
      </rPr>
      <t>: existing long-term bond funding where bond funds are reallocated to an authorized bonded project other than the original authorized bonded project - normally used when bond funds remain at the end of bonded project</t>
    </r>
  </si>
  <si>
    <r>
      <rPr>
        <b/>
        <sz val="11"/>
        <color theme="1"/>
        <rFont val="Calibri"/>
        <family val="2"/>
        <scheme val="minor"/>
      </rPr>
      <t>BAN</t>
    </r>
    <r>
      <rPr>
        <sz val="11"/>
        <color theme="1"/>
        <rFont val="Calibri"/>
        <family val="2"/>
        <scheme val="minor"/>
      </rPr>
      <t>: Bond Anticipation Note (short-term note funding)</t>
    </r>
  </si>
  <si>
    <r>
      <rPr>
        <b/>
        <sz val="11"/>
        <color theme="1"/>
        <rFont val="Calibri"/>
        <family val="2"/>
        <scheme val="minor"/>
      </rPr>
      <t>Capital</t>
    </r>
    <r>
      <rPr>
        <sz val="11"/>
        <color theme="1"/>
        <rFont val="Calibri"/>
        <family val="2"/>
        <scheme val="minor"/>
      </rPr>
      <t>: paid from existing capital projects funds</t>
    </r>
  </si>
  <si>
    <t>Recurring?</t>
  </si>
  <si>
    <t>Non-Recurring</t>
  </si>
  <si>
    <t>Pistol Creek Trail Improvements</t>
  </si>
  <si>
    <t>Capital</t>
  </si>
  <si>
    <t>Police Station Remodel (existing) - Jail Cell Replacement</t>
  </si>
  <si>
    <t>Police Station Remodel (existing) - Various (interview rooms, locker rooms, ADA bathroom, etc.)</t>
  </si>
  <si>
    <t>Cycle</t>
  </si>
  <si>
    <t>10-year</t>
  </si>
  <si>
    <t>20-year</t>
  </si>
  <si>
    <t>15-year</t>
  </si>
  <si>
    <t>McGee Lockers (boy's locker room)</t>
  </si>
  <si>
    <t>Paper Goods Pond Dam (consulting - not sure how much work needs to be done, so cost may increase)</t>
  </si>
  <si>
    <t>GF as % of Total</t>
  </si>
  <si>
    <r>
      <t xml:space="preserve">Off Road UTV - </t>
    </r>
    <r>
      <rPr>
        <sz val="11"/>
        <color rgb="FFFF0000"/>
        <rFont val="Calibri"/>
        <family val="2"/>
        <scheme val="minor"/>
      </rPr>
      <t>purchase in FY18 with remaining fire vehicle bond proceeds</t>
    </r>
  </si>
  <si>
    <r>
      <t xml:space="preserve">Interstate Stabilization System - </t>
    </r>
    <r>
      <rPr>
        <sz val="11"/>
        <color rgb="FFFF0000"/>
        <rFont val="Calibri"/>
        <family val="2"/>
        <scheme val="minor"/>
      </rPr>
      <t>purchase in FY18 with remaining fire vehicle bond proceeds</t>
    </r>
  </si>
  <si>
    <t>Sr. Ctr Bus/Van (5%/yr increase in cost for out years)</t>
  </si>
  <si>
    <t>Storefront, Access Controls,Gutters (Town Hall) - use FY18 LoCIP to fund approx $275k-$300k?</t>
  </si>
  <si>
    <t>Switches (75% BOE/25% Town) - capital</t>
  </si>
  <si>
    <t>Phones for all four schools (ex BHS, but integrated with BHS) - capital</t>
  </si>
  <si>
    <t>Willard Renovations - site &amp; building</t>
  </si>
  <si>
    <t>Vans - capital</t>
  </si>
  <si>
    <t>Clean up wiring at McGee - site &amp; building</t>
  </si>
  <si>
    <t>Fire Alarm Upgrades - McGee - site &amp; building</t>
  </si>
  <si>
    <t>Carpeting in McGee auditorium - site &amp; building</t>
  </si>
  <si>
    <t>Cages for Sports Equipment @ BHS - site &amp; building</t>
  </si>
  <si>
    <t>Safety Load Science &amp; Media Center @ BHS - site &amp; building</t>
  </si>
  <si>
    <r>
      <rPr>
        <b/>
        <sz val="11"/>
        <color theme="1"/>
        <rFont val="Calibri"/>
        <family val="2"/>
        <scheme val="minor"/>
      </rPr>
      <t>Recurring</t>
    </r>
    <r>
      <rPr>
        <sz val="11"/>
        <color theme="1"/>
        <rFont val="Calibri"/>
        <family val="2"/>
        <scheme val="minor"/>
      </rPr>
      <t>: occurs in almost every budget and has a regular replacement cycle</t>
    </r>
  </si>
  <si>
    <r>
      <t xml:space="preserve">McGee Locker Replacement - </t>
    </r>
    <r>
      <rPr>
        <sz val="11"/>
        <color rgb="FFFF0000"/>
        <rFont val="Calibri"/>
        <family val="2"/>
        <scheme val="minor"/>
      </rPr>
      <t>site &amp; building</t>
    </r>
  </si>
  <si>
    <r>
      <t xml:space="preserve">Switches ($160k total cost; 75% BOE/25% Town) </t>
    </r>
    <r>
      <rPr>
        <sz val="11"/>
        <color rgb="FFFF0000"/>
        <rFont val="Calibri"/>
        <family val="2"/>
        <scheme val="minor"/>
      </rPr>
      <t>- capital</t>
    </r>
  </si>
  <si>
    <t>Resurface Basketball/Tennis Courts (assume yr 7)</t>
  </si>
  <si>
    <t>5-10-year</t>
  </si>
  <si>
    <t>Police/Fire Repeaters @ BHS</t>
  </si>
  <si>
    <t>8-year</t>
  </si>
  <si>
    <t>Bridges - 7 on course; 2 repaired per year using Golf CIP; $30k per bridge (estimate)</t>
  </si>
  <si>
    <r>
      <t xml:space="preserve">Boulevard to Train Station - </t>
    </r>
    <r>
      <rPr>
        <sz val="11"/>
        <color rgb="FFFF0000"/>
        <rFont val="Calibri"/>
        <family val="2"/>
        <scheme val="minor"/>
      </rPr>
      <t>Town portion of CRCOG grant for Brownfields (see Econ. Dev for grant)</t>
    </r>
  </si>
  <si>
    <r>
      <t xml:space="preserve">Sidewalk Replacement (TAR)  </t>
    </r>
    <r>
      <rPr>
        <sz val="11"/>
        <color rgb="FFFF0000"/>
        <rFont val="Calibri"/>
        <family val="2"/>
        <scheme val="minor"/>
      </rPr>
      <t>State TAR grant at risk - moved to transfers beginning in FY19</t>
    </r>
  </si>
  <si>
    <t>5-7 years</t>
  </si>
  <si>
    <t>Conversion to LED lighting - Town Hall</t>
  </si>
  <si>
    <t>Conversion to LED lighting - BHS</t>
  </si>
  <si>
    <t>Conversion to LED lighting - McGee</t>
  </si>
  <si>
    <t>Conversion to LED lighting - Willard</t>
  </si>
  <si>
    <t>Conversion to LED lighting - Griswold</t>
  </si>
  <si>
    <t>Conversion to LED lighting - Hubbard</t>
  </si>
  <si>
    <r>
      <t xml:space="preserve">Police/Fire Radio Signals @ BHS - </t>
    </r>
    <r>
      <rPr>
        <sz val="11"/>
        <color rgb="FFFF0000"/>
        <rFont val="Calibri"/>
        <family val="2"/>
        <scheme val="minor"/>
      </rPr>
      <t>Town Share (56.79%)</t>
    </r>
  </si>
  <si>
    <r>
      <t xml:space="preserve">Police/Fire Radio Signals @ BHS - </t>
    </r>
    <r>
      <rPr>
        <sz val="11"/>
        <color rgb="FFFF0000"/>
        <rFont val="Calibri"/>
        <family val="2"/>
        <scheme val="minor"/>
      </rPr>
      <t>State Share (43.21%)</t>
    </r>
  </si>
  <si>
    <t>use fund balance</t>
  </si>
  <si>
    <t>BOE reduction</t>
  </si>
  <si>
    <t>CRCOG grant match</t>
  </si>
  <si>
    <t>Willard renovations</t>
  </si>
  <si>
    <t>Griswold parking lot</t>
  </si>
  <si>
    <t>Smaller truck in Hwy</t>
  </si>
  <si>
    <t>Pickup at golf course</t>
  </si>
  <si>
    <t>Soffit replacement @ library</t>
  </si>
  <si>
    <t>funding for conservation plan</t>
  </si>
  <si>
    <t>capital - LoCIP/bonding (bond scalise, LoCIP for TH doors &amp; BHS track)</t>
  </si>
  <si>
    <t>Higher interest cost (Scalise bonding)</t>
  </si>
  <si>
    <t>funding for revaluation</t>
  </si>
  <si>
    <t>Brian?</t>
  </si>
  <si>
    <t>Doug?</t>
  </si>
  <si>
    <t>Gutter trace at TH</t>
  </si>
  <si>
    <t>???</t>
  </si>
  <si>
    <t>Bids/Approval</t>
  </si>
  <si>
    <t>Detailed 10-Year Plan tab</t>
  </si>
  <si>
    <t>Adjustments to budgeted amouns (since TM submission):</t>
  </si>
  <si>
    <t xml:space="preserve">     Resurfacing BHS track versus rebuilding </t>
  </si>
  <si>
    <t xml:space="preserve">     BOE received State security grant (State paying 43.21% of cost) </t>
  </si>
  <si>
    <t>Original budget submission</t>
  </si>
  <si>
    <t>Remove Transfers (on separate line in budget submission)</t>
  </si>
  <si>
    <t>Records Management (not in 10-year plan; $ value below $5k threshold)</t>
  </si>
  <si>
    <t>x</t>
  </si>
  <si>
    <t>bond</t>
  </si>
  <si>
    <t>xx</t>
  </si>
  <si>
    <t>xxx - may reduce</t>
  </si>
  <si>
    <t>use existing funds</t>
  </si>
  <si>
    <t>Boulevard to Train Station - Town portion of CRCOG grant for Brownfields (see Econ. Dev for grant)</t>
  </si>
  <si>
    <t>Sidewalk Replacement (TAR)  State TAR grant at risk - moved to transfers beginning in FY19</t>
  </si>
  <si>
    <t>Retain</t>
  </si>
  <si>
    <t>Exclude</t>
  </si>
  <si>
    <t>add in ballards &amp; adjust for lower bid on repeaters</t>
  </si>
  <si>
    <t>Large dump trucks (lease 3 trucks)</t>
  </si>
  <si>
    <t>removed at 5/15/2018 TC meeting</t>
  </si>
  <si>
    <t>removed $32k at 5/15/2018 TC meeting</t>
  </si>
  <si>
    <t>(June 2019)</t>
  </si>
  <si>
    <t>(June 2020)</t>
  </si>
  <si>
    <t>(June 2021)</t>
  </si>
  <si>
    <t>(June 2022)</t>
  </si>
  <si>
    <t>(June 2023)</t>
  </si>
  <si>
    <t>(June 2024)</t>
  </si>
  <si>
    <t>(June 2025)</t>
  </si>
  <si>
    <t>(June 2026)</t>
  </si>
  <si>
    <t>(June 2027)</t>
  </si>
  <si>
    <r>
      <t xml:space="preserve">Boat &amp; Motor - </t>
    </r>
    <r>
      <rPr>
        <sz val="11"/>
        <color rgb="FFFF0000"/>
        <rFont val="Calibri"/>
        <family val="2"/>
        <scheme val="minor"/>
      </rPr>
      <t>purchase in FY18 with remaining fire vehicle bond proceeds</t>
    </r>
  </si>
  <si>
    <t>FY29</t>
  </si>
  <si>
    <t>Squad Units</t>
  </si>
  <si>
    <t>Engine/Tanker</t>
  </si>
  <si>
    <t>25-year</t>
  </si>
  <si>
    <t>Pumpers</t>
  </si>
  <si>
    <t>Rescue Trucks</t>
  </si>
  <si>
    <t>Railroad Pond Dam</t>
  </si>
  <si>
    <t>(May/Sep 2018)</t>
  </si>
  <si>
    <t>Burnham Street Bridge</t>
  </si>
  <si>
    <t>Spruce Brook Bridge</t>
  </si>
  <si>
    <t>Kensington Road Bridge</t>
  </si>
  <si>
    <t>Edgewood Road Bridge</t>
  </si>
  <si>
    <t>Vehicle - Patrol Units ($30k/car + $6.5k/car equipment) - assumes 4 cars/year</t>
  </si>
  <si>
    <t>Vehicle - K-9 Units</t>
  </si>
  <si>
    <t>Vehicle - Motorcycle</t>
  </si>
  <si>
    <t>Vehicle - DARE Pickup Truck</t>
  </si>
  <si>
    <t>Vehicle - ATV</t>
  </si>
  <si>
    <t>4-year</t>
  </si>
  <si>
    <t>3-year</t>
  </si>
  <si>
    <t>5-year</t>
  </si>
  <si>
    <t>4 Post 40 Ton Portable Lift</t>
  </si>
  <si>
    <t>Pool Cars</t>
  </si>
  <si>
    <t>Pick-up Truck w/ Plow</t>
  </si>
  <si>
    <t>15-years</t>
  </si>
  <si>
    <t>Service Truck</t>
  </si>
  <si>
    <t>Fork Lift</t>
  </si>
  <si>
    <t>20-years</t>
  </si>
  <si>
    <t>Flatbed</t>
  </si>
  <si>
    <t>Air compressor</t>
  </si>
  <si>
    <t>10-years</t>
  </si>
  <si>
    <t>Maintenance Software</t>
  </si>
  <si>
    <t>Inground Lift</t>
  </si>
  <si>
    <t>Townwide Sidewalks - TAR</t>
  </si>
  <si>
    <t>Denehy Field Parking Lot</t>
  </si>
  <si>
    <t>Sage Park Parking Lot</t>
  </si>
  <si>
    <t>Timberlin Golf Course Parking Lot</t>
  </si>
  <si>
    <t>Town Hall Parking Lot</t>
  </si>
  <si>
    <t>Flatbed Truck with power lift tailgate</t>
  </si>
  <si>
    <t>Sweeper</t>
  </si>
  <si>
    <t>Storefront, Access Controls,Gutters (Town Hall)</t>
  </si>
  <si>
    <r>
      <t xml:space="preserve">Boulevard to Train Station - </t>
    </r>
    <r>
      <rPr>
        <sz val="11"/>
        <color rgb="FFFF0000"/>
        <rFont val="Calibri"/>
        <family val="2"/>
        <scheme val="minor"/>
      </rPr>
      <t>Town portion of $500,000 CRCOG grant for Brownfields</t>
    </r>
  </si>
  <si>
    <t>IAQ (Community Center)</t>
  </si>
  <si>
    <t>Gutters, Roof Trace and Masonry Repairs (Town Hall)</t>
  </si>
  <si>
    <t>Exterior repairs to Art League Building</t>
  </si>
  <si>
    <t>Electrical panel upgrade (Town Hall)</t>
  </si>
  <si>
    <t>Fire Alarm Upgrade (Town Hall)</t>
  </si>
  <si>
    <t>Town Hall Bathroom Renovations</t>
  </si>
  <si>
    <t>Library Bathroom Renovations</t>
  </si>
  <si>
    <t>Timberlin Clubhouse Floor</t>
  </si>
  <si>
    <t>Timberlin Clubhouse Bathroom Renovations</t>
  </si>
  <si>
    <t>Windows &amp; Doors replacement (Timberlin)</t>
  </si>
  <si>
    <t>Sage Park Field Lights</t>
  </si>
  <si>
    <t>Art League Building Renovations</t>
  </si>
  <si>
    <t>Window Replacement (Senior Center)</t>
  </si>
  <si>
    <t>Old Peck/Historical Society Renovations</t>
  </si>
  <si>
    <t>Meatinghouse Renovations</t>
  </si>
  <si>
    <t>HVAC upgrades (Pistol Creek)</t>
  </si>
  <si>
    <t>Physical Services Generator Upgrades</t>
  </si>
  <si>
    <t>Physical Services Facilities Addition</t>
  </si>
  <si>
    <t>Animal Control Building Renovations</t>
  </si>
  <si>
    <t>Townwide Phone System Upgrade</t>
  </si>
  <si>
    <t>Conversion to LED lighting - Library/Community Center ($100k each location)</t>
  </si>
  <si>
    <t>Lightening Detection System</t>
  </si>
  <si>
    <t>Sage 1 Field Improvements</t>
  </si>
  <si>
    <t>Conversion of Demore, Dinda, Bittner Jr. Memorial Pool into Splash Pad</t>
  </si>
  <si>
    <t>Sage 2 Field Improvements</t>
  </si>
  <si>
    <t>Bobcat</t>
  </si>
  <si>
    <t>9 Passenger Van</t>
  </si>
  <si>
    <t>9 Passenger Van (carryover capital from FY19 when Town was not awarded grant)</t>
  </si>
  <si>
    <t>12 Passenger Van</t>
  </si>
  <si>
    <t>Social Services Van</t>
  </si>
  <si>
    <t>Social Services</t>
  </si>
  <si>
    <t>Animal Control</t>
  </si>
  <si>
    <t>Animal Control Van</t>
  </si>
  <si>
    <t>Town Manager's Car</t>
  </si>
  <si>
    <t>BHS Track - Resurfacing (incl resurfacing, engineering ($6k) and surveying ($3k))</t>
  </si>
  <si>
    <t>Cooling tower upgrades</t>
  </si>
  <si>
    <t>Parking Lot - Griswold</t>
  </si>
  <si>
    <t>Parking Lot - Willard</t>
  </si>
  <si>
    <t>Parking Lot - Hubbard</t>
  </si>
  <si>
    <t>Parking Lot - McGee</t>
  </si>
  <si>
    <t>Sand &amp; refinish gym flooring - all schools (ex BHS)</t>
  </si>
  <si>
    <t>Lighting control upgrades - BHS</t>
  </si>
  <si>
    <t>Masonry Repointing - BHS</t>
  </si>
  <si>
    <t>Doors &amp; Hardware - BHS</t>
  </si>
  <si>
    <t>Chiller &amp; Pumps - McGee</t>
  </si>
  <si>
    <t>Elevator Modifications - McGee</t>
  </si>
  <si>
    <t>Elevator Modifications - Griswold</t>
  </si>
  <si>
    <t>Elevator Modifications - Willard</t>
  </si>
  <si>
    <t>Elevator Modifications - Hubbard</t>
  </si>
  <si>
    <t>Elevator Modifications - BHS</t>
  </si>
  <si>
    <t>McGee Generator</t>
  </si>
  <si>
    <t>Masonry Repointing - McGee</t>
  </si>
  <si>
    <t>Window Replacement - McGee</t>
  </si>
  <si>
    <t>Window Replacement - Willard</t>
  </si>
  <si>
    <t>Doors &amp; Hardware - Willard</t>
  </si>
  <si>
    <t>Masonry Repointing - Willard</t>
  </si>
  <si>
    <t>Masonry Repointing - Hubbard</t>
  </si>
  <si>
    <t>Window Replacement - Hubbard</t>
  </si>
  <si>
    <t>Doors &amp; Hardware - Hubbard</t>
  </si>
  <si>
    <t>McGee Rooftop Unit 1</t>
  </si>
  <si>
    <t>McGee Rooftop Unit 2</t>
  </si>
  <si>
    <t>Window Replacement - Griswold</t>
  </si>
  <si>
    <t>Doors &amp; Hardware - Griswold</t>
  </si>
  <si>
    <t>Boiler Replacement - Griswold</t>
  </si>
  <si>
    <t>Masonry Repointing - Griswold</t>
  </si>
  <si>
    <t>Sidewalks - Hubbard</t>
  </si>
  <si>
    <t>Sidewalks - Willard</t>
  </si>
  <si>
    <t>Sidewalks - Griswold</t>
  </si>
  <si>
    <t>Sidewalks - McGee</t>
  </si>
  <si>
    <t>Sidewalks - BHS</t>
  </si>
  <si>
    <t>Parking Lot - BHS</t>
  </si>
  <si>
    <t>Doors &amp; Hardware - McGee</t>
  </si>
  <si>
    <t>Water Heaters - all schools</t>
  </si>
  <si>
    <t>Exhaust Fans - all schools</t>
  </si>
  <si>
    <t>Water Pipe - Griswold</t>
  </si>
  <si>
    <t>Vehicle - Supervisor SUV ($32k/car + $6.5k/car equipment)</t>
  </si>
  <si>
    <t>(June 2028)</t>
  </si>
  <si>
    <t>Control Check</t>
  </si>
  <si>
    <t>Remove</t>
  </si>
  <si>
    <t>Remove Total</t>
  </si>
  <si>
    <t>Net Balance</t>
  </si>
  <si>
    <t>move to lower list</t>
  </si>
  <si>
    <t>use Timberlin CIP?  Push to FY23 or 24?</t>
  </si>
  <si>
    <t>Various interior repairs at Sr Ctr (kitchen, level raised flooring, greenhouse)</t>
  </si>
  <si>
    <t>existing</t>
  </si>
  <si>
    <t>reduced by 50% per Doug</t>
  </si>
  <si>
    <t>lighting, bathroom modifications</t>
  </si>
  <si>
    <t>hold until bigger projects are completed at the pools</t>
  </si>
  <si>
    <t>increases $10k based on quote</t>
  </si>
  <si>
    <t>Library - Architectural Study of First Floor Renovation</t>
  </si>
  <si>
    <t>removed as duplicate w/ Public Bldgs Sr Ctr renovations</t>
  </si>
  <si>
    <t>Proposed General Fund Capital Budget:</t>
  </si>
  <si>
    <t>Items Removed From Department Capital Proposals:</t>
  </si>
  <si>
    <t>TOTAL DEPARTMENT SUBMISSIONS - General Fund</t>
  </si>
  <si>
    <t>GO BONDS</t>
  </si>
  <si>
    <t>BANS</t>
  </si>
  <si>
    <t>June 2020 Borrowing:</t>
  </si>
  <si>
    <t>Bridges (2019)</t>
  </si>
  <si>
    <t>All new money borrowing (Spruce Brook Bridge)</t>
  </si>
  <si>
    <t>Roofs</t>
  </si>
  <si>
    <t>Fire Vehicles</t>
  </si>
  <si>
    <t>All new money borrowing (Replace Berlin-Peck Memorial Library Roof)</t>
  </si>
  <si>
    <t>All new money borrowing (Squad units)</t>
  </si>
  <si>
    <t>All new money borrowing (Engine)</t>
  </si>
  <si>
    <t>Fiscal Year 2020 Proposed Capital Budget</t>
  </si>
  <si>
    <t>(excludes Berlin Water Control - budgeted separately)</t>
  </si>
  <si>
    <t>TOTAL GENERAL FUND CAPITAL BUDGET</t>
  </si>
  <si>
    <t>Edgewood Road Bridge (engineering in FY20; construction in FY21)</t>
  </si>
  <si>
    <t>Sage Auxiliary conversion to artificial surface</t>
  </si>
  <si>
    <t>Library - First Floor Renovation - new comm ctr loc first</t>
  </si>
  <si>
    <t>New Garage Facility</t>
  </si>
  <si>
    <t>Debt</t>
  </si>
  <si>
    <t>Carryover TBD based on additional rehab projects</t>
  </si>
  <si>
    <t>(Nov 2019)</t>
  </si>
  <si>
    <t>(Jan 2019)</t>
  </si>
  <si>
    <t>(Jan 2020)</t>
  </si>
  <si>
    <t>(Nov 2020)</t>
  </si>
  <si>
    <t>(Jan 2021)</t>
  </si>
  <si>
    <t>(Nov 2021)</t>
  </si>
  <si>
    <t>(Jan 2022)</t>
  </si>
  <si>
    <t>(Nov 2022)</t>
  </si>
  <si>
    <t>Burnham Street Bridge (47% State)</t>
  </si>
  <si>
    <t>Spruce Brook Bridge (30% State)</t>
  </si>
  <si>
    <t>(July 2019)</t>
  </si>
  <si>
    <t>(July 2020)</t>
  </si>
  <si>
    <t>(July 2021)</t>
  </si>
  <si>
    <t>(July 2022)</t>
  </si>
  <si>
    <t>*  2020 existing funding represents the Town "fronting" the grant money for each bridge.  This rollforward assumes the Town will receive the grant reimbursement for each bridge late in the calendar year when work is completed.</t>
  </si>
  <si>
    <t>High Road - complete bridge spring 2019</t>
  </si>
  <si>
    <t>Construction</t>
  </si>
  <si>
    <t>Completion</t>
  </si>
  <si>
    <t>------------------------------------------------------------------------------------------------------------------------------&gt;</t>
  </si>
  <si>
    <t>Kensington Bridge* (50% reimbursement)</t>
  </si>
  <si>
    <t>Balance at end of calendar 2022:</t>
  </si>
  <si>
    <t>Bridge Rehab</t>
  </si>
  <si>
    <t>actual balance depends on bridge rehab programs after 2019</t>
  </si>
  <si>
    <t>Bridge Construction</t>
  </si>
  <si>
    <t>actual balance depends on actual costs for each bridge &amp; will be available in spring 2023 for future bridge construction funding</t>
  </si>
  <si>
    <t>Debt required to complete projects:</t>
  </si>
  <si>
    <t>Burnham borrowing (2018 ordinance)</t>
  </si>
  <si>
    <t>Spruce Street (new ordinance required during Q4 2019/Q1 2020)</t>
  </si>
  <si>
    <t>Revolving Bridge Funding Strategy</t>
  </si>
  <si>
    <t>Existing</t>
  </si>
  <si>
    <t>Fund</t>
  </si>
  <si>
    <t>General</t>
  </si>
  <si>
    <t>Reimb</t>
  </si>
  <si>
    <t>State/Fed</t>
  </si>
  <si>
    <t>New Police Station</t>
  </si>
  <si>
    <t>Zipadelli Field  conversion to artifical surface</t>
  </si>
  <si>
    <t>889 Remediation (Regional &amp; Municipal Brownfields Grants)</t>
  </si>
  <si>
    <t>889 Remediation (EPA/CRCOG Grant)</t>
  </si>
  <si>
    <t>Boulevard to Train Station (STEAP Grant)</t>
  </si>
  <si>
    <t>Main Street Streetscape II (STEAP Grant)</t>
  </si>
  <si>
    <t>Community Connectivity Grant (Sidewalk connections)</t>
  </si>
  <si>
    <t>TOTAL TM REDUCTIONS:</t>
  </si>
  <si>
    <t>TOTAL COMMITTEE REDUCTIONS:</t>
  </si>
  <si>
    <t>TOTAL REDUCTIONS:</t>
  </si>
  <si>
    <t>Total Funding</t>
  </si>
  <si>
    <t>Municipal Projects (only spent if included in adopted State budget for FY20)</t>
  </si>
  <si>
    <t>Road &amp; Bridge (140)</t>
  </si>
  <si>
    <t>Economic Dev (504)</t>
  </si>
  <si>
    <t>Brownfields (540)</t>
  </si>
  <si>
    <t>School Security (566)</t>
  </si>
  <si>
    <t>`</t>
  </si>
  <si>
    <r>
      <t xml:space="preserve">CRCOG Road Grant - </t>
    </r>
    <r>
      <rPr>
        <sz val="11"/>
        <color rgb="FFFF0000"/>
        <rFont val="Calibri"/>
        <family val="2"/>
        <scheme val="minor"/>
      </rPr>
      <t>Funded upfront, not a reimbursable grant</t>
    </r>
  </si>
  <si>
    <t>TOTAL REIMBURSABLE GRANTS</t>
  </si>
  <si>
    <t>TOTAL UPFRONT FUNDED GRANTS</t>
  </si>
  <si>
    <t>TOTAL GRANTS</t>
  </si>
  <si>
    <t>Budget Source</t>
  </si>
  <si>
    <r>
      <t xml:space="preserve">School Security Vestibules - </t>
    </r>
    <r>
      <rPr>
        <sz val="11"/>
        <color rgb="FFFF0000"/>
        <rFont val="Calibri"/>
        <family val="2"/>
        <scheme val="minor"/>
      </rPr>
      <t>Funded with FY17, FY18 &amp; Sherwood Mill Funds</t>
    </r>
  </si>
  <si>
    <t>Existing/Grant</t>
  </si>
  <si>
    <t>GF/Grant</t>
  </si>
  <si>
    <t>Main Roads Project (Porter's Pass, Deming, Masserio)</t>
  </si>
  <si>
    <t>Transfer</t>
  </si>
  <si>
    <r>
      <t xml:space="preserve">School Security Equipment (Competitive School Security Grant) - </t>
    </r>
    <r>
      <rPr>
        <sz val="11"/>
        <color rgb="FFFF0000"/>
        <rFont val="Calibri"/>
        <family val="2"/>
        <scheme val="minor"/>
      </rPr>
      <t>Transfer ($232,902 reimbursed, rolled into '19 grant)</t>
    </r>
  </si>
  <si>
    <r>
      <t xml:space="preserve">889 Remediation (Regional &amp; Municipal Brownfields Grants) - </t>
    </r>
    <r>
      <rPr>
        <sz val="11"/>
        <color rgb="FFFF0000"/>
        <rFont val="Calibri"/>
        <family val="2"/>
        <scheme val="minor"/>
      </rPr>
      <t>ongoing testing will become part of GF budget</t>
    </r>
  </si>
  <si>
    <r>
      <t xml:space="preserve">Bridge Preservation Work (Worthington Ridge,  Berlin Street, Wildermere Road and Heritage Drive) - </t>
    </r>
    <r>
      <rPr>
        <sz val="11"/>
        <color rgb="FFFF0000"/>
        <rFont val="Calibri"/>
        <family val="2"/>
        <scheme val="minor"/>
      </rPr>
      <t>Reimbursable</t>
    </r>
  </si>
  <si>
    <t>Grant funding secured to pay for…</t>
  </si>
  <si>
    <t xml:space="preserve">     Bridges</t>
  </si>
  <si>
    <t xml:space="preserve">     Roads</t>
  </si>
  <si>
    <t xml:space="preserve">     School security</t>
  </si>
  <si>
    <t xml:space="preserve">     Farmington Ave. economic development</t>
  </si>
  <si>
    <t xml:space="preserve">     Sidewalks</t>
  </si>
  <si>
    <t xml:space="preserve">     Main Street economic development</t>
  </si>
  <si>
    <t>Records Management Program</t>
  </si>
  <si>
    <t>Annual</t>
  </si>
  <si>
    <t>Project prep/close out work:</t>
  </si>
  <si>
    <t>Engineering for Edgewood Road Bridge</t>
  </si>
  <si>
    <t>Preparation for Spruce Brook Road Bridge</t>
  </si>
  <si>
    <t>Engineering for Kensington Road Bridge</t>
  </si>
  <si>
    <t>Review of Paper Goods Pond Dam</t>
  </si>
  <si>
    <t>Denehy Field Parking Lot - use millings (free)</t>
  </si>
  <si>
    <t>Renovate all Little League concessions</t>
  </si>
  <si>
    <r>
      <t xml:space="preserve">Town-Aid Road - </t>
    </r>
    <r>
      <rPr>
        <sz val="11"/>
        <color rgb="FFFF0000"/>
        <rFont val="Calibri"/>
        <family val="2"/>
        <scheme val="minor"/>
      </rPr>
      <t>includes $100,000 Edgewood Rd Engineering, $200,0000 Griswold School Parking Lot</t>
    </r>
  </si>
  <si>
    <r>
      <t xml:space="preserve">Bridge Preservation Work (4-Bridge Program) - </t>
    </r>
    <r>
      <rPr>
        <sz val="11"/>
        <color rgb="FFFF0000"/>
        <rFont val="Calibri"/>
        <family val="2"/>
        <scheme val="minor"/>
      </rPr>
      <t>80% reimbursement, roll any balance  into future preservation work</t>
    </r>
  </si>
  <si>
    <t>TAR</t>
  </si>
  <si>
    <t>$250,000 in funding may be needed for Farmington Ave. dispute with contractor</t>
  </si>
  <si>
    <r>
      <t xml:space="preserve">Bridge Rehab Program - </t>
    </r>
    <r>
      <rPr>
        <sz val="11"/>
        <color rgb="FFFF0000"/>
        <rFont val="Calibri"/>
        <family val="2"/>
        <scheme val="minor"/>
      </rPr>
      <t>validate cost (bond ord needed?)</t>
    </r>
  </si>
  <si>
    <r>
      <t xml:space="preserve">Edgewood Bridge* (50% reimbursement) - </t>
    </r>
    <r>
      <rPr>
        <sz val="11"/>
        <color rgb="FFFF0000"/>
        <rFont val="Calibri"/>
        <family val="2"/>
        <scheme val="minor"/>
      </rPr>
      <t>existing in 2020 from Bridge Rehab</t>
    </r>
  </si>
  <si>
    <t>Various interior repairs at sr ctr (kitchen, level raised flooring)</t>
  </si>
  <si>
    <t>Lightning Detection System</t>
  </si>
  <si>
    <t>TOTAL TC REDUCTIONS:</t>
  </si>
  <si>
    <t>Fiscal Year 2021 Proposed Capital Budget</t>
  </si>
  <si>
    <t>PROPOSED FY21 BOND PLAN</t>
  </si>
  <si>
    <t>FY21 MAJOR CAPITAL PROJECTS</t>
  </si>
  <si>
    <t>FY30</t>
  </si>
  <si>
    <r>
      <t xml:space="preserve">Stormwater Management - </t>
    </r>
    <r>
      <rPr>
        <sz val="11"/>
        <color rgb="FFFF0000"/>
        <rFont val="Calibri"/>
        <family val="2"/>
        <scheme val="minor"/>
      </rPr>
      <t>moved to operating in FY20</t>
    </r>
  </si>
  <si>
    <r>
      <t xml:space="preserve">MUTCD Signs - </t>
    </r>
    <r>
      <rPr>
        <sz val="11"/>
        <color rgb="FFFF0000"/>
        <rFont val="Calibri"/>
        <family val="2"/>
        <scheme val="minor"/>
      </rPr>
      <t>moved to operating in FY20</t>
    </r>
  </si>
  <si>
    <r>
      <t xml:space="preserve">Recycling Center Improvements - </t>
    </r>
    <r>
      <rPr>
        <sz val="11"/>
        <color rgb="FFFF0000"/>
        <rFont val="Calibri"/>
        <family val="2"/>
        <scheme val="minor"/>
      </rPr>
      <t>moved to operating in FY20</t>
    </r>
  </si>
  <si>
    <t>Equipment Purchase - annual piece of equipment TBD by the Golf Course Director in conjuction with the Golf Commission &amp; Town Manager</t>
  </si>
  <si>
    <t>TOTAL LONG-TERM BORROWING (all NEW MONEY)</t>
  </si>
  <si>
    <t>January 2021 Borrowing:</t>
  </si>
  <si>
    <r>
      <t>PROPOSED FY21 GRANTS</t>
    </r>
    <r>
      <rPr>
        <sz val="14"/>
        <color theme="1"/>
        <rFont val="Calibri"/>
        <family val="2"/>
        <scheme val="minor"/>
      </rPr>
      <t xml:space="preserve"> - </t>
    </r>
    <r>
      <rPr>
        <sz val="14"/>
        <color rgb="FFFF0000"/>
        <rFont val="Calibri"/>
        <family val="2"/>
        <scheme val="minor"/>
      </rPr>
      <t>TO BE UPDATED</t>
    </r>
  </si>
  <si>
    <t>Railroad Pond Dam (including Fishway)</t>
  </si>
  <si>
    <t>Jail cells</t>
  </si>
  <si>
    <t>1.  4-Bridge Preservation Project (latest bid projection is higher than originally communicated)</t>
  </si>
  <si>
    <t>2.  Glen Street - identified as Critical by State DOT</t>
  </si>
  <si>
    <t>3.  Boulevard off Farmington Ave (grant funded - possible Town money if bids are higher than originally expected)</t>
  </si>
  <si>
    <t>4.  889 Remediation (grant funded with some Town match - possibly more Town money if costs exceed estimates)</t>
  </si>
  <si>
    <t>5.  Main Street Streetscape II (grant funded)</t>
  </si>
  <si>
    <t>6.  Community Connectivity Project (sidewalks near Farmington Ave) - Town money for engineering</t>
  </si>
  <si>
    <t>7.  CRCOG grant for roads in center of Town (Burnham, Porter's Pass, Masserio, Deming)</t>
  </si>
  <si>
    <t>8.  Local roads (municipal projects grant funded)</t>
  </si>
  <si>
    <t>(June 2029)</t>
  </si>
  <si>
    <t>New lift gate for Box truck</t>
  </si>
  <si>
    <r>
      <rPr>
        <b/>
        <sz val="11"/>
        <color theme="1"/>
        <rFont val="Calibri"/>
        <family val="2"/>
        <scheme val="minor"/>
      </rPr>
      <t>TAR</t>
    </r>
    <r>
      <rPr>
        <sz val="11"/>
        <color theme="1"/>
        <rFont val="Calibri"/>
        <family val="2"/>
        <scheme val="minor"/>
      </rPr>
      <t>: Town Aid Road - grant from State of Connecticut; including in annual State budget, but subject to removal annually</t>
    </r>
  </si>
  <si>
    <t>Replace voting machines (and related items/equipment)</t>
  </si>
  <si>
    <t>Boulevard to Train Station (supplement STEAP grant)</t>
  </si>
  <si>
    <t>AED (Automatic External Defibrillator) replacement</t>
  </si>
  <si>
    <t>In-car audio/video replacement &amp; body camera integration</t>
  </si>
  <si>
    <t>Large Utility Vehicle</t>
  </si>
  <si>
    <t>Fairway Mower</t>
  </si>
  <si>
    <t>Greens Mower</t>
  </si>
  <si>
    <t>Large Rough Mower</t>
  </si>
  <si>
    <t>Chemical Sprayer</t>
  </si>
  <si>
    <t>Dump Body Utility Vehicle</t>
  </si>
  <si>
    <t>Hauling Tractor</t>
  </si>
  <si>
    <t>Field Improvements - Centurelli Field</t>
  </si>
  <si>
    <t>Field Improvements - Dennehy &amp; Smith Fields</t>
  </si>
  <si>
    <t>Field Improvements - Baretta Field</t>
  </si>
  <si>
    <t>Field Improvements - Percival Field</t>
  </si>
  <si>
    <t>Field Improvements - Petit 1 Field</t>
  </si>
  <si>
    <t>Field Improvements - Petit 2 Field</t>
  </si>
  <si>
    <t>Field Improvements - Zipadelli Field</t>
  </si>
  <si>
    <t>Replace artificial turf at Scalise Field</t>
  </si>
  <si>
    <t>Replace equipment at Community Playground</t>
  </si>
  <si>
    <t>Replace equipment at Little People's Playground</t>
  </si>
  <si>
    <t>Percival Pool Maintenance</t>
  </si>
  <si>
    <t>Demore, Dinda, Bittner Jr. Memorial Pool Maintenance</t>
  </si>
  <si>
    <t>BHS - Biscoglio Field - upgrade to synthetic</t>
  </si>
  <si>
    <t>Field Improvements - BHS West Field</t>
  </si>
  <si>
    <t>Field Improvements - McGee Playing Fields</t>
  </si>
  <si>
    <t>Field Improvements - Garrity &amp; Pulcini Fields @ Griswold</t>
  </si>
  <si>
    <t>Field Improvements - Willard Softball &amp; Soccer Fields</t>
  </si>
  <si>
    <t>Reconstruct McGee Basketball/Tennis Courts</t>
  </si>
  <si>
    <t>Replace Equipment at Willard School Playgrounds</t>
  </si>
  <si>
    <r>
      <t xml:space="preserve">Kensington Road Bridge - </t>
    </r>
    <r>
      <rPr>
        <sz val="11"/>
        <color rgb="FFFF0000"/>
        <rFont val="Calibri"/>
        <family val="2"/>
        <scheme val="minor"/>
      </rPr>
      <t>verify grant amount</t>
    </r>
  </si>
  <si>
    <t>Glen Street Bridge - Option 1</t>
  </si>
  <si>
    <t>Re-build Front End Loader</t>
  </si>
  <si>
    <t>Excavator</t>
  </si>
  <si>
    <t>Fifteen Ton Tag Trailer</t>
  </si>
  <si>
    <t>Guardrail Mower Attachments</t>
  </si>
  <si>
    <t>Security Vehicle</t>
  </si>
  <si>
    <t>McGee Library Media Center (Lighting, Carpeting)</t>
  </si>
  <si>
    <t>Hubbard Elementary School (Lighting)</t>
  </si>
  <si>
    <t>Hubbard Library Media Center (Carpeting, Millwork)</t>
  </si>
  <si>
    <t>McGee Middle School (Television Studio)</t>
  </si>
  <si>
    <t>Floor Tiles (Griswold, Hubbard, Willard)</t>
  </si>
  <si>
    <t>Office Reconfiguration (Griswold, Hubbard, McGee, Willard)</t>
  </si>
  <si>
    <t>Lavatory Upgrades (Griswold, Hubbard, Willard)</t>
  </si>
  <si>
    <t>Emergency Notification System</t>
  </si>
  <si>
    <t>Assessor's Car</t>
  </si>
  <si>
    <t>Building Inspector's Car</t>
  </si>
  <si>
    <t>Public Work's/Engineering - SUV</t>
  </si>
  <si>
    <t>Public Work's/Engineering - Passenger Car</t>
  </si>
  <si>
    <t>Facilities - Van</t>
  </si>
  <si>
    <t>Facilities - Supervisor's Vehicle</t>
  </si>
  <si>
    <t>Backhoe (New/Used)</t>
  </si>
  <si>
    <t>Nursing - Passenger Cars</t>
  </si>
  <si>
    <t>ADA upgrades (townwide)</t>
  </si>
  <si>
    <t>Fire &amp; Security Upgrades (various buildings)</t>
  </si>
  <si>
    <t>Overhead Door Replacement (Highway Garages)</t>
  </si>
  <si>
    <t>Sage 1 Field Improvements (incl lights expensed in 38)</t>
  </si>
  <si>
    <t>Identified projects not included in the Capital Improvement Plan (amt is estimated; timing is TBD, referendum requiredf or $5 million+ requests):</t>
  </si>
  <si>
    <t>Glass Enclosure for digital media lab/makerspace</t>
  </si>
  <si>
    <t>Trackless</t>
  </si>
  <si>
    <t>Track Snow Machine</t>
  </si>
  <si>
    <t>Scalise Field Scoreboard</t>
  </si>
  <si>
    <t>Security Cameras (Griswold)</t>
  </si>
  <si>
    <t>Radio System - district-wide for security guards</t>
  </si>
  <si>
    <t>SUV</t>
  </si>
  <si>
    <t>Crane Truck</t>
  </si>
  <si>
    <t>Pickup Trucks</t>
  </si>
  <si>
    <t>Loader</t>
  </si>
  <si>
    <t>Sealing Maholes Evaluations/Repair</t>
  </si>
  <si>
    <t>Belcher Brook Relining - CWF Loan</t>
  </si>
  <si>
    <t>Requested</t>
  </si>
  <si>
    <t>Committee</t>
  </si>
  <si>
    <t>Town Mgr</t>
  </si>
  <si>
    <t>BOF</t>
  </si>
  <si>
    <t>TC</t>
  </si>
  <si>
    <t>General Fund Capital Improvement Plan (CIP)</t>
  </si>
  <si>
    <t>Fiscal Year 2021</t>
  </si>
  <si>
    <t>Mobile Data Terminals (MDT)</t>
  </si>
  <si>
    <r>
      <t xml:space="preserve">Vehicle - Patrol Units - </t>
    </r>
    <r>
      <rPr>
        <sz val="11"/>
        <color rgb="FFFF0000"/>
        <rFont val="Calibri"/>
        <family val="2"/>
        <scheme val="minor"/>
      </rPr>
      <t>($46.5k per car w/ equipment)</t>
    </r>
  </si>
  <si>
    <t>Wash Bay (incl contingency)</t>
  </si>
  <si>
    <t>Key budgetary assumptions considered in developing FY 2021 capital plan:</t>
  </si>
  <si>
    <t>b) reducing annual debt service payments (in the General Fund budget) in the medium-to-long-term.</t>
  </si>
  <si>
    <t>May 2016 Ref</t>
  </si>
  <si>
    <t>Principal</t>
  </si>
  <si>
    <t>to be Retired</t>
  </si>
  <si>
    <t>no GO bonds issued in FY 2018</t>
  </si>
  <si>
    <t>2)  Target $2 million of capital funded through the General Fund budget presented to voters at referendum.</t>
  </si>
  <si>
    <t>GO Bonds</t>
  </si>
  <si>
    <t>BANs</t>
  </si>
  <si>
    <t>Premium from</t>
  </si>
  <si>
    <t>June 2019 Issue</t>
  </si>
  <si>
    <t>3)  The Town received $458,125.92 in premium from the June 2019 bond/BAN sales.  This money is available to</t>
  </si>
  <si>
    <t xml:space="preserve">      be used like bond proceeds but the use of this money requires a bond ordinance to be adopted by the Town</t>
  </si>
  <si>
    <t xml:space="preserve">      Council and Board of Finance.  The Committee will recommend the best of the premium.</t>
  </si>
  <si>
    <t xml:space="preserve">      Some projects for consideration (not an exclusive list) are the Wash Bay, partial funding of a new fire vehicle,</t>
  </si>
  <si>
    <t xml:space="preserve">      Glen Street Bridge (20-30 year repair solution, 100% town-funded), upgrade Sage I with a grass field, building and lights.</t>
  </si>
  <si>
    <t>4)  The Town is budgeted (within the adopted FY 2020 State budget) to received $125,580 in a LoCIP grant on March 2, 2020 (normally</t>
  </si>
  <si>
    <t xml:space="preserve">      the grant is made on March 1st, but March 1, 2020 is a Sunday so the grant is expected the first business day following the 1st).</t>
  </si>
  <si>
    <t xml:space="preserve">      When the Town Hall door project is complete, the Town will have $200-220k in total available LoCIP grant funds.  These funds may be</t>
  </si>
  <si>
    <t xml:space="preserve">       used for any project that meets the LoCIP criteria (most Public Works/Grounds/Buildings projects except school building projects).</t>
  </si>
  <si>
    <t>SUMMARY:</t>
  </si>
  <si>
    <t>Available funds (outside of the FY 2021 budget):</t>
  </si>
  <si>
    <t>Premium</t>
  </si>
  <si>
    <t>Request up to $2 million in General Fund capital within the FY 2021 budget.</t>
  </si>
  <si>
    <t>a) maintaining or lowering the Town's overall debt level in the short-term, and</t>
  </si>
  <si>
    <t>Issue Yr.</t>
  </si>
  <si>
    <t>2011 bonds finish/2016 refunding bonds replace 2011 bonds</t>
  </si>
  <si>
    <t xml:space="preserve">      the Town is repaying in GO bond principal each year.  This strategy will result in:</t>
  </si>
  <si>
    <t>1)  One of the components of the existing capital planning strategy (since FY 2018) is to borrow less than</t>
  </si>
  <si>
    <t>ISSUE NEW DEBT AT OR BELOW THIS LEVEL</t>
  </si>
  <si>
    <t>Timberlin Maintenance Shop Exterior</t>
  </si>
  <si>
    <t>Education</t>
  </si>
  <si>
    <t>Infrastructure</t>
  </si>
  <si>
    <t>Fire Training Tower</t>
  </si>
  <si>
    <t>Police Vehicles</t>
  </si>
  <si>
    <t>Police AEDs</t>
  </si>
  <si>
    <t>4-Post Vehicle Lift</t>
  </si>
  <si>
    <t>Glen St. Bridge</t>
  </si>
  <si>
    <t>Town Hall Drive</t>
  </si>
  <si>
    <t>Town Fire &amp; Security Upgrades</t>
  </si>
  <si>
    <t>Hwy Garage Overhead Door</t>
  </si>
  <si>
    <t>TH Gutters, Roof Trace and Masonry Repairs</t>
  </si>
  <si>
    <t xml:space="preserve">Demo. Deming Road House </t>
  </si>
  <si>
    <t>TH Bathroom Renovations</t>
  </si>
  <si>
    <t>Timberlin Windows &amp; Doors</t>
  </si>
  <si>
    <t>Upgrade/Repairs Sage Park restrooms</t>
  </si>
  <si>
    <t>Vehicles/Equipment</t>
  </si>
  <si>
    <t>Small dump truck - Timberlin</t>
  </si>
  <si>
    <t>Backhoe (New/Used) - Timberlin</t>
  </si>
  <si>
    <t>Large Utility Vehicle - Timberlin</t>
  </si>
  <si>
    <t>Recreation/Cultural</t>
  </si>
  <si>
    <t>Makerspace Glass Enclosure (BP Library)</t>
  </si>
  <si>
    <t>Sage I Improvements</t>
  </si>
  <si>
    <t>Percival Field Improvements</t>
  </si>
  <si>
    <t>Public Grounds Pick Up</t>
  </si>
  <si>
    <t>School Vans</t>
  </si>
  <si>
    <t>School Security Guard Vehicle</t>
  </si>
  <si>
    <t>Garrity &amp; Pulcini Fields Improvements</t>
  </si>
  <si>
    <t>District-wide Radio System</t>
  </si>
  <si>
    <t>Office Reconfig. (Griswold, Hubbard, McGee, Willard)</t>
  </si>
  <si>
    <t>Timberlin Pick Up</t>
  </si>
  <si>
    <r>
      <t xml:space="preserve">FY 2020 CAPITAL COMMITTEE </t>
    </r>
    <r>
      <rPr>
        <b/>
        <u/>
        <sz val="40"/>
        <color theme="1"/>
        <rFont val="Calibri"/>
        <family val="2"/>
        <scheme val="minor"/>
      </rPr>
      <t>GENERAL FUND</t>
    </r>
    <r>
      <rPr>
        <b/>
        <sz val="40"/>
        <color theme="1"/>
        <rFont val="Calibri"/>
        <family val="2"/>
        <scheme val="minor"/>
      </rPr>
      <t xml:space="preserve"> CAPITAL RECOMMENDATIONS</t>
    </r>
  </si>
  <si>
    <t>Kensington Rd Bridge</t>
  </si>
  <si>
    <t>Town wide ADA upgrades</t>
  </si>
  <si>
    <t>Farm. Ave. Blvd.</t>
  </si>
  <si>
    <t>Assumes $458,000 bond premium (from June 2019 bond/BAN sale) will be used to pay for the new Wash Bay at the Town Complex.</t>
  </si>
  <si>
    <r>
      <t xml:space="preserve">FY 2020 DEPARTMENT </t>
    </r>
    <r>
      <rPr>
        <b/>
        <u/>
        <sz val="40"/>
        <color theme="1"/>
        <rFont val="Calibri"/>
        <family val="2"/>
        <scheme val="minor"/>
      </rPr>
      <t>GENERAL FUND</t>
    </r>
    <r>
      <rPr>
        <b/>
        <sz val="40"/>
        <color theme="1"/>
        <rFont val="Calibri"/>
        <family val="2"/>
        <scheme val="minor"/>
      </rPr>
      <t xml:space="preserve"> CAPITAL REQUESTS</t>
    </r>
  </si>
  <si>
    <t>Surplus</t>
  </si>
  <si>
    <t>Upgrade &amp; repairs of Sage Park restrooms (Scalise Turf funds)</t>
  </si>
  <si>
    <t>Sage 1 Field Improvements (incl lights expensed in 38) - using surplus</t>
  </si>
  <si>
    <t>Emergency Notification System - using competitive security grant</t>
  </si>
  <si>
    <t>Radio System - district-wide for security guards - using competitive security grant</t>
  </si>
  <si>
    <t>rated Critical by State DOT</t>
  </si>
  <si>
    <t>fund project through various grants</t>
  </si>
  <si>
    <t>use remaining balance in Scalise Turf bond to start repairs</t>
  </si>
  <si>
    <t>use FY19 surplus funds</t>
  </si>
  <si>
    <t>engineering costs; construction 100% grant funded</t>
  </si>
  <si>
    <t>(4)  $4,700,000 of bonding for:</t>
  </si>
  <si>
    <t>(a)  $2,500,000 Willard HVAC replacement (piping in summer 2020; balance of work 2020-21)</t>
  </si>
  <si>
    <t>(2)  $200,000 in LoCIP funding used for Willard parking lot/loading dock replacement</t>
  </si>
  <si>
    <t>(c)  $    800,000 replace pumper at South Kensington Fire Dept. - covers areas of town without water supply</t>
  </si>
  <si>
    <t>(b)  $1,400,000 Spruce Brook Bridge replacement</t>
  </si>
  <si>
    <t>critical piece of equipment for Highway Dept.</t>
  </si>
  <si>
    <t>intend to replace two vans - safety issue</t>
  </si>
  <si>
    <t>using old police vehicle; cost is to equip for guard use</t>
  </si>
  <si>
    <t>(1)  $450,000 bond premium (from June 2019 bond/BAN sale) will be used to pay for the new Wash Bay at the Town Complex</t>
  </si>
  <si>
    <t>applied to use security grant to fund</t>
  </si>
  <si>
    <t>TC approved 10/15/2019 mtg - will be completed in FY20</t>
  </si>
  <si>
    <t>4 vehicles plus new equip (equip req. b/c of new car design)</t>
  </si>
  <si>
    <t>Non-General Fund Funding Proposal</t>
  </si>
  <si>
    <t>yr. 1 of 2-yr project to replace both units</t>
  </si>
  <si>
    <t>PROPOSED FY 2021 CAPITAL BUDGET</t>
  </si>
  <si>
    <t>Paving Box</t>
  </si>
  <si>
    <t>Edgewood Road Bridge (engineering in FY21; construction in FY24)</t>
  </si>
  <si>
    <t>current chipper designed for brush, need larger chipper</t>
  </si>
  <si>
    <t>Fiscal Year 2020-21 Capital Committee</t>
  </si>
  <si>
    <t>Arosha Jayawickrema, Interim Town Manager</t>
  </si>
  <si>
    <t>Mark Holmes, Board of Finance</t>
  </si>
  <si>
    <t>Mike Ahern, Public Works Director</t>
  </si>
  <si>
    <t>Jeff Cugno, Director BOE Business Operations</t>
  </si>
  <si>
    <t>Kevin Delaney, Finance Director</t>
  </si>
  <si>
    <t>Gail Erickson, Assistant Finance Director</t>
  </si>
  <si>
    <t>Doug Solek, Facilities Director</t>
  </si>
  <si>
    <t>use BHS project retainage fds when audit completed</t>
  </si>
  <si>
    <t>supplement $786k grant to maintain 5.1 mile/yr. plan</t>
  </si>
  <si>
    <t>Garrity &amp; Pulcini Improvements</t>
  </si>
  <si>
    <t>Makerspace Glass Enclosure</t>
  </si>
  <si>
    <t>Upgrade Sage Park restrooms</t>
  </si>
  <si>
    <t>Timberlin Maintenance Bldg</t>
  </si>
  <si>
    <t>McGee Library Media Center*</t>
  </si>
  <si>
    <t>Hubbard Library Media Center*</t>
  </si>
  <si>
    <t>Lavatory Upgrades (elem. schools)</t>
  </si>
  <si>
    <t>Office Reconfig. (all schools ex. BHS)</t>
  </si>
  <si>
    <t>TH Gutters, Roof Trace &amp; Masonry</t>
  </si>
  <si>
    <t>McGee TV Studio</t>
  </si>
  <si>
    <t>Hubbard Lighting</t>
  </si>
  <si>
    <t>Floor Tiles (elem. schools)</t>
  </si>
  <si>
    <t>Backhoe - Timberlin</t>
  </si>
  <si>
    <t>Lg. Utility Vehicle - Timberlin</t>
  </si>
  <si>
    <t>* Library Media Center upgrades vary by school and include carpeting, lighting &amp; millwork</t>
  </si>
  <si>
    <t>(3)  $495,000 - $600,000 of FY19 surplus funds used to fund Sage I field improvements, lighting upgrades and new building for restrooms/concession (final amt. TBD based on result of study)</t>
  </si>
  <si>
    <t>use FY21 school security transfer</t>
  </si>
  <si>
    <t>roof presenting health/safety issues</t>
  </si>
  <si>
    <t>Jim Simons, Fleet Manager/Fire Admin.</t>
  </si>
  <si>
    <t>Recreation/Culture</t>
  </si>
  <si>
    <t>Non-General Fund Proposal</t>
  </si>
  <si>
    <t>Farmington Ave. Blvd.</t>
  </si>
  <si>
    <t>McGee Library Media Center</t>
  </si>
  <si>
    <t>Hubbard Library Media Center</t>
  </si>
  <si>
    <t>bond engineering costs</t>
  </si>
  <si>
    <t>bond construction costs</t>
  </si>
  <si>
    <r>
      <t xml:space="preserve">(2)  $200,000 in LoCIP funding used for Willard parking lot/loading dock replacement </t>
    </r>
    <r>
      <rPr>
        <b/>
        <sz val="48"/>
        <color rgb="FFFF0000"/>
        <rFont val="Calibri"/>
        <family val="2"/>
        <scheme val="minor"/>
      </rPr>
      <t>DELAY UNTIL SUMMER 2021</t>
    </r>
  </si>
  <si>
    <r>
      <t xml:space="preserve">(b)  $1,400,000 Spruce Brook Bridge replacement </t>
    </r>
    <r>
      <rPr>
        <b/>
        <sz val="44"/>
        <color rgb="FFFF0000"/>
        <rFont val="Calibri"/>
        <family val="2"/>
        <scheme val="minor"/>
      </rPr>
      <t>REVISE AMOUNT TO $2,400,000</t>
    </r>
  </si>
  <si>
    <t>(d)  $1,150,000 Roads</t>
  </si>
  <si>
    <t>bond all road repair costs</t>
  </si>
  <si>
    <r>
      <t xml:space="preserve">(3)  </t>
    </r>
    <r>
      <rPr>
        <b/>
        <strike/>
        <sz val="48"/>
        <color rgb="FFFF0000"/>
        <rFont val="Calibri"/>
        <family val="2"/>
        <scheme val="minor"/>
      </rPr>
      <t xml:space="preserve">$495,000 - </t>
    </r>
    <r>
      <rPr>
        <b/>
        <sz val="48"/>
        <color theme="1"/>
        <rFont val="Calibri"/>
        <family val="2"/>
        <scheme val="minor"/>
      </rPr>
      <t>$600,000 of FY19 surplus funds used to fund Sage I field improvements.</t>
    </r>
  </si>
  <si>
    <t xml:space="preserve">(1)  $450,000 bond premium (from June 2019 bond/BAN sale) used for the new Wash Bay at the Town Complex </t>
  </si>
  <si>
    <r>
      <t xml:space="preserve">(a)  </t>
    </r>
    <r>
      <rPr>
        <b/>
        <strike/>
        <sz val="44"/>
        <color rgb="FFFF0000"/>
        <rFont val="Calibri"/>
        <family val="2"/>
        <scheme val="minor"/>
      </rPr>
      <t>$2,500,000</t>
    </r>
    <r>
      <rPr>
        <b/>
        <sz val="44"/>
        <color theme="1"/>
        <rFont val="Calibri"/>
        <family val="2"/>
        <scheme val="minor"/>
      </rPr>
      <t xml:space="preserve"> Willard HVAC replacement (piping in summer 2020; balance of work 2020-21) </t>
    </r>
    <r>
      <rPr>
        <b/>
        <sz val="44"/>
        <color rgb="FFFF0000"/>
        <rFont val="Calibri"/>
        <family val="2"/>
        <scheme val="minor"/>
      </rPr>
      <t>DELAY UNTIL SUMMER 2021</t>
    </r>
  </si>
  <si>
    <r>
      <t xml:space="preserve">Office Reconfiguration (Griswold, Hubbard, McGee, Willard) - </t>
    </r>
    <r>
      <rPr>
        <sz val="11"/>
        <color rgb="FFFF0000"/>
        <rFont val="Calibri"/>
        <family val="2"/>
        <scheme val="minor"/>
      </rPr>
      <t>included in FY21 Transfers within GF budget</t>
    </r>
  </si>
  <si>
    <r>
      <t xml:space="preserve">Vehicle - Patrol Units - </t>
    </r>
    <r>
      <rPr>
        <sz val="11"/>
        <color rgb="FFFF0000"/>
        <rFont val="Calibri"/>
        <family val="2"/>
        <scheme val="minor"/>
      </rPr>
      <t>($50k/car w/equip; 5% incr. in out yrs)</t>
    </r>
  </si>
  <si>
    <r>
      <t xml:space="preserve">(c)  $    </t>
    </r>
    <r>
      <rPr>
        <b/>
        <strike/>
        <sz val="44"/>
        <color rgb="FFFF0000"/>
        <rFont val="Calibri"/>
        <family val="2"/>
        <scheme val="minor"/>
      </rPr>
      <t>800,000</t>
    </r>
    <r>
      <rPr>
        <b/>
        <sz val="44"/>
        <color rgb="FFFF0000"/>
        <rFont val="Calibri"/>
        <family val="2"/>
        <scheme val="minor"/>
      </rPr>
      <t xml:space="preserve"> $400,000 (balance bonded June 2021)</t>
    </r>
    <r>
      <rPr>
        <b/>
        <sz val="44"/>
        <color theme="1"/>
        <rFont val="Calibri"/>
        <family val="2"/>
        <scheme val="minor"/>
      </rPr>
      <t xml:space="preserve"> replace pumper at So. Kensington Fire Dept. - covers areas of town w/o water supply</t>
    </r>
  </si>
  <si>
    <r>
      <t xml:space="preserve">(4)  </t>
    </r>
    <r>
      <rPr>
        <b/>
        <strike/>
        <sz val="48"/>
        <color rgb="FFFF0000"/>
        <rFont val="Calibri"/>
        <family val="2"/>
        <scheme val="minor"/>
      </rPr>
      <t>$4,700,000</t>
    </r>
    <r>
      <rPr>
        <b/>
        <sz val="48"/>
        <color theme="1"/>
        <rFont val="Calibri"/>
        <family val="2"/>
        <scheme val="minor"/>
      </rPr>
      <t xml:space="preserve"> of bonding for </t>
    </r>
    <r>
      <rPr>
        <b/>
        <sz val="48"/>
        <color rgb="FFFF0000"/>
        <rFont val="Calibri"/>
        <family val="2"/>
        <scheme val="minor"/>
      </rPr>
      <t xml:space="preserve">(Revised to </t>
    </r>
    <r>
      <rPr>
        <b/>
        <strike/>
        <sz val="48"/>
        <color rgb="FFFF0000"/>
        <rFont val="Calibri"/>
        <family val="2"/>
        <scheme val="minor"/>
      </rPr>
      <t>$4,350,000</t>
    </r>
    <r>
      <rPr>
        <b/>
        <sz val="48"/>
        <color rgb="FFFF0000"/>
        <rFont val="Calibri"/>
        <family val="2"/>
        <scheme val="minor"/>
      </rPr>
      <t xml:space="preserve"> $3,950,000)</t>
    </r>
    <r>
      <rPr>
        <b/>
        <sz val="48"/>
        <color theme="1"/>
        <rFont val="Calibri"/>
        <family val="2"/>
        <scheme val="minor"/>
      </rPr>
      <t>:</t>
    </r>
  </si>
  <si>
    <t>FY26+</t>
  </si>
  <si>
    <r>
      <rPr>
        <b/>
        <sz val="11"/>
        <color theme="1"/>
        <rFont val="Calibri"/>
        <family val="2"/>
        <scheme val="minor"/>
      </rPr>
      <t>Surplus</t>
    </r>
    <r>
      <rPr>
        <sz val="11"/>
        <color theme="1"/>
        <rFont val="Calibri"/>
        <family val="2"/>
        <scheme val="minor"/>
      </rPr>
      <t>: Capital items in this category will be funded thru an operating surplus, if available, in the identified fiscal year</t>
    </r>
  </si>
  <si>
    <t>June 20xx</t>
  </si>
  <si>
    <t>Fiscal Year 2021 - 2026+</t>
  </si>
  <si>
    <t>Capital Improvement Plan (CIP)</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</si>
</sst>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quot;$&quot;* #,##0_);_(&quot;$&quot;* \(#,##0\);_(&quot;$&quot;* &quot;-&quot;??_);_(@_)"/>
    <numFmt numFmtId="168" formatCode="&quot;$&quot;#,##0.00"/>
    <numFmt numFmtId="169" formatCode="mmm\ yyyy"/>
  </numFmts>
  <fonts count="6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6"/>
      <color theme="1"/>
      <name val="Calibri"/>
      <family val="2"/>
      <scheme val="minor"/>
    </font>
    <font>
      <b/>
      <sz val="16"/>
      <color rgb="FFFF0000"/>
      <name val="Calibri"/>
      <family val="2"/>
      <scheme val="minor"/>
    </font>
    <font>
      <u/>
      <sz val="11"/>
      <color theme="1"/>
      <name val="Calibri"/>
      <family val="2"/>
      <scheme val="minor"/>
    </font>
    <font>
      <b/>
      <sz val="16"/>
      <color theme="1"/>
      <name val="Calibri"/>
      <family val="2"/>
      <scheme val="minor"/>
    </font>
    <font>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2"/>
      <name val="Arial"/>
      <family val="2"/>
    </font>
    <font>
      <sz val="11"/>
      <name val="Calibri"/>
      <family val="2"/>
      <scheme val="minor"/>
    </font>
    <font>
      <b/>
      <sz val="11"/>
      <name val="Calibri"/>
      <family val="2"/>
      <scheme val="minor"/>
    </font>
    <font>
      <b/>
      <u/>
      <sz val="11"/>
      <name val="Calibri"/>
      <family val="2"/>
      <scheme val="minor"/>
    </font>
    <font>
      <i/>
      <sz val="14"/>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u/>
      <sz val="14"/>
      <color theme="1"/>
      <name val="Calibri"/>
      <family val="2"/>
      <scheme val="minor"/>
    </font>
    <font>
      <b/>
      <sz val="10"/>
      <color theme="1"/>
      <name val="Arial"/>
      <family val="2"/>
    </font>
    <font>
      <b/>
      <sz val="10"/>
      <color theme="1"/>
      <name val="Wingdings"/>
      <charset val="2"/>
    </font>
    <font>
      <i/>
      <sz val="11"/>
      <color rgb="FFFF0000"/>
      <name val="Calibri"/>
      <family val="2"/>
      <scheme val="minor"/>
    </font>
    <font>
      <b/>
      <sz val="11"/>
      <color rgb="FFFF0000"/>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sz val="14"/>
      <color rgb="FFFF0000"/>
      <name val="Calibri"/>
      <family val="2"/>
      <scheme val="minor"/>
    </font>
    <font>
      <b/>
      <sz val="72"/>
      <color theme="1"/>
      <name val="Calibri"/>
      <family val="2"/>
      <scheme val="minor"/>
    </font>
    <font>
      <b/>
      <sz val="50"/>
      <color theme="1"/>
      <name val="Calibri"/>
      <family val="2"/>
      <scheme val="minor"/>
    </font>
    <font>
      <b/>
      <sz val="40"/>
      <color theme="1"/>
      <name val="Calibri"/>
      <family val="2"/>
      <scheme val="minor"/>
    </font>
    <font>
      <b/>
      <u/>
      <sz val="40"/>
      <color theme="1"/>
      <name val="Calibri"/>
      <family val="2"/>
      <scheme val="minor"/>
    </font>
    <font>
      <b/>
      <sz val="24"/>
      <color theme="1"/>
      <name val="Calibri"/>
      <family val="2"/>
      <scheme val="minor"/>
    </font>
    <font>
      <b/>
      <sz val="36"/>
      <color theme="1"/>
      <name val="Calibri"/>
      <family val="2"/>
      <scheme val="minor"/>
    </font>
    <font>
      <b/>
      <u/>
      <sz val="24"/>
      <color theme="1"/>
      <name val="Calibri"/>
      <family val="2"/>
      <scheme val="minor"/>
    </font>
    <font>
      <sz val="18"/>
      <color theme="1"/>
      <name val="Calibri"/>
      <family val="2"/>
      <scheme val="minor"/>
    </font>
    <font>
      <b/>
      <sz val="18"/>
      <color theme="1"/>
      <name val="Calibri"/>
      <family val="2"/>
      <scheme val="minor"/>
    </font>
    <font>
      <b/>
      <sz val="20"/>
      <color theme="1"/>
      <name val="Calibri"/>
      <family val="2"/>
      <scheme val="minor"/>
    </font>
    <font>
      <b/>
      <u/>
      <sz val="48"/>
      <color theme="1"/>
      <name val="Calibri"/>
      <family val="2"/>
      <scheme val="minor"/>
    </font>
    <font>
      <sz val="48"/>
      <color theme="1"/>
      <name val="Calibri"/>
      <family val="2"/>
      <scheme val="minor"/>
    </font>
    <font>
      <b/>
      <u/>
      <sz val="36"/>
      <color theme="1"/>
      <name val="Calibri"/>
      <family val="2"/>
      <scheme val="minor"/>
    </font>
    <font>
      <sz val="36"/>
      <color theme="1"/>
      <name val="Calibri"/>
      <family val="2"/>
      <scheme val="minor"/>
    </font>
    <font>
      <b/>
      <sz val="22"/>
      <color theme="1"/>
      <name val="Calibri"/>
      <family val="2"/>
      <scheme val="minor"/>
    </font>
    <font>
      <sz val="24"/>
      <color theme="1"/>
      <name val="Calibri"/>
      <family val="2"/>
      <scheme val="minor"/>
    </font>
    <font>
      <sz val="26"/>
      <color theme="1"/>
      <name val="Calibri"/>
      <family val="2"/>
      <scheme val="minor"/>
    </font>
    <font>
      <sz val="32"/>
      <color theme="1"/>
      <name val="Calibri"/>
      <family val="2"/>
      <scheme val="minor"/>
    </font>
    <font>
      <b/>
      <sz val="32"/>
      <color theme="1"/>
      <name val="Calibri"/>
      <family val="2"/>
      <scheme val="minor"/>
    </font>
    <font>
      <b/>
      <sz val="90"/>
      <color theme="1"/>
      <name val="Calibri"/>
      <family val="2"/>
      <scheme val="minor"/>
    </font>
    <font>
      <sz val="55"/>
      <color theme="1"/>
      <name val="Calibri"/>
      <family val="2"/>
      <scheme val="minor"/>
    </font>
    <font>
      <b/>
      <u/>
      <sz val="55"/>
      <color theme="1"/>
      <name val="Calibri"/>
      <family val="2"/>
      <scheme val="minor"/>
    </font>
    <font>
      <b/>
      <sz val="48"/>
      <color theme="1"/>
      <name val="Calibri"/>
      <family val="2"/>
      <scheme val="minor"/>
    </font>
    <font>
      <sz val="44"/>
      <color theme="1"/>
      <name val="Calibri"/>
      <family val="2"/>
      <scheme val="minor"/>
    </font>
    <font>
      <b/>
      <u/>
      <sz val="44"/>
      <color theme="1"/>
      <name val="Calibri"/>
      <family val="2"/>
      <scheme val="minor"/>
    </font>
    <font>
      <b/>
      <sz val="44"/>
      <color theme="1"/>
      <name val="Calibri"/>
      <family val="2"/>
      <scheme val="minor"/>
    </font>
    <font>
      <b/>
      <sz val="30"/>
      <color theme="1"/>
      <name val="Calibri"/>
      <family val="2"/>
      <scheme val="minor"/>
    </font>
    <font>
      <sz val="30"/>
      <color theme="1"/>
      <name val="Calibri"/>
      <family val="2"/>
      <scheme val="minor"/>
    </font>
    <font>
      <b/>
      <sz val="55"/>
      <color theme="1"/>
      <name val="Calibri"/>
      <family val="2"/>
      <scheme val="minor"/>
    </font>
    <font>
      <b/>
      <sz val="48"/>
      <color rgb="FFFF0000"/>
      <name val="Calibri"/>
      <family val="2"/>
      <scheme val="minor"/>
    </font>
    <font>
      <b/>
      <sz val="44"/>
      <color rgb="FFFF0000"/>
      <name val="Calibri"/>
      <family val="2"/>
      <scheme val="minor"/>
    </font>
    <font>
      <sz val="44"/>
      <color rgb="FFFF0000"/>
      <name val="Calibri"/>
      <family val="2"/>
      <scheme val="minor"/>
    </font>
    <font>
      <b/>
      <strike/>
      <sz val="48"/>
      <color rgb="FFFF0000"/>
      <name val="Calibri"/>
      <family val="2"/>
      <scheme val="minor"/>
    </font>
    <font>
      <b/>
      <sz val="35"/>
      <color rgb="FFFF0000"/>
      <name val="Calibri"/>
      <family val="2"/>
      <scheme val="minor"/>
    </font>
    <font>
      <b/>
      <sz val="35"/>
      <color theme="1"/>
      <name val="Calibri"/>
      <family val="2"/>
      <scheme val="minor"/>
    </font>
    <font>
      <sz val="35"/>
      <color theme="1"/>
      <name val="Calibri"/>
      <family val="2"/>
      <scheme val="minor"/>
    </font>
    <font>
      <b/>
      <strike/>
      <sz val="44"/>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34998626667073579"/>
        <bgColor indexed="64"/>
      </patternFill>
    </fill>
  </fills>
  <borders count="2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04">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2" fillId="0" borderId="0" xfId="0" applyFont="1"/>
    <xf numFmtId="0" fontId="3" fillId="0" borderId="0" xfId="0" applyFont="1"/>
    <xf numFmtId="164" fontId="0" fillId="0" borderId="0" xfId="0" applyNumberFormat="1"/>
    <xf numFmtId="164" fontId="0" fillId="0" borderId="1" xfId="0" applyNumberFormat="1" applyBorder="1"/>
    <xf numFmtId="165" fontId="0" fillId="0" borderId="0" xfId="1" applyNumberFormat="1" applyFont="1"/>
    <xf numFmtId="164" fontId="2" fillId="0" borderId="1" xfId="0" applyNumberFormat="1" applyFont="1" applyBorder="1"/>
    <xf numFmtId="164" fontId="2" fillId="0" borderId="0" xfId="0" applyNumberFormat="1" applyFont="1"/>
    <xf numFmtId="0" fontId="0" fillId="0" borderId="0" xfId="0" applyAlignment="1">
      <alignment horizontal="center" vertical="center"/>
    </xf>
    <xf numFmtId="0" fontId="2" fillId="2" borderId="0" xfId="0" applyFont="1" applyFill="1"/>
    <xf numFmtId="0" fontId="2" fillId="2" borderId="0" xfId="0" applyFont="1" applyFill="1" applyAlignment="1">
      <alignment horizontal="center"/>
    </xf>
    <xf numFmtId="164" fontId="2" fillId="2" borderId="0" xfId="0" applyNumberFormat="1" applyFont="1" applyFill="1"/>
    <xf numFmtId="164" fontId="2" fillId="2" borderId="0" xfId="0" applyNumberFormat="1" applyFont="1" applyFill="1" applyAlignment="1">
      <alignment horizontal="center"/>
    </xf>
    <xf numFmtId="0" fontId="4" fillId="0" borderId="0" xfId="0" applyFont="1"/>
    <xf numFmtId="0" fontId="5" fillId="0" borderId="0" xfId="0" applyFont="1"/>
    <xf numFmtId="164" fontId="0" fillId="0" borderId="0" xfId="0" applyNumberFormat="1" applyAlignment="1"/>
    <xf numFmtId="164" fontId="6" fillId="0" borderId="0" xfId="0" applyNumberFormat="1" applyFont="1"/>
    <xf numFmtId="0" fontId="0" fillId="0" borderId="0" xfId="0" quotePrefix="1" applyAlignment="1">
      <alignment horizontal="center"/>
    </xf>
    <xf numFmtId="164" fontId="0" fillId="2" borderId="0" xfId="0" applyNumberFormat="1" applyFill="1"/>
    <xf numFmtId="0" fontId="0" fillId="2" borderId="0" xfId="0" applyFill="1"/>
    <xf numFmtId="0" fontId="7" fillId="0" borderId="0" xfId="0" applyFont="1"/>
    <xf numFmtId="0" fontId="0" fillId="0" borderId="0" xfId="0" quotePrefix="1"/>
    <xf numFmtId="0" fontId="0" fillId="0" borderId="0" xfId="0" quotePrefix="1" applyFont="1"/>
    <xf numFmtId="0" fontId="0" fillId="0" borderId="0" xfId="0" applyFill="1"/>
    <xf numFmtId="0" fontId="0" fillId="3" borderId="0" xfId="0" applyFill="1" applyAlignment="1">
      <alignment horizontal="center"/>
    </xf>
    <xf numFmtId="0" fontId="0" fillId="3" borderId="0" xfId="0" applyFill="1"/>
    <xf numFmtId="164" fontId="0" fillId="3" borderId="0" xfId="0" applyNumberFormat="1" applyFill="1"/>
    <xf numFmtId="164" fontId="0" fillId="0" borderId="0" xfId="0" applyNumberFormat="1" applyFill="1"/>
    <xf numFmtId="0" fontId="0" fillId="0" borderId="0" xfId="0" applyFill="1" applyAlignment="1">
      <alignment horizontal="center"/>
    </xf>
    <xf numFmtId="0" fontId="0" fillId="2" borderId="0" xfId="0" applyFill="1" applyAlignment="1">
      <alignment horizontal="center"/>
    </xf>
    <xf numFmtId="0" fontId="0" fillId="0" borderId="0" xfId="0" applyFont="1"/>
    <xf numFmtId="0" fontId="7" fillId="0" borderId="0" xfId="0" applyFont="1" applyFill="1"/>
    <xf numFmtId="165" fontId="0" fillId="0" borderId="0" xfId="0" applyNumberFormat="1"/>
    <xf numFmtId="165" fontId="0" fillId="0" borderId="1" xfId="0" applyNumberFormat="1" applyBorder="1"/>
    <xf numFmtId="0" fontId="4" fillId="0" borderId="0" xfId="0" applyFont="1" applyAlignment="1">
      <alignment horizontal="center"/>
    </xf>
    <xf numFmtId="165" fontId="0" fillId="0" borderId="0" xfId="1" applyNumberFormat="1" applyFont="1" applyFill="1"/>
    <xf numFmtId="0" fontId="8" fillId="0" borderId="0" xfId="0" applyFont="1" applyAlignment="1"/>
    <xf numFmtId="0" fontId="9" fillId="0" borderId="0" xfId="0" applyFont="1"/>
    <xf numFmtId="0" fontId="9" fillId="0" borderId="0" xfId="0" applyNumberFormat="1" applyFont="1" applyAlignment="1">
      <alignment horizontal="center"/>
    </xf>
    <xf numFmtId="0" fontId="9" fillId="0" borderId="0" xfId="0" applyFont="1" applyAlignment="1"/>
    <xf numFmtId="0" fontId="9" fillId="0" borderId="0" xfId="0" applyFont="1" applyAlignment="1">
      <alignment horizontal="center"/>
    </xf>
    <xf numFmtId="0" fontId="10" fillId="0" borderId="0" xfId="0" applyFont="1" applyAlignment="1">
      <alignment horizontal="center"/>
    </xf>
    <xf numFmtId="0" fontId="10" fillId="0" borderId="0" xfId="0" applyNumberFormat="1" applyFont="1" applyAlignment="1">
      <alignment horizontal="center"/>
    </xf>
    <xf numFmtId="0" fontId="11" fillId="0" borderId="0" xfId="0" applyFont="1" applyAlignment="1">
      <alignment horizontal="center"/>
    </xf>
    <xf numFmtId="0" fontId="11" fillId="0" borderId="0" xfId="0" applyNumberFormat="1" applyFont="1" applyAlignment="1">
      <alignment horizontal="center"/>
    </xf>
    <xf numFmtId="0" fontId="9" fillId="0" borderId="0" xfId="0" quotePrefix="1" applyFont="1" applyAlignment="1">
      <alignment horizontal="center"/>
    </xf>
    <xf numFmtId="165" fontId="9" fillId="0" borderId="0" xfId="1" applyNumberFormat="1" applyFont="1"/>
    <xf numFmtId="0" fontId="9" fillId="0" borderId="0" xfId="1" applyNumberFormat="1" applyFont="1" applyAlignment="1">
      <alignment horizontal="center"/>
    </xf>
    <xf numFmtId="165" fontId="9" fillId="2" borderId="0" xfId="1" applyNumberFormat="1" applyFont="1" applyFill="1"/>
    <xf numFmtId="0" fontId="12" fillId="0" borderId="0" xfId="0" applyFont="1"/>
    <xf numFmtId="0" fontId="9" fillId="0" borderId="0" xfId="0" applyFont="1" applyFill="1" applyAlignment="1">
      <alignment horizontal="center"/>
    </xf>
    <xf numFmtId="0" fontId="9" fillId="0" borderId="0" xfId="0" applyFont="1" applyFill="1"/>
    <xf numFmtId="0" fontId="12" fillId="2" borderId="0" xfId="0" applyFont="1" applyFill="1"/>
    <xf numFmtId="0" fontId="9" fillId="2" borderId="0" xfId="0" applyFont="1" applyFill="1"/>
    <xf numFmtId="0" fontId="9" fillId="0" borderId="0" xfId="0" quotePrefix="1" applyFont="1"/>
    <xf numFmtId="165" fontId="9" fillId="0" borderId="1" xfId="0" applyNumberFormat="1" applyFont="1" applyBorder="1"/>
    <xf numFmtId="0" fontId="9" fillId="0" borderId="1" xfId="0" applyNumberFormat="1" applyFont="1" applyBorder="1" applyAlignment="1">
      <alignment horizontal="center"/>
    </xf>
    <xf numFmtId="165" fontId="9" fillId="0" borderId="0" xfId="0" applyNumberFormat="1" applyFont="1"/>
    <xf numFmtId="0" fontId="9" fillId="0" borderId="0" xfId="0" applyFont="1" applyBorder="1"/>
    <xf numFmtId="165" fontId="9" fillId="0" borderId="0" xfId="1" applyNumberFormat="1" applyFont="1" applyBorder="1"/>
    <xf numFmtId="165" fontId="9" fillId="0" borderId="0" xfId="0" applyNumberFormat="1" applyFont="1" applyBorder="1"/>
    <xf numFmtId="0" fontId="12" fillId="0" borderId="0" xfId="0" applyNumberFormat="1" applyFont="1" applyAlignment="1"/>
    <xf numFmtId="0" fontId="9" fillId="0" borderId="0" xfId="1" applyNumberFormat="1" applyFont="1" applyBorder="1" applyAlignment="1">
      <alignment horizontal="center"/>
    </xf>
    <xf numFmtId="0" fontId="9" fillId="0" borderId="0" xfId="0" applyNumberFormat="1" applyFont="1" applyBorder="1" applyAlignment="1">
      <alignment horizontal="center"/>
    </xf>
    <xf numFmtId="0" fontId="5" fillId="0" borderId="0" xfId="0" applyFont="1" applyAlignment="1"/>
    <xf numFmtId="0" fontId="12" fillId="0" borderId="0" xfId="0" applyFont="1" applyFill="1"/>
    <xf numFmtId="0" fontId="7" fillId="0" borderId="0" xfId="0" quotePrefix="1" applyFont="1"/>
    <xf numFmtId="165" fontId="2" fillId="0" borderId="0" xfId="1" applyNumberFormat="1" applyFont="1"/>
    <xf numFmtId="43" fontId="0" fillId="0" borderId="0" xfId="1" applyFont="1"/>
    <xf numFmtId="0" fontId="2" fillId="4" borderId="0" xfId="0" applyFont="1" applyFill="1"/>
    <xf numFmtId="0" fontId="0" fillId="4" borderId="0" xfId="0" applyFill="1" applyAlignment="1">
      <alignment horizontal="center"/>
    </xf>
    <xf numFmtId="0" fontId="0" fillId="4" borderId="0" xfId="0" applyFill="1"/>
    <xf numFmtId="164" fontId="0" fillId="4" borderId="0" xfId="0" applyNumberFormat="1" applyFill="1"/>
    <xf numFmtId="164" fontId="0" fillId="4" borderId="1" xfId="0" applyNumberFormat="1" applyFill="1" applyBorder="1"/>
    <xf numFmtId="0" fontId="0" fillId="5" borderId="0" xfId="0" applyFill="1"/>
    <xf numFmtId="0" fontId="0" fillId="5" borderId="0" xfId="0" applyFill="1" applyAlignment="1">
      <alignment horizontal="center"/>
    </xf>
    <xf numFmtId="164" fontId="0" fillId="5" borderId="0" xfId="0" applyNumberFormat="1" applyFill="1"/>
    <xf numFmtId="164" fontId="3" fillId="0" borderId="0" xfId="0" applyNumberFormat="1" applyFont="1" applyAlignment="1">
      <alignment horizontal="center"/>
    </xf>
    <xf numFmtId="0" fontId="0" fillId="6" borderId="0" xfId="0" applyFill="1"/>
    <xf numFmtId="0" fontId="0" fillId="6" borderId="0" xfId="0" applyFill="1" applyAlignment="1">
      <alignment horizontal="center"/>
    </xf>
    <xf numFmtId="164" fontId="3" fillId="6" borderId="0" xfId="0" applyNumberFormat="1" applyFont="1" applyFill="1" applyAlignment="1">
      <alignment horizontal="center"/>
    </xf>
    <xf numFmtId="0" fontId="3" fillId="6" borderId="0" xfId="0" applyFont="1" applyFill="1"/>
    <xf numFmtId="0" fontId="0" fillId="6" borderId="0" xfId="0" applyFill="1" applyAlignment="1">
      <alignment horizontal="center" vertical="center"/>
    </xf>
    <xf numFmtId="164" fontId="0" fillId="6" borderId="0" xfId="0" applyNumberFormat="1" applyFill="1"/>
    <xf numFmtId="164" fontId="0" fillId="6" borderId="1" xfId="0" applyNumberFormat="1" applyFill="1" applyBorder="1"/>
    <xf numFmtId="0" fontId="3" fillId="0" borderId="0" xfId="0" applyFont="1" applyFill="1"/>
    <xf numFmtId="0" fontId="0" fillId="7" borderId="0" xfId="0" applyFill="1"/>
    <xf numFmtId="0" fontId="0" fillId="7" borderId="0" xfId="0" applyFill="1" applyAlignment="1">
      <alignment horizontal="center"/>
    </xf>
    <xf numFmtId="164" fontId="0" fillId="7" borderId="0" xfId="0" applyNumberFormat="1" applyFill="1"/>
    <xf numFmtId="164" fontId="0" fillId="7" borderId="1" xfId="0" applyNumberFormat="1" applyFill="1" applyBorder="1"/>
    <xf numFmtId="164" fontId="2" fillId="0" borderId="1" xfId="0" applyNumberFormat="1" applyFont="1" applyFill="1" applyBorder="1"/>
    <xf numFmtId="165" fontId="0" fillId="0" borderId="0" xfId="1" applyNumberFormat="1" applyFont="1" applyBorder="1"/>
    <xf numFmtId="0" fontId="0" fillId="8" borderId="0" xfId="0" applyFill="1"/>
    <xf numFmtId="0" fontId="0" fillId="8" borderId="0" xfId="0" applyFill="1" applyAlignment="1">
      <alignment horizontal="center"/>
    </xf>
    <xf numFmtId="164" fontId="0" fillId="8" borderId="0" xfId="0" applyNumberFormat="1" applyFill="1"/>
    <xf numFmtId="164" fontId="0" fillId="8" borderId="1" xfId="0" applyNumberFormat="1" applyFill="1" applyBorder="1"/>
    <xf numFmtId="164" fontId="3" fillId="0" borderId="0" xfId="0" applyNumberFormat="1" applyFont="1" applyAlignment="1"/>
    <xf numFmtId="164" fontId="0" fillId="0" borderId="0" xfId="0" applyNumberFormat="1" applyAlignment="1">
      <alignment horizontal="center"/>
    </xf>
    <xf numFmtId="0" fontId="15" fillId="0" borderId="3" xfId="0" applyFont="1" applyBorder="1" applyProtection="1"/>
    <xf numFmtId="0" fontId="16" fillId="0" borderId="0" xfId="0" applyFont="1"/>
    <xf numFmtId="164" fontId="16" fillId="0" borderId="0" xfId="0" applyNumberFormat="1" applyFont="1"/>
    <xf numFmtId="0" fontId="15" fillId="0" borderId="0" xfId="0" applyFont="1" applyBorder="1" applyProtection="1"/>
    <xf numFmtId="0" fontId="17" fillId="0" borderId="0" xfId="0" applyFont="1"/>
    <xf numFmtId="164" fontId="17" fillId="0" borderId="1" xfId="0" applyNumberFormat="1" applyFont="1" applyBorder="1"/>
    <xf numFmtId="0" fontId="18" fillId="0" borderId="0" xfId="0" applyFont="1"/>
    <xf numFmtId="0" fontId="15" fillId="0" borderId="3" xfId="0" applyFont="1" applyBorder="1" applyAlignment="1" applyProtection="1"/>
    <xf numFmtId="0" fontId="0" fillId="0" borderId="0" xfId="0" applyBorder="1" applyAlignment="1">
      <alignment horizontal="center"/>
    </xf>
    <xf numFmtId="0" fontId="16" fillId="0" borderId="0" xfId="0" applyFont="1" applyBorder="1" applyAlignment="1">
      <alignment horizontal="center"/>
    </xf>
    <xf numFmtId="0" fontId="17" fillId="0" borderId="0" xfId="0" applyFont="1" applyBorder="1" applyAlignment="1">
      <alignment horizontal="center"/>
    </xf>
    <xf numFmtId="0" fontId="2" fillId="0" borderId="0" xfId="0" applyFont="1" applyBorder="1" applyAlignment="1">
      <alignment horizontal="center"/>
    </xf>
    <xf numFmtId="0" fontId="3" fillId="0" borderId="0" xfId="0" applyFont="1" applyAlignment="1"/>
    <xf numFmtId="0" fontId="0" fillId="0" borderId="0" xfId="0" applyAlignment="1">
      <alignment vertical="center"/>
    </xf>
    <xf numFmtId="164" fontId="0" fillId="0" borderId="0" xfId="0" applyNumberFormat="1" applyAlignment="1">
      <alignment vertical="center"/>
    </xf>
    <xf numFmtId="164" fontId="0" fillId="0" borderId="1" xfId="0" applyNumberFormat="1" applyBorder="1" applyAlignment="1">
      <alignment vertical="center"/>
    </xf>
    <xf numFmtId="0" fontId="2" fillId="0" borderId="0" xfId="0" applyFont="1" applyAlignment="1">
      <alignment horizontal="center" vertical="center"/>
    </xf>
    <xf numFmtId="0" fontId="0" fillId="9" borderId="0" xfId="0" applyFill="1" applyAlignment="1">
      <alignment horizontal="center" vertical="center"/>
    </xf>
    <xf numFmtId="0" fontId="0" fillId="9" borderId="0" xfId="0" applyFill="1" applyAlignment="1">
      <alignment vertical="center"/>
    </xf>
    <xf numFmtId="164" fontId="0" fillId="9" borderId="1" xfId="0" applyNumberFormat="1" applyFill="1" applyBorder="1" applyAlignment="1">
      <alignment vertical="center"/>
    </xf>
    <xf numFmtId="0" fontId="2" fillId="0" borderId="0" xfId="0" applyFont="1" applyAlignment="1">
      <alignment vertical="center"/>
    </xf>
    <xf numFmtId="164" fontId="2" fillId="0" borderId="1" xfId="0" applyNumberFormat="1" applyFont="1" applyBorder="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Font="1" applyAlignment="1">
      <alignment horizontal="center"/>
    </xf>
    <xf numFmtId="0" fontId="21" fillId="0" borderId="0" xfId="0" applyFont="1"/>
    <xf numFmtId="0" fontId="23" fillId="0" borderId="0" xfId="0" applyFont="1" applyAlignment="1">
      <alignment horizontal="center"/>
    </xf>
    <xf numFmtId="0" fontId="0" fillId="6" borderId="0" xfId="0" applyFill="1" applyAlignment="1">
      <alignment vertical="center"/>
    </xf>
    <xf numFmtId="0" fontId="0" fillId="10" borderId="0" xfId="0" applyFill="1" applyAlignment="1">
      <alignment vertical="center"/>
    </xf>
    <xf numFmtId="0" fontId="22" fillId="0" borderId="0" xfId="0" applyFont="1" applyAlignment="1">
      <alignment vertical="center"/>
    </xf>
    <xf numFmtId="0" fontId="24" fillId="0" borderId="2" xfId="0" applyFont="1" applyBorder="1" applyAlignment="1">
      <alignment wrapText="1"/>
    </xf>
    <xf numFmtId="0" fontId="24" fillId="0" borderId="2" xfId="0" applyFont="1" applyBorder="1" applyAlignment="1">
      <alignment horizontal="center" wrapText="1"/>
    </xf>
    <xf numFmtId="0" fontId="25" fillId="0" borderId="2" xfId="0" applyFont="1" applyBorder="1" applyAlignment="1">
      <alignment horizontal="center" wrapText="1"/>
    </xf>
    <xf numFmtId="5" fontId="0" fillId="0" borderId="1" xfId="0" applyNumberFormat="1" applyBorder="1" applyAlignment="1">
      <alignment vertical="center"/>
    </xf>
    <xf numFmtId="0" fontId="20" fillId="0" borderId="0" xfId="0" applyFont="1" applyAlignment="1">
      <alignment horizontal="center"/>
    </xf>
    <xf numFmtId="166" fontId="2" fillId="8" borderId="0" xfId="2" applyNumberFormat="1" applyFont="1" applyFill="1" applyAlignment="1">
      <alignment horizontal="center" vertical="center"/>
    </xf>
    <xf numFmtId="0" fontId="2" fillId="8" borderId="0" xfId="0" applyFont="1" applyFill="1" applyAlignment="1">
      <alignment vertical="center"/>
    </xf>
    <xf numFmtId="0" fontId="2" fillId="8" borderId="0" xfId="0" applyFont="1" applyFill="1" applyAlignment="1">
      <alignment horizontal="center" vertical="center"/>
    </xf>
    <xf numFmtId="167" fontId="0" fillId="0" borderId="0" xfId="3" applyNumberFormat="1" applyFont="1"/>
    <xf numFmtId="167" fontId="0" fillId="0" borderId="0" xfId="0" applyNumberFormat="1"/>
    <xf numFmtId="5" fontId="0" fillId="0" borderId="0" xfId="0" applyNumberFormat="1" applyAlignment="1">
      <alignment vertical="center"/>
    </xf>
    <xf numFmtId="165" fontId="0" fillId="0" borderId="0" xfId="1" applyNumberFormat="1" applyFont="1" applyAlignment="1">
      <alignment vertical="center"/>
    </xf>
    <xf numFmtId="165" fontId="0" fillId="2" borderId="0" xfId="1" applyNumberFormat="1" applyFont="1" applyFill="1" applyAlignment="1">
      <alignment vertical="center"/>
    </xf>
    <xf numFmtId="165" fontId="0" fillId="9" borderId="0" xfId="1" applyNumberFormat="1" applyFont="1" applyFill="1" applyAlignment="1">
      <alignment vertical="center"/>
    </xf>
    <xf numFmtId="167" fontId="0" fillId="0" borderId="1" xfId="0" applyNumberFormat="1" applyBorder="1"/>
    <xf numFmtId="167" fontId="0" fillId="0" borderId="0" xfId="0" applyNumberFormat="1" applyBorder="1"/>
    <xf numFmtId="5" fontId="0" fillId="0" borderId="0" xfId="0" applyNumberFormat="1"/>
    <xf numFmtId="0" fontId="0" fillId="0" borderId="0" xfId="0" quotePrefix="1" applyAlignment="1">
      <alignment horizontal="center" vertical="center"/>
    </xf>
    <xf numFmtId="167" fontId="0" fillId="0" borderId="0" xfId="3" applyNumberFormat="1" applyFont="1" applyAlignment="1">
      <alignment horizontal="center"/>
    </xf>
    <xf numFmtId="167" fontId="0" fillId="0" borderId="0" xfId="0" applyNumberFormat="1" applyBorder="1" applyAlignment="1">
      <alignment horizontal="center"/>
    </xf>
    <xf numFmtId="167" fontId="0" fillId="0" borderId="0" xfId="0" applyNumberFormat="1" applyAlignment="1">
      <alignment horizontal="center"/>
    </xf>
    <xf numFmtId="5" fontId="0" fillId="0" borderId="0" xfId="0" applyNumberFormat="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167" fontId="0" fillId="2" borderId="6" xfId="3" applyNumberFormat="1" applyFont="1" applyFill="1" applyBorder="1" applyAlignment="1">
      <alignment horizontal="center"/>
    </xf>
    <xf numFmtId="167" fontId="0" fillId="2" borderId="7" xfId="3" applyNumberFormat="1" applyFont="1" applyFill="1" applyBorder="1" applyAlignment="1">
      <alignment horizontal="center"/>
    </xf>
    <xf numFmtId="167" fontId="0" fillId="2" borderId="8" xfId="0" applyNumberFormat="1" applyFill="1" applyBorder="1"/>
    <xf numFmtId="167" fontId="0" fillId="2" borderId="9" xfId="0" applyNumberFormat="1" applyFill="1" applyBorder="1"/>
    <xf numFmtId="167" fontId="0" fillId="2" borderId="10" xfId="0" applyNumberFormat="1" applyFill="1" applyBorder="1" applyAlignment="1">
      <alignment horizontal="center"/>
    </xf>
    <xf numFmtId="167" fontId="0" fillId="2" borderId="11" xfId="0" applyNumberFormat="1" applyFill="1" applyBorder="1" applyAlignment="1">
      <alignment horizontal="center"/>
    </xf>
    <xf numFmtId="167" fontId="16" fillId="2" borderId="6" xfId="3" applyNumberFormat="1" applyFont="1" applyFill="1" applyBorder="1" applyAlignment="1">
      <alignment horizontal="center"/>
    </xf>
    <xf numFmtId="167" fontId="16" fillId="2" borderId="7" xfId="3" applyNumberFormat="1" applyFont="1" applyFill="1" applyBorder="1" applyAlignment="1">
      <alignment horizontal="center"/>
    </xf>
    <xf numFmtId="0" fontId="26" fillId="0" borderId="0" xfId="0" applyFont="1" applyAlignment="1">
      <alignment vertical="center"/>
    </xf>
    <xf numFmtId="43" fontId="0" fillId="0" borderId="0" xfId="1" applyFont="1" applyAlignment="1">
      <alignment vertical="center"/>
    </xf>
    <xf numFmtId="0" fontId="3" fillId="0" borderId="0" xfId="0" applyFont="1" applyAlignment="1">
      <alignment horizontal="center" vertical="center"/>
    </xf>
    <xf numFmtId="0" fontId="0" fillId="7" borderId="0" xfId="0" applyFill="1" applyAlignment="1">
      <alignment vertical="center"/>
    </xf>
    <xf numFmtId="0" fontId="0" fillId="7" borderId="0" xfId="0" applyFill="1" applyAlignment="1">
      <alignment horizontal="center" vertical="center"/>
    </xf>
    <xf numFmtId="164" fontId="0" fillId="0" borderId="1" xfId="0" applyNumberFormat="1" applyFill="1" applyBorder="1" applyAlignment="1">
      <alignment vertical="center"/>
    </xf>
    <xf numFmtId="164" fontId="0" fillId="0" borderId="0" xfId="0" applyNumberFormat="1" applyFill="1" applyAlignment="1">
      <alignment vertical="center"/>
    </xf>
    <xf numFmtId="164" fontId="2" fillId="0" borderId="1" xfId="0" applyNumberFormat="1" applyFont="1" applyFill="1" applyBorder="1" applyAlignment="1">
      <alignment vertical="center"/>
    </xf>
    <xf numFmtId="164" fontId="0" fillId="7" borderId="1" xfId="0" applyNumberFormat="1" applyFill="1" applyBorder="1" applyAlignment="1">
      <alignment vertical="center"/>
    </xf>
    <xf numFmtId="164" fontId="0" fillId="7" borderId="0" xfId="0" applyNumberFormat="1" applyFill="1" applyAlignment="1">
      <alignment vertical="center"/>
    </xf>
    <xf numFmtId="164" fontId="2" fillId="7" borderId="1" xfId="0" applyNumberFormat="1" applyFont="1" applyFill="1" applyBorder="1" applyAlignment="1">
      <alignment vertical="center"/>
    </xf>
    <xf numFmtId="0" fontId="2" fillId="7" borderId="0" xfId="0" applyFont="1" applyFill="1" applyAlignment="1">
      <alignment horizontal="center" vertical="center"/>
    </xf>
    <xf numFmtId="166" fontId="2" fillId="7" borderId="0" xfId="2" applyNumberFormat="1"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vertical="center"/>
    </xf>
    <xf numFmtId="168" fontId="12" fillId="2" borderId="0" xfId="0" applyNumberFormat="1" applyFont="1" applyFill="1" applyAlignment="1">
      <alignment vertical="center"/>
    </xf>
    <xf numFmtId="164" fontId="2" fillId="2" borderId="12" xfId="0" applyNumberFormat="1"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164" fontId="2" fillId="2" borderId="15" xfId="0" applyNumberFormat="1" applyFont="1" applyFill="1" applyBorder="1" applyAlignment="1">
      <alignment vertical="center"/>
    </xf>
    <xf numFmtId="0" fontId="23" fillId="0" borderId="0" xfId="0" applyFont="1" applyAlignment="1">
      <alignment horizontal="left"/>
    </xf>
    <xf numFmtId="0" fontId="23" fillId="0" borderId="0" xfId="0" applyFont="1" applyAlignment="1">
      <alignment vertical="center"/>
    </xf>
    <xf numFmtId="0" fontId="28" fillId="0" borderId="0" xfId="0" applyFont="1" applyAlignment="1">
      <alignment vertical="center"/>
    </xf>
    <xf numFmtId="0" fontId="20"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vertical="center"/>
    </xf>
    <xf numFmtId="5" fontId="23" fillId="0" borderId="0" xfId="0" applyNumberFormat="1" applyFont="1" applyAlignment="1">
      <alignment horizontal="center"/>
    </xf>
    <xf numFmtId="5" fontId="20" fillId="2" borderId="1" xfId="0" applyNumberFormat="1" applyFont="1" applyFill="1" applyBorder="1" applyAlignment="1">
      <alignment vertical="center"/>
    </xf>
    <xf numFmtId="0" fontId="5" fillId="0" borderId="0" xfId="0" applyFont="1" applyAlignment="1">
      <alignment vertical="center"/>
    </xf>
    <xf numFmtId="0" fontId="4" fillId="0" borderId="0" xfId="0" applyFont="1" applyAlignment="1">
      <alignment vertical="center"/>
    </xf>
    <xf numFmtId="0" fontId="29"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applyAlignment="1">
      <alignment vertical="center"/>
    </xf>
    <xf numFmtId="5" fontId="29" fillId="0" borderId="1" xfId="0" applyNumberFormat="1" applyFont="1" applyFill="1" applyBorder="1" applyAlignment="1">
      <alignment vertical="center"/>
    </xf>
    <xf numFmtId="0" fontId="0" fillId="0" borderId="0" xfId="0" applyAlignment="1">
      <alignment vertical="center" wrapText="1"/>
    </xf>
    <xf numFmtId="0" fontId="21" fillId="0" borderId="0" xfId="0" applyFont="1" applyAlignment="1">
      <alignment vertical="center" wrapText="1"/>
    </xf>
    <xf numFmtId="0" fontId="23" fillId="0" borderId="0" xfId="0" applyFont="1" applyAlignment="1">
      <alignment horizontal="center" vertical="center" wrapText="1"/>
    </xf>
    <xf numFmtId="0" fontId="0" fillId="0" borderId="0" xfId="0" applyFill="1" applyAlignment="1">
      <alignment vertical="center" wrapText="1"/>
    </xf>
    <xf numFmtId="0" fontId="0" fillId="0" borderId="0" xfId="0" quotePrefix="1" applyAlignment="1">
      <alignment vertical="center" wrapText="1"/>
    </xf>
    <xf numFmtId="0" fontId="0" fillId="0" borderId="0" xfId="0" quotePrefix="1" applyFont="1" applyAlignment="1">
      <alignment vertical="center" wrapText="1"/>
    </xf>
    <xf numFmtId="0" fontId="0" fillId="0" borderId="0" xfId="0" applyFont="1" applyAlignment="1">
      <alignment horizontal="center" vertical="center" wrapText="1"/>
    </xf>
    <xf numFmtId="0" fontId="0" fillId="7" borderId="0" xfId="0" applyFill="1" applyAlignment="1">
      <alignment vertical="center" wrapText="1"/>
    </xf>
    <xf numFmtId="0" fontId="20"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164" fontId="22" fillId="0" borderId="0" xfId="0" applyNumberFormat="1" applyFont="1" applyAlignment="1">
      <alignment vertical="center"/>
    </xf>
    <xf numFmtId="164" fontId="21" fillId="0" borderId="0" xfId="0" applyNumberFormat="1" applyFont="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19" fillId="0" borderId="0" xfId="0" applyFont="1" applyAlignment="1">
      <alignment vertical="center"/>
    </xf>
    <xf numFmtId="0" fontId="23" fillId="0" borderId="0" xfId="0" applyFont="1" applyAlignment="1">
      <alignment horizontal="center" vertical="center"/>
    </xf>
    <xf numFmtId="0" fontId="20" fillId="0" borderId="0" xfId="0" applyFont="1" applyAlignment="1">
      <alignment horizontal="center" vertical="center"/>
    </xf>
    <xf numFmtId="0" fontId="23" fillId="7" borderId="0" xfId="0" applyFont="1" applyFill="1" applyAlignment="1">
      <alignment horizontal="center" vertical="center"/>
    </xf>
    <xf numFmtId="168" fontId="0" fillId="0" borderId="0" xfId="0" applyNumberFormat="1" applyFill="1" applyAlignment="1">
      <alignment vertical="center"/>
    </xf>
    <xf numFmtId="168" fontId="0" fillId="7" borderId="0" xfId="0" applyNumberFormat="1" applyFill="1" applyAlignment="1">
      <alignment vertical="center"/>
    </xf>
    <xf numFmtId="164" fontId="0" fillId="0" borderId="0" xfId="0" applyNumberFormat="1" applyFill="1" applyBorder="1" applyAlignment="1">
      <alignment vertical="center"/>
    </xf>
    <xf numFmtId="164" fontId="0" fillId="7" borderId="0" xfId="0" applyNumberForma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Fill="1" applyAlignment="1">
      <alignment horizontal="center" vertical="center"/>
    </xf>
    <xf numFmtId="0" fontId="0" fillId="7" borderId="0" xfId="0" applyFont="1" applyFill="1" applyAlignment="1">
      <alignment horizontal="center" vertical="center"/>
    </xf>
    <xf numFmtId="164" fontId="3" fillId="6" borderId="0" xfId="0" applyNumberFormat="1" applyFont="1" applyFill="1" applyAlignment="1">
      <alignment horizontal="center" vertical="center"/>
    </xf>
    <xf numFmtId="164" fontId="3" fillId="7" borderId="0" xfId="0" applyNumberFormat="1" applyFont="1" applyFill="1" applyAlignment="1">
      <alignment horizontal="center" vertical="center"/>
    </xf>
    <xf numFmtId="164" fontId="0" fillId="6" borderId="0" xfId="0" applyNumberFormat="1" applyFill="1" applyAlignment="1">
      <alignment vertical="center"/>
    </xf>
    <xf numFmtId="164" fontId="0" fillId="6" borderId="1" xfId="0" applyNumberFormat="1" applyFill="1" applyBorder="1" applyAlignment="1">
      <alignment vertical="center"/>
    </xf>
    <xf numFmtId="164" fontId="3" fillId="9" borderId="0" xfId="0" applyNumberFormat="1" applyFont="1" applyFill="1" applyAlignment="1">
      <alignment horizontal="center" vertical="center"/>
    </xf>
    <xf numFmtId="0" fontId="2" fillId="9" borderId="0" xfId="0" applyFont="1" applyFill="1" applyAlignment="1">
      <alignment vertical="center"/>
    </xf>
    <xf numFmtId="164" fontId="0" fillId="9" borderId="0" xfId="0" applyNumberFormat="1" applyFill="1" applyAlignment="1">
      <alignment vertical="center"/>
    </xf>
    <xf numFmtId="0" fontId="0" fillId="0" borderId="0" xfId="0" applyAlignment="1">
      <alignment vertical="center" wrapText="1"/>
    </xf>
    <xf numFmtId="164" fontId="0" fillId="0" borderId="0" xfId="0" quotePrefix="1" applyNumberFormat="1"/>
    <xf numFmtId="5" fontId="27" fillId="0" borderId="0" xfId="0" applyNumberFormat="1" applyFont="1" applyAlignment="1">
      <alignment horizontal="center" vertical="center"/>
    </xf>
    <xf numFmtId="5" fontId="0" fillId="0" borderId="17" xfId="0" applyNumberFormat="1" applyBorder="1" applyAlignment="1">
      <alignment vertical="center"/>
    </xf>
    <xf numFmtId="0" fontId="0" fillId="0" borderId="0" xfId="0" applyAlignment="1"/>
    <xf numFmtId="0" fontId="27" fillId="0" borderId="0" xfId="0" applyFont="1" applyAlignment="1">
      <alignment horizontal="center" vertical="center"/>
    </xf>
    <xf numFmtId="0" fontId="27" fillId="0" borderId="0" xfId="0" applyFont="1" applyFill="1" applyAlignment="1">
      <alignment horizontal="center"/>
    </xf>
    <xf numFmtId="0" fontId="27" fillId="0" borderId="0" xfId="0" applyFont="1" applyAlignment="1">
      <alignment horizontal="center"/>
    </xf>
    <xf numFmtId="0" fontId="0" fillId="0" borderId="0" xfId="0" applyAlignment="1">
      <alignment vertical="center" wrapText="1"/>
    </xf>
    <xf numFmtId="5" fontId="7" fillId="0" borderId="0" xfId="0" applyNumberFormat="1" applyFont="1" applyAlignment="1">
      <alignment horizontal="center" vertical="center"/>
    </xf>
    <xf numFmtId="0" fontId="7" fillId="0" borderId="0" xfId="0" applyFont="1" applyAlignment="1">
      <alignment horizontal="center" vertical="center"/>
    </xf>
    <xf numFmtId="0" fontId="0" fillId="11" borderId="0" xfId="0" applyFill="1" applyAlignment="1">
      <alignment vertical="center"/>
    </xf>
    <xf numFmtId="0" fontId="0" fillId="11" borderId="0" xfId="0" applyFill="1" applyAlignment="1">
      <alignment horizontal="center" vertical="center"/>
    </xf>
    <xf numFmtId="5" fontId="0" fillId="11" borderId="0" xfId="0" applyNumberFormat="1" applyFill="1" applyAlignment="1">
      <alignment vertical="center"/>
    </xf>
    <xf numFmtId="5" fontId="29" fillId="0" borderId="0" xfId="0" applyNumberFormat="1" applyFont="1" applyFill="1" applyBorder="1" applyAlignment="1">
      <alignment vertical="center"/>
    </xf>
    <xf numFmtId="5" fontId="0" fillId="0" borderId="0" xfId="0" applyNumberFormat="1" applyFill="1" applyAlignment="1">
      <alignment vertical="center"/>
    </xf>
    <xf numFmtId="0" fontId="0" fillId="0" borderId="0" xfId="0" applyAlignment="1">
      <alignment horizontal="left"/>
    </xf>
    <xf numFmtId="0" fontId="2" fillId="0" borderId="0" xfId="0" applyFont="1" applyAlignment="1">
      <alignment horizontal="right" vertical="center"/>
    </xf>
    <xf numFmtId="5" fontId="2" fillId="0" borderId="1" xfId="0" applyNumberFormat="1" applyFont="1" applyBorder="1" applyAlignment="1">
      <alignment vertical="center"/>
    </xf>
    <xf numFmtId="5" fontId="2" fillId="0" borderId="0" xfId="0" applyNumberFormat="1" applyFont="1" applyAlignment="1">
      <alignment vertical="center"/>
    </xf>
    <xf numFmtId="5" fontId="2" fillId="0" borderId="18" xfId="0" applyNumberFormat="1" applyFont="1" applyBorder="1" applyAlignment="1">
      <alignment vertical="center"/>
    </xf>
    <xf numFmtId="5" fontId="2" fillId="0" borderId="0" xfId="0" applyNumberFormat="1" applyFont="1" applyBorder="1" applyAlignment="1">
      <alignment vertical="center"/>
    </xf>
    <xf numFmtId="5" fontId="2" fillId="0" borderId="17" xfId="0" applyNumberFormat="1" applyFont="1" applyBorder="1" applyAlignment="1">
      <alignment vertical="center"/>
    </xf>
    <xf numFmtId="0" fontId="0" fillId="0" borderId="0" xfId="0" quotePrefix="1" applyAlignment="1">
      <alignment vertical="center"/>
    </xf>
    <xf numFmtId="0" fontId="0" fillId="0" borderId="0" xfId="0" applyAlignment="1">
      <alignment vertical="center" wrapText="1"/>
    </xf>
    <xf numFmtId="0" fontId="7" fillId="0" borderId="0" xfId="0" applyFont="1" applyAlignment="1">
      <alignment vertical="center"/>
    </xf>
    <xf numFmtId="0" fontId="16" fillId="0" borderId="0" xfId="0" applyFont="1" applyAlignment="1">
      <alignment vertical="center"/>
    </xf>
    <xf numFmtId="0" fontId="0" fillId="0" borderId="0" xfId="0" applyAlignment="1">
      <alignment vertical="center" wrapText="1"/>
    </xf>
    <xf numFmtId="5" fontId="0" fillId="0" borderId="0" xfId="0" applyNumberFormat="1" applyAlignment="1">
      <alignment horizontal="center" vertical="center"/>
    </xf>
    <xf numFmtId="164" fontId="12" fillId="0" borderId="0" xfId="0" applyNumberFormat="1" applyFont="1" applyFill="1"/>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3" fillId="7" borderId="0" xfId="0" applyFont="1" applyFill="1" applyAlignment="1">
      <alignment horizontal="center"/>
    </xf>
    <xf numFmtId="164" fontId="16" fillId="7" borderId="0" xfId="0" applyNumberFormat="1" applyFont="1" applyFill="1"/>
    <xf numFmtId="164" fontId="17" fillId="7" borderId="1" xfId="0" applyNumberFormat="1" applyFont="1" applyFill="1" applyBorder="1"/>
    <xf numFmtId="164" fontId="2" fillId="7" borderId="1" xfId="0" applyNumberFormat="1" applyFont="1" applyFill="1" applyBorder="1"/>
    <xf numFmtId="164" fontId="2" fillId="7" borderId="0" xfId="0" applyNumberFormat="1" applyFont="1" applyFill="1"/>
    <xf numFmtId="0" fontId="24" fillId="0" borderId="0" xfId="0" applyFont="1" applyBorder="1" applyAlignment="1">
      <alignment horizontal="center" wrapText="1"/>
    </xf>
    <xf numFmtId="0" fontId="25" fillId="0" borderId="0" xfId="0" applyFont="1" applyBorder="1" applyAlignment="1">
      <alignment horizontal="center" wrapText="1"/>
    </xf>
    <xf numFmtId="0" fontId="23" fillId="7" borderId="0" xfId="0" applyFont="1" applyFill="1" applyAlignment="1">
      <alignment horizont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8" borderId="0" xfId="0" applyFill="1" applyAlignment="1">
      <alignment horizontal="center" vertical="center"/>
    </xf>
    <xf numFmtId="9" fontId="0" fillId="9" borderId="0" xfId="2" applyFont="1" applyFill="1" applyAlignment="1">
      <alignment vertical="center"/>
    </xf>
    <xf numFmtId="164" fontId="21" fillId="0" borderId="0" xfId="0" applyNumberFormat="1" applyFont="1" applyFill="1" applyAlignment="1">
      <alignment vertical="center"/>
    </xf>
    <xf numFmtId="164" fontId="22" fillId="0" borderId="0" xfId="0" applyNumberFormat="1" applyFont="1" applyFill="1" applyAlignment="1">
      <alignment vertical="center"/>
    </xf>
    <xf numFmtId="0" fontId="23" fillId="0" borderId="0" xfId="0" applyFont="1" applyFill="1" applyAlignment="1">
      <alignment horizontal="center" vertical="center"/>
    </xf>
    <xf numFmtId="164" fontId="2" fillId="0" borderId="0" xfId="0" applyNumberFormat="1" applyFont="1" applyFill="1" applyBorder="1" applyAlignment="1">
      <alignment vertical="center"/>
    </xf>
    <xf numFmtId="164" fontId="3" fillId="0" borderId="0" xfId="0" applyNumberFormat="1" applyFont="1" applyFill="1" applyAlignment="1">
      <alignment horizontal="center" vertical="center"/>
    </xf>
    <xf numFmtId="0" fontId="2" fillId="0" borderId="0" xfId="0" applyFont="1" applyFill="1" applyAlignment="1">
      <alignment horizontal="center" vertical="center"/>
    </xf>
    <xf numFmtId="166" fontId="2" fillId="0" borderId="0" xfId="2" applyNumberFormat="1" applyFont="1" applyFill="1" applyAlignment="1">
      <alignment horizontal="center" vertical="center"/>
    </xf>
    <xf numFmtId="9" fontId="0" fillId="0" borderId="0" xfId="2" applyFont="1" applyFill="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43" fontId="12" fillId="0" borderId="0" xfId="1" applyFont="1" applyAlignment="1">
      <alignment vertical="center"/>
    </xf>
    <xf numFmtId="164" fontId="12" fillId="0" borderId="0" xfId="0" applyNumberFormat="1" applyFont="1" applyAlignment="1">
      <alignment vertical="center"/>
    </xf>
    <xf numFmtId="164" fontId="12" fillId="7" borderId="0" xfId="0" applyNumberFormat="1" applyFont="1" applyFill="1" applyAlignment="1">
      <alignment vertical="center"/>
    </xf>
    <xf numFmtId="164" fontId="12" fillId="0" borderId="0" xfId="0" applyNumberFormat="1" applyFont="1" applyFill="1" applyAlignment="1">
      <alignment vertical="center"/>
    </xf>
    <xf numFmtId="164" fontId="12" fillId="0" borderId="0" xfId="1" applyNumberFormat="1" applyFont="1" applyAlignment="1">
      <alignment vertical="center"/>
    </xf>
    <xf numFmtId="164" fontId="12" fillId="0" borderId="0" xfId="1" applyNumberFormat="1" applyFont="1" applyFill="1" applyAlignment="1">
      <alignment vertical="center"/>
    </xf>
    <xf numFmtId="0" fontId="0" fillId="0" borderId="0" xfId="0" applyAlignment="1">
      <alignment vertical="center" wrapText="1"/>
    </xf>
    <xf numFmtId="0" fontId="0" fillId="0" borderId="0" xfId="0" applyAlignment="1">
      <alignment vertical="center" wrapText="1"/>
    </xf>
    <xf numFmtId="169" fontId="0" fillId="0" borderId="0" xfId="0" applyNumberFormat="1" applyAlignment="1">
      <alignment horizontal="center"/>
    </xf>
    <xf numFmtId="168" fontId="0" fillId="0" borderId="0" xfId="0" applyNumberFormat="1"/>
    <xf numFmtId="168" fontId="0" fillId="0" borderId="1" xfId="0" applyNumberFormat="1" applyBorder="1"/>
    <xf numFmtId="0" fontId="2" fillId="7" borderId="4" xfId="0" applyFont="1" applyFill="1" applyBorder="1"/>
    <xf numFmtId="0" fontId="0" fillId="7" borderId="19" xfId="0" applyFill="1" applyBorder="1"/>
    <xf numFmtId="0" fontId="0" fillId="7" borderId="5" xfId="0" applyFill="1" applyBorder="1"/>
    <xf numFmtId="0" fontId="0" fillId="7" borderId="6" xfId="0" applyFill="1" applyBorder="1"/>
    <xf numFmtId="0" fontId="0" fillId="7" borderId="0" xfId="0" applyFill="1" applyBorder="1"/>
    <xf numFmtId="0" fontId="0" fillId="7" borderId="7" xfId="0" applyFill="1" applyBorder="1"/>
    <xf numFmtId="168" fontId="0" fillId="7" borderId="0" xfId="0" applyNumberFormat="1" applyFill="1" applyBorder="1"/>
    <xf numFmtId="168" fontId="0" fillId="7" borderId="1" xfId="0" applyNumberFormat="1" applyFill="1" applyBorder="1"/>
    <xf numFmtId="0" fontId="0" fillId="7" borderId="10" xfId="0" applyFill="1" applyBorder="1"/>
    <xf numFmtId="0" fontId="0" fillId="7" borderId="20" xfId="0" applyFill="1" applyBorder="1"/>
    <xf numFmtId="0" fontId="0" fillId="7" borderId="11" xfId="0" applyFill="1" applyBorder="1"/>
    <xf numFmtId="5" fontId="0" fillId="0" borderId="1" xfId="0" applyNumberFormat="1" applyFont="1" applyBorder="1"/>
    <xf numFmtId="0" fontId="0" fillId="0" borderId="0" xfId="0" applyAlignment="1">
      <alignment vertical="center" wrapText="1"/>
    </xf>
    <xf numFmtId="0" fontId="0" fillId="0" borderId="0" xfId="0" quotePrefix="1" applyFont="1" applyAlignment="1">
      <alignment vertical="center"/>
    </xf>
    <xf numFmtId="0" fontId="32" fillId="0" borderId="0" xfId="0" applyFont="1" applyAlignment="1">
      <alignment vertical="center"/>
    </xf>
    <xf numFmtId="0" fontId="29" fillId="0" borderId="0" xfId="0" applyFont="1"/>
    <xf numFmtId="164" fontId="2" fillId="0" borderId="0" xfId="0" applyNumberFormat="1" applyFont="1" applyFill="1" applyAlignment="1">
      <alignment horizontal="right" vertical="center"/>
    </xf>
    <xf numFmtId="0" fontId="0" fillId="0" borderId="0" xfId="0" applyAlignment="1">
      <alignment vertical="center" wrapText="1"/>
    </xf>
    <xf numFmtId="0" fontId="41" fillId="0" borderId="0" xfId="0" applyFont="1"/>
    <xf numFmtId="0" fontId="43" fillId="0" borderId="0" xfId="0" applyFont="1"/>
    <xf numFmtId="0" fontId="45" fillId="0" borderId="0" xfId="0" applyFont="1"/>
    <xf numFmtId="0" fontId="47" fillId="0" borderId="0" xfId="0" applyFont="1"/>
    <xf numFmtId="0" fontId="38" fillId="0" borderId="0" xfId="0" applyFont="1" applyAlignment="1">
      <alignment horizontal="center"/>
    </xf>
    <xf numFmtId="0" fontId="49" fillId="0" borderId="0" xfId="0" applyFont="1"/>
    <xf numFmtId="0" fontId="52" fillId="0" borderId="0" xfId="0" applyFont="1"/>
    <xf numFmtId="0" fontId="0" fillId="0" borderId="0" xfId="0" applyBorder="1"/>
    <xf numFmtId="0" fontId="34" fillId="0" borderId="0" xfId="0" applyFont="1" applyBorder="1"/>
    <xf numFmtId="164" fontId="34" fillId="0" borderId="0" xfId="0" applyNumberFormat="1" applyFont="1" applyBorder="1"/>
    <xf numFmtId="0" fontId="46" fillId="0" borderId="0" xfId="0" applyFont="1" applyBorder="1"/>
    <xf numFmtId="0" fontId="39" fillId="0" borderId="0" xfId="0" applyFont="1" applyBorder="1"/>
    <xf numFmtId="0" fontId="40" fillId="0" borderId="0" xfId="0" applyFont="1" applyBorder="1" applyAlignment="1">
      <alignment vertical="center"/>
    </xf>
    <xf numFmtId="0" fontId="32" fillId="0" borderId="0" xfId="0" applyFont="1" applyBorder="1" applyAlignment="1">
      <alignment vertical="center"/>
    </xf>
    <xf numFmtId="0" fontId="48" fillId="0" borderId="0" xfId="0" applyFont="1" applyBorder="1"/>
    <xf numFmtId="0" fontId="2" fillId="0" borderId="0" xfId="0" applyFont="1" applyBorder="1"/>
    <xf numFmtId="0" fontId="49" fillId="0" borderId="0" xfId="0" applyFont="1" applyBorder="1"/>
    <xf numFmtId="0" fontId="36" fillId="0" borderId="0" xfId="0" applyFont="1" applyBorder="1"/>
    <xf numFmtId="0" fontId="50" fillId="0" borderId="0" xfId="0" applyFont="1" applyBorder="1"/>
    <xf numFmtId="0" fontId="47" fillId="0" borderId="0" xfId="0" applyFont="1" applyBorder="1"/>
    <xf numFmtId="0" fontId="3" fillId="7" borderId="0" xfId="0" applyFont="1" applyFill="1" applyBorder="1" applyAlignment="1"/>
    <xf numFmtId="0" fontId="0" fillId="7" borderId="21" xfId="0" applyFill="1" applyBorder="1"/>
    <xf numFmtId="0" fontId="0" fillId="7" borderId="18" xfId="0" applyFill="1" applyBorder="1"/>
    <xf numFmtId="0" fontId="0" fillId="7" borderId="22" xfId="0" applyFill="1" applyBorder="1"/>
    <xf numFmtId="0" fontId="3" fillId="7" borderId="23" xfId="0" applyFont="1" applyFill="1" applyBorder="1" applyAlignment="1"/>
    <xf numFmtId="0" fontId="3" fillId="7" borderId="24" xfId="0" applyFont="1" applyFill="1" applyBorder="1" applyAlignment="1"/>
    <xf numFmtId="0" fontId="0" fillId="7" borderId="23" xfId="0" applyFill="1" applyBorder="1"/>
    <xf numFmtId="0" fontId="0" fillId="7" borderId="24" xfId="0" applyFill="1" applyBorder="1"/>
    <xf numFmtId="0" fontId="0" fillId="7" borderId="25" xfId="0" applyFill="1" applyBorder="1"/>
    <xf numFmtId="0" fontId="0" fillId="7" borderId="16" xfId="0" applyFill="1" applyBorder="1"/>
    <xf numFmtId="0" fontId="0" fillId="7" borderId="26" xfId="0" applyFill="1" applyBorder="1"/>
    <xf numFmtId="0" fontId="52" fillId="0" borderId="0" xfId="0" applyFont="1" applyBorder="1"/>
    <xf numFmtId="0" fontId="3" fillId="0" borderId="0" xfId="0" applyFont="1" applyBorder="1"/>
    <xf numFmtId="0" fontId="37" fillId="0" borderId="0" xfId="0" applyFont="1" applyBorder="1" applyAlignment="1">
      <alignment vertical="center"/>
    </xf>
    <xf numFmtId="0" fontId="45" fillId="0" borderId="0" xfId="0" applyFont="1" applyBorder="1"/>
    <xf numFmtId="0" fontId="44" fillId="0" borderId="0" xfId="0" applyFont="1" applyBorder="1" applyAlignment="1"/>
    <xf numFmtId="0" fontId="42" fillId="0" borderId="0" xfId="0" applyFont="1" applyBorder="1" applyAlignment="1"/>
    <xf numFmtId="0" fontId="43" fillId="0" borderId="0" xfId="0" applyFont="1" applyBorder="1"/>
    <xf numFmtId="0" fontId="36" fillId="0" borderId="0" xfId="0" applyFont="1" applyFill="1" applyAlignment="1">
      <alignment vertical="center"/>
    </xf>
    <xf numFmtId="0" fontId="55" fillId="0" borderId="0" xfId="0" applyFont="1" applyBorder="1"/>
    <xf numFmtId="0" fontId="56" fillId="0" borderId="0" xfId="0" applyFont="1" applyBorder="1" applyAlignment="1">
      <alignment horizontal="right"/>
    </xf>
    <xf numFmtId="0" fontId="57" fillId="0" borderId="0" xfId="0" applyFont="1" applyFill="1" applyBorder="1" applyAlignment="1">
      <alignment vertical="center"/>
    </xf>
    <xf numFmtId="0" fontId="57" fillId="0" borderId="0" xfId="0" applyFont="1" applyBorder="1"/>
    <xf numFmtId="164" fontId="57" fillId="0" borderId="0" xfId="0" applyNumberFormat="1" applyFont="1" applyBorder="1"/>
    <xf numFmtId="0" fontId="57" fillId="0" borderId="0" xfId="0" applyFont="1" applyBorder="1" applyAlignment="1">
      <alignment vertical="center"/>
    </xf>
    <xf numFmtId="164" fontId="57" fillId="0" borderId="1" xfId="0" applyNumberFormat="1" applyFont="1" applyBorder="1"/>
    <xf numFmtId="0" fontId="57" fillId="0" borderId="0" xfId="0" quotePrefix="1" applyFont="1" applyBorder="1" applyAlignment="1">
      <alignment vertical="center"/>
    </xf>
    <xf numFmtId="0" fontId="57" fillId="0" borderId="0" xfId="0" applyFont="1"/>
    <xf numFmtId="0" fontId="34" fillId="0" borderId="0" xfId="0" applyFont="1"/>
    <xf numFmtId="0" fontId="58" fillId="7" borderId="0" xfId="0" applyFont="1" applyFill="1" applyBorder="1"/>
    <xf numFmtId="0" fontId="59" fillId="7" borderId="0" xfId="0" applyFont="1" applyFill="1" applyBorder="1"/>
    <xf numFmtId="0" fontId="54" fillId="0" borderId="0" xfId="0" applyFont="1"/>
    <xf numFmtId="0" fontId="55" fillId="0" borderId="0" xfId="0" applyFont="1"/>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62" fillId="0" borderId="0" xfId="0" applyFont="1"/>
    <xf numFmtId="0" fontId="63" fillId="0" borderId="0" xfId="0" applyFont="1"/>
    <xf numFmtId="0" fontId="36" fillId="0" borderId="0" xfId="0" applyFont="1" applyBorder="1" applyAlignment="1">
      <alignment vertical="center"/>
    </xf>
    <xf numFmtId="164" fontId="62" fillId="0" borderId="0" xfId="0" applyNumberFormat="1" applyFont="1" applyBorder="1"/>
    <xf numFmtId="0" fontId="59" fillId="0" borderId="0" xfId="0" applyFont="1" applyBorder="1"/>
    <xf numFmtId="0" fontId="58" fillId="0" borderId="0" xfId="0" applyFont="1" applyBorder="1"/>
    <xf numFmtId="0" fontId="58" fillId="0" borderId="0" xfId="0" applyFont="1" applyBorder="1" applyAlignment="1">
      <alignment vertical="center"/>
    </xf>
    <xf numFmtId="0" fontId="59" fillId="0" borderId="0" xfId="0" applyFont="1"/>
    <xf numFmtId="0" fontId="65" fillId="0" borderId="0" xfId="0" applyFont="1" applyBorder="1"/>
    <xf numFmtId="0" fontId="66" fillId="0" borderId="0" xfId="0" applyFont="1" applyBorder="1"/>
    <xf numFmtId="0" fontId="66" fillId="0" borderId="0" xfId="0" applyFont="1" applyBorder="1" applyAlignment="1">
      <alignment vertical="center"/>
    </xf>
    <xf numFmtId="0" fontId="67" fillId="0" borderId="0" xfId="0" applyFont="1" applyBorder="1"/>
    <xf numFmtId="0" fontId="67" fillId="0" borderId="0" xfId="0" applyFont="1"/>
    <xf numFmtId="0" fontId="0" fillId="0" borderId="0" xfId="0" applyAlignment="1">
      <alignment vertical="center" wrapText="1"/>
    </xf>
    <xf numFmtId="0" fontId="0" fillId="0" borderId="0" xfId="0" applyAlignment="1">
      <alignment vertical="center" wrapText="1"/>
    </xf>
    <xf numFmtId="165" fontId="0" fillId="0" borderId="0" xfId="1" applyNumberFormat="1" applyFont="1" applyFill="1" applyAlignment="1">
      <alignment vertical="center"/>
    </xf>
    <xf numFmtId="0" fontId="51" fillId="0" borderId="16" xfId="0" applyFont="1" applyBorder="1" applyAlignment="1">
      <alignment horizontal="center" vertical="center"/>
    </xf>
    <xf numFmtId="0" fontId="44" fillId="7" borderId="0" xfId="0" applyFont="1" applyFill="1" applyBorder="1" applyAlignment="1">
      <alignment horizontal="center"/>
    </xf>
    <xf numFmtId="0" fontId="53" fillId="0" borderId="0" xfId="0" applyFont="1" applyBorder="1" applyAlignment="1">
      <alignment horizontal="center" vertical="center"/>
    </xf>
    <xf numFmtId="0" fontId="53" fillId="0" borderId="0" xfId="0" applyFont="1" applyBorder="1" applyAlignment="1">
      <alignment horizontal="center"/>
    </xf>
    <xf numFmtId="0" fontId="42" fillId="0" borderId="0" xfId="0" applyFont="1" applyBorder="1" applyAlignment="1">
      <alignment horizontal="center"/>
    </xf>
    <xf numFmtId="0" fontId="53" fillId="0" borderId="0" xfId="0" applyFont="1" applyAlignment="1">
      <alignment horizontal="center"/>
    </xf>
    <xf numFmtId="0" fontId="33" fillId="0" borderId="20" xfId="0" applyFont="1" applyBorder="1" applyAlignment="1">
      <alignment horizontal="center" vertical="center"/>
    </xf>
    <xf numFmtId="0" fontId="34" fillId="0" borderId="0" xfId="0" applyFont="1" applyAlignment="1">
      <alignment horizontal="center" vertical="center"/>
    </xf>
    <xf numFmtId="0" fontId="60" fillId="0" borderId="16" xfId="0" applyFont="1" applyBorder="1" applyAlignment="1">
      <alignment horizontal="center" vertical="center"/>
    </xf>
    <xf numFmtId="0" fontId="60" fillId="0" borderId="16" xfId="0" applyFont="1" applyBorder="1" applyAlignment="1">
      <alignment horizontal="center"/>
    </xf>
    <xf numFmtId="0" fontId="3" fillId="10" borderId="0" xfId="0" applyFont="1" applyFill="1" applyAlignment="1">
      <alignment vertical="center" wrapText="1"/>
    </xf>
    <xf numFmtId="0" fontId="0" fillId="0" borderId="0" xfId="0" applyAlignment="1">
      <alignment vertical="center" wrapText="1"/>
    </xf>
    <xf numFmtId="0" fontId="2" fillId="0" borderId="16" xfId="0" applyFont="1" applyBorder="1" applyAlignment="1">
      <alignment horizontal="center"/>
    </xf>
  </cellXfs>
  <cellStyles count="4">
    <cellStyle name="Comma" xfId="1" builtinId="3"/>
    <cellStyle name="Currency" xfId="3" builtinId="4"/>
    <cellStyle name="Normal" xfId="0" builtinId="0"/>
    <cellStyle name="Percent" xfId="2" builtinId="5"/>
  </cellStyles>
  <dxfs count="5">
    <dxf>
      <fill>
        <patternFill>
          <fgColor rgb="FFFF0000"/>
          <bgColor rgb="FF00B050"/>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2-B8DB-47FE-B321-8CFBB801CBA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B8DB-47FE-B321-8CFBB801CBA5}"/>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4-B8DB-47FE-B321-8CFBB801CBA5}"/>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B8DB-47FE-B321-8CFBB801CBA5}"/>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5-B8DB-47FE-B321-8CFBB801CBA5}"/>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6-B8DB-47FE-B321-8CFBB801CBA5}"/>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B8DB-47FE-B321-8CFBB801CBA5}"/>
              </c:ext>
            </c:extLst>
          </c:dPt>
          <c:dLbls>
            <c:dLbl>
              <c:idx val="0"/>
              <c:layout>
                <c:manualLayout>
                  <c:x val="-2.3070343381405883E-2"/>
                  <c:y val="-1.4813279031877241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8DB-47FE-B321-8CFBB801CBA5}"/>
                </c:ext>
              </c:extLst>
            </c:dLbl>
            <c:dLbl>
              <c:idx val="1"/>
              <c:layout>
                <c:manualLayout>
                  <c:x val="0.10675290592542304"/>
                  <c:y val="1.8600735113597253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8DB-47FE-B321-8CFBB801CBA5}"/>
                </c:ext>
              </c:extLst>
            </c:dLbl>
            <c:dLbl>
              <c:idx val="2"/>
              <c:layout>
                <c:manualLayout>
                  <c:x val="6.2873253589579181E-2"/>
                  <c:y val="1.3924928667668276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8DB-47FE-B321-8CFBB801CBA5}"/>
                </c:ext>
              </c:extLst>
            </c:dLbl>
            <c:dLbl>
              <c:idx val="3"/>
              <c:layout>
                <c:manualLayout>
                  <c:x val="0.19293274812986569"/>
                  <c:y val="-9.5699561962511323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8DB-47FE-B321-8CFBB801CBA5}"/>
                </c:ext>
              </c:extLst>
            </c:dLbl>
            <c:dLbl>
              <c:idx val="4"/>
              <c:layout>
                <c:manualLayout>
                  <c:x val="-7.3111505370886176E-2"/>
                  <c:y val="0.11723082543460156"/>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8DB-47FE-B321-8CFBB801CBA5}"/>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8DB-47FE-B321-8CFBB801CBA5}"/>
                </c:ext>
              </c:extLst>
            </c:dLbl>
            <c:dLbl>
              <c:idx val="6"/>
              <c:layout>
                <c:manualLayout>
                  <c:x val="-6.4031009218573371E-3"/>
                  <c:y val="-3.1336541893043218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8DB-47FE-B321-8CFBB801CBA5}"/>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'CIP Details'!$L$384:$L$390</c:f>
              <c:numCache>
                <c:formatCode>"$"#,##0</c:formatCode>
                <c:ptCount val="7"/>
                <c:pt idx="0">
                  <c:v>0</c:v>
                </c:pt>
                <c:pt idx="1">
                  <c:v>793975</c:v>
                </c:pt>
                <c:pt idx="2">
                  <c:v>812000</c:v>
                </c:pt>
                <c:pt idx="3">
                  <c:v>3995000</c:v>
                </c:pt>
                <c:pt idx="4">
                  <c:v>159219</c:v>
                </c:pt>
                <c:pt idx="5">
                  <c:v>0</c:v>
                </c:pt>
                <c:pt idx="6">
                  <c:v>1159373</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'CIP Details'!$H$384:$H$390</c15:sqref>
                        </c15:formulaRef>
                      </c:ext>
                    </c:extLst>
                  </c:multiLvlStrRef>
                </c15:cat>
              </c15:filteredCategoryTitle>
            </c:ext>
            <c:ext xmlns:c16="http://schemas.microsoft.com/office/drawing/2014/chart" uri="{C3380CC4-5D6E-409C-BE32-E72D297353CC}">
              <c16:uniqueId val="{00000000-B8DB-47FE-B321-8CFBB801CB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E8B0-44C7-AACC-46ADD4AD286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E8B0-44C7-AACC-46ADD4AD286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E8B0-44C7-AACC-46ADD4AD286E}"/>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E8B0-44C7-AACC-46ADD4AD286E}"/>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E8B0-44C7-AACC-46ADD4AD286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E8B0-44C7-AACC-46ADD4AD286E}"/>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E8B0-44C7-AACC-46ADD4AD286E}"/>
              </c:ext>
            </c:extLst>
          </c:dPt>
          <c:dLbls>
            <c:dLbl>
              <c:idx val="0"/>
              <c:layout>
                <c:manualLayout>
                  <c:x val="-8.7710911269119774E-3"/>
                  <c:y val="-8.7955339455771192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8B0-44C7-AACC-46ADD4AD286E}"/>
                </c:ext>
              </c:extLst>
            </c:dLbl>
            <c:dLbl>
              <c:idx val="2"/>
              <c:layout>
                <c:manualLayout>
                  <c:x val="-1.3655725509089178E-2"/>
                  <c:y val="-5.6790140327622083E-3"/>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8B0-44C7-AACC-46ADD4AD286E}"/>
                </c:ext>
              </c:extLst>
            </c:dLbl>
            <c:dLbl>
              <c:idx val="3"/>
              <c:layout>
                <c:manualLayout>
                  <c:x val="-3.3145612646939384E-3"/>
                  <c:y val="1.2461507006920461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8B0-44C7-AACC-46ADD4AD286E}"/>
                </c:ext>
              </c:extLst>
            </c:dLbl>
            <c:dLbl>
              <c:idx val="4"/>
              <c:layout>
                <c:manualLayout>
                  <c:x val="-8.6770168120885408E-2"/>
                  <c:y val="-1.0788287092686449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E8B0-44C7-AACC-46ADD4AD286E}"/>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E8B0-44C7-AACC-46ADD4AD286E}"/>
                </c:ext>
              </c:extLst>
            </c:dLbl>
            <c:dLbl>
              <c:idx val="6"/>
              <c:layout>
                <c:manualLayout>
                  <c:x val="3.1355430295814647E-2"/>
                  <c:y val="-1.9397472641658683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E8B0-44C7-AACC-46ADD4AD28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'CIP Details'!$L$370:$L$378</c:f>
              <c:numCache>
                <c:formatCode>"$"#,##0</c:formatCode>
                <c:ptCount val="9"/>
                <c:pt idx="0">
                  <c:v>1484130</c:v>
                </c:pt>
                <c:pt idx="1">
                  <c:v>37500</c:v>
                </c:pt>
                <c:pt idx="2">
                  <c:v>700000</c:v>
                </c:pt>
                <c:pt idx="3">
                  <c:v>0</c:v>
                </c:pt>
                <c:pt idx="4">
                  <c:v>749000</c:v>
                </c:pt>
                <c:pt idx="5">
                  <c:v>0</c:v>
                </c:pt>
                <c:pt idx="6">
                  <c:v>76000</c:v>
                </c:pt>
                <c:pt idx="7">
                  <c:v>3110000</c:v>
                </c:pt>
                <c:pt idx="8">
                  <c:v>762937</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'CIP Details'!$H$370:$H$378</c15:sqref>
                        </c15:formulaRef>
                      </c:ext>
                    </c:extLst>
                  </c:multiLvlStrRef>
                </c15:cat>
              </c15:filteredCategoryTitle>
            </c:ext>
            <c:ext xmlns:c16="http://schemas.microsoft.com/office/drawing/2014/chart" uri="{C3380CC4-5D6E-409C-BE32-E72D297353CC}">
              <c16:uniqueId val="{0000000E-E8B0-44C7-AACC-46ADD4AD286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40822</xdr:colOff>
      <xdr:row>17</xdr:row>
      <xdr:rowOff>0</xdr:rowOff>
    </xdr:from>
    <xdr:to>
      <xdr:col>12</xdr:col>
      <xdr:colOff>27214</xdr:colOff>
      <xdr:row>24</xdr:row>
      <xdr:rowOff>0</xdr:rowOff>
    </xdr:to>
    <xdr:sp macro="" textlink="">
      <xdr:nvSpPr>
        <xdr:cNvPr id="2" name="Right Brace 1">
          <a:extLst>
            <a:ext uri="{FF2B5EF4-FFF2-40B4-BE49-F238E27FC236}">
              <a16:creationId xmlns:a16="http://schemas.microsoft.com/office/drawing/2014/main" xmlns="" id="{00000000-0008-0000-0100-000002000000}"/>
            </a:ext>
          </a:extLst>
        </xdr:cNvPr>
        <xdr:cNvSpPr/>
      </xdr:nvSpPr>
      <xdr:spPr>
        <a:xfrm>
          <a:off x="15389679" y="3592286"/>
          <a:ext cx="598714" cy="155121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504825</xdr:colOff>
      <xdr:row>53</xdr:row>
      <xdr:rowOff>38100</xdr:rowOff>
    </xdr:from>
    <xdr:to>
      <xdr:col>8</xdr:col>
      <xdr:colOff>85726</xdr:colOff>
      <xdr:row>67</xdr:row>
      <xdr:rowOff>28575</xdr:rowOff>
    </xdr:to>
    <xdr:sp macro="" textlink="">
      <xdr:nvSpPr>
        <xdr:cNvPr id="5" name="Oval 4">
          <a:extLst>
            <a:ext uri="{FF2B5EF4-FFF2-40B4-BE49-F238E27FC236}">
              <a16:creationId xmlns:a16="http://schemas.microsoft.com/office/drawing/2014/main" xmlns="" id="{00000000-0008-0000-0500-000005000000}"/>
            </a:ext>
          </a:extLst>
        </xdr:cNvPr>
        <xdr:cNvSpPr/>
      </xdr:nvSpPr>
      <xdr:spPr>
        <a:xfrm>
          <a:off x="504825" y="11420475"/>
          <a:ext cx="4924426" cy="26955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19049</xdr:colOff>
      <xdr:row>33</xdr:row>
      <xdr:rowOff>95250</xdr:rowOff>
    </xdr:from>
    <xdr:to>
      <xdr:col>10</xdr:col>
      <xdr:colOff>285749</xdr:colOff>
      <xdr:row>42</xdr:row>
      <xdr:rowOff>28575</xdr:rowOff>
    </xdr:to>
    <xdr:sp macro="" textlink="">
      <xdr:nvSpPr>
        <xdr:cNvPr id="6" name="Cloud 5">
          <a:extLst>
            <a:ext uri="{FF2B5EF4-FFF2-40B4-BE49-F238E27FC236}">
              <a16:creationId xmlns:a16="http://schemas.microsoft.com/office/drawing/2014/main" xmlns="" id="{00000000-0008-0000-0500-000006000000}"/>
            </a:ext>
          </a:extLst>
        </xdr:cNvPr>
        <xdr:cNvSpPr/>
      </xdr:nvSpPr>
      <xdr:spPr>
        <a:xfrm>
          <a:off x="3133724" y="7010400"/>
          <a:ext cx="4029075" cy="1647825"/>
        </a:xfrm>
        <a:prstGeom prst="cloud">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104774</xdr:colOff>
      <xdr:row>5</xdr:row>
      <xdr:rowOff>85725</xdr:rowOff>
    </xdr:from>
    <xdr:to>
      <xdr:col>7</xdr:col>
      <xdr:colOff>466724</xdr:colOff>
      <xdr:row>25</xdr:row>
      <xdr:rowOff>161925</xdr:rowOff>
    </xdr:to>
    <xdr:sp macro="" textlink="">
      <xdr:nvSpPr>
        <xdr:cNvPr id="7" name="Can 6">
          <a:extLst>
            <a:ext uri="{FF2B5EF4-FFF2-40B4-BE49-F238E27FC236}">
              <a16:creationId xmlns:a16="http://schemas.microsoft.com/office/drawing/2014/main" xmlns="" id="{00000000-0008-0000-0500-000007000000}"/>
            </a:ext>
          </a:extLst>
        </xdr:cNvPr>
        <xdr:cNvSpPr/>
      </xdr:nvSpPr>
      <xdr:spPr>
        <a:xfrm>
          <a:off x="714374" y="2305050"/>
          <a:ext cx="4352925" cy="3886200"/>
        </a:xfrm>
        <a:prstGeom prst="can">
          <a:avLst>
            <a:gd name="adj" fmla="val 12699"/>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123825</xdr:colOff>
      <xdr:row>52</xdr:row>
      <xdr:rowOff>95250</xdr:rowOff>
    </xdr:from>
    <xdr:to>
      <xdr:col>23</xdr:col>
      <xdr:colOff>190500</xdr:colOff>
      <xdr:row>69</xdr:row>
      <xdr:rowOff>28575</xdr:rowOff>
    </xdr:to>
    <xdr:sp macro="" textlink="">
      <xdr:nvSpPr>
        <xdr:cNvPr id="8" name="Frame 7">
          <a:extLst>
            <a:ext uri="{FF2B5EF4-FFF2-40B4-BE49-F238E27FC236}">
              <a16:creationId xmlns:a16="http://schemas.microsoft.com/office/drawing/2014/main" xmlns="" id="{00000000-0008-0000-0500-000008000000}"/>
            </a:ext>
          </a:extLst>
        </xdr:cNvPr>
        <xdr:cNvSpPr/>
      </xdr:nvSpPr>
      <xdr:spPr>
        <a:xfrm>
          <a:off x="10296525" y="11287125"/>
          <a:ext cx="5410200" cy="3209925"/>
        </a:xfrm>
        <a:prstGeom prst="fram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85725</xdr:colOff>
      <xdr:row>31</xdr:row>
      <xdr:rowOff>66676</xdr:rowOff>
    </xdr:from>
    <xdr:to>
      <xdr:col>18</xdr:col>
      <xdr:colOff>571500</xdr:colOff>
      <xdr:row>43</xdr:row>
      <xdr:rowOff>95251</xdr:rowOff>
    </xdr:to>
    <xdr:sp macro="" textlink="">
      <xdr:nvSpPr>
        <xdr:cNvPr id="9" name="Hexagon 8">
          <a:extLst>
            <a:ext uri="{FF2B5EF4-FFF2-40B4-BE49-F238E27FC236}">
              <a16:creationId xmlns:a16="http://schemas.microsoft.com/office/drawing/2014/main" xmlns="" id="{00000000-0008-0000-0500-000009000000}"/>
            </a:ext>
          </a:extLst>
        </xdr:cNvPr>
        <xdr:cNvSpPr/>
      </xdr:nvSpPr>
      <xdr:spPr>
        <a:xfrm>
          <a:off x="8905875" y="6600826"/>
          <a:ext cx="4000500" cy="2324100"/>
        </a:xfrm>
        <a:prstGeom prst="hexagon">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628651</xdr:colOff>
      <xdr:row>5</xdr:row>
      <xdr:rowOff>95251</xdr:rowOff>
    </xdr:from>
    <xdr:to>
      <xdr:col>23</xdr:col>
      <xdr:colOff>419100</xdr:colOff>
      <xdr:row>25</xdr:row>
      <xdr:rowOff>66675</xdr:rowOff>
    </xdr:to>
    <xdr:sp macro="" textlink="">
      <xdr:nvSpPr>
        <xdr:cNvPr id="10" name="Trapezoid 9">
          <a:extLst>
            <a:ext uri="{FF2B5EF4-FFF2-40B4-BE49-F238E27FC236}">
              <a16:creationId xmlns:a16="http://schemas.microsoft.com/office/drawing/2014/main" xmlns="" id="{00000000-0008-0000-0500-00000A000000}"/>
            </a:ext>
          </a:extLst>
        </xdr:cNvPr>
        <xdr:cNvSpPr/>
      </xdr:nvSpPr>
      <xdr:spPr>
        <a:xfrm>
          <a:off x="10801351" y="2314576"/>
          <a:ext cx="5133974" cy="3781424"/>
        </a:xfrm>
        <a:prstGeom prst="trapezoid">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504825</xdr:colOff>
      <xdr:row>53</xdr:row>
      <xdr:rowOff>38100</xdr:rowOff>
    </xdr:from>
    <xdr:to>
      <xdr:col>8</xdr:col>
      <xdr:colOff>85726</xdr:colOff>
      <xdr:row>67</xdr:row>
      <xdr:rowOff>28575</xdr:rowOff>
    </xdr:to>
    <xdr:sp macro="" textlink="">
      <xdr:nvSpPr>
        <xdr:cNvPr id="2" name="Oval 1">
          <a:extLst>
            <a:ext uri="{FF2B5EF4-FFF2-40B4-BE49-F238E27FC236}">
              <a16:creationId xmlns:a16="http://schemas.microsoft.com/office/drawing/2014/main" xmlns="" id="{00000000-0008-0000-0600-000002000000}"/>
            </a:ext>
          </a:extLst>
        </xdr:cNvPr>
        <xdr:cNvSpPr/>
      </xdr:nvSpPr>
      <xdr:spPr>
        <a:xfrm>
          <a:off x="504825" y="11420475"/>
          <a:ext cx="4924426" cy="26955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19049</xdr:colOff>
      <xdr:row>33</xdr:row>
      <xdr:rowOff>95250</xdr:rowOff>
    </xdr:from>
    <xdr:to>
      <xdr:col>10</xdr:col>
      <xdr:colOff>285749</xdr:colOff>
      <xdr:row>42</xdr:row>
      <xdr:rowOff>28575</xdr:rowOff>
    </xdr:to>
    <xdr:sp macro="" textlink="">
      <xdr:nvSpPr>
        <xdr:cNvPr id="3" name="Cloud 2">
          <a:extLst>
            <a:ext uri="{FF2B5EF4-FFF2-40B4-BE49-F238E27FC236}">
              <a16:creationId xmlns:a16="http://schemas.microsoft.com/office/drawing/2014/main" xmlns="" id="{00000000-0008-0000-0600-000003000000}"/>
            </a:ext>
          </a:extLst>
        </xdr:cNvPr>
        <xdr:cNvSpPr/>
      </xdr:nvSpPr>
      <xdr:spPr>
        <a:xfrm>
          <a:off x="3133724" y="7648575"/>
          <a:ext cx="4029075" cy="1647825"/>
        </a:xfrm>
        <a:prstGeom prst="cloud">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104774</xdr:colOff>
      <xdr:row>5</xdr:row>
      <xdr:rowOff>152399</xdr:rowOff>
    </xdr:from>
    <xdr:to>
      <xdr:col>7</xdr:col>
      <xdr:colOff>466724</xdr:colOff>
      <xdr:row>25</xdr:row>
      <xdr:rowOff>161924</xdr:rowOff>
    </xdr:to>
    <xdr:sp macro="" textlink="">
      <xdr:nvSpPr>
        <xdr:cNvPr id="4" name="Can 3">
          <a:extLst>
            <a:ext uri="{FF2B5EF4-FFF2-40B4-BE49-F238E27FC236}">
              <a16:creationId xmlns:a16="http://schemas.microsoft.com/office/drawing/2014/main" xmlns="" id="{00000000-0008-0000-0600-000004000000}"/>
            </a:ext>
          </a:extLst>
        </xdr:cNvPr>
        <xdr:cNvSpPr/>
      </xdr:nvSpPr>
      <xdr:spPr>
        <a:xfrm>
          <a:off x="714374" y="2200274"/>
          <a:ext cx="4352925" cy="3819525"/>
        </a:xfrm>
        <a:prstGeom prst="can">
          <a:avLst>
            <a:gd name="adj" fmla="val 1120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123825</xdr:colOff>
      <xdr:row>52</xdr:row>
      <xdr:rowOff>95250</xdr:rowOff>
    </xdr:from>
    <xdr:to>
      <xdr:col>23</xdr:col>
      <xdr:colOff>190500</xdr:colOff>
      <xdr:row>69</xdr:row>
      <xdr:rowOff>28575</xdr:rowOff>
    </xdr:to>
    <xdr:sp macro="" textlink="">
      <xdr:nvSpPr>
        <xdr:cNvPr id="5" name="Frame 4">
          <a:extLst>
            <a:ext uri="{FF2B5EF4-FFF2-40B4-BE49-F238E27FC236}">
              <a16:creationId xmlns:a16="http://schemas.microsoft.com/office/drawing/2014/main" xmlns="" id="{00000000-0008-0000-0600-000005000000}"/>
            </a:ext>
          </a:extLst>
        </xdr:cNvPr>
        <xdr:cNvSpPr/>
      </xdr:nvSpPr>
      <xdr:spPr>
        <a:xfrm>
          <a:off x="10296525" y="11287125"/>
          <a:ext cx="5410200" cy="3209925"/>
        </a:xfrm>
        <a:prstGeom prst="fram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85725</xdr:colOff>
      <xdr:row>31</xdr:row>
      <xdr:rowOff>66676</xdr:rowOff>
    </xdr:from>
    <xdr:to>
      <xdr:col>18</xdr:col>
      <xdr:colOff>571500</xdr:colOff>
      <xdr:row>43</xdr:row>
      <xdr:rowOff>95251</xdr:rowOff>
    </xdr:to>
    <xdr:sp macro="" textlink="">
      <xdr:nvSpPr>
        <xdr:cNvPr id="6" name="Hexagon 5">
          <a:extLst>
            <a:ext uri="{FF2B5EF4-FFF2-40B4-BE49-F238E27FC236}">
              <a16:creationId xmlns:a16="http://schemas.microsoft.com/office/drawing/2014/main" xmlns="" id="{00000000-0008-0000-0600-000006000000}"/>
            </a:ext>
          </a:extLst>
        </xdr:cNvPr>
        <xdr:cNvSpPr/>
      </xdr:nvSpPr>
      <xdr:spPr>
        <a:xfrm>
          <a:off x="8905875" y="7239001"/>
          <a:ext cx="4000500" cy="2324100"/>
        </a:xfrm>
        <a:prstGeom prst="hexagon">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628651</xdr:colOff>
      <xdr:row>5</xdr:row>
      <xdr:rowOff>95251</xdr:rowOff>
    </xdr:from>
    <xdr:to>
      <xdr:col>23</xdr:col>
      <xdr:colOff>419100</xdr:colOff>
      <xdr:row>25</xdr:row>
      <xdr:rowOff>104775</xdr:rowOff>
    </xdr:to>
    <xdr:sp macro="" textlink="">
      <xdr:nvSpPr>
        <xdr:cNvPr id="7" name="Trapezoid 6">
          <a:extLst>
            <a:ext uri="{FF2B5EF4-FFF2-40B4-BE49-F238E27FC236}">
              <a16:creationId xmlns:a16="http://schemas.microsoft.com/office/drawing/2014/main" xmlns="" id="{00000000-0008-0000-0600-000007000000}"/>
            </a:ext>
          </a:extLst>
        </xdr:cNvPr>
        <xdr:cNvSpPr/>
      </xdr:nvSpPr>
      <xdr:spPr>
        <a:xfrm>
          <a:off x="10801351" y="2314576"/>
          <a:ext cx="5133974" cy="3819524"/>
        </a:xfrm>
        <a:prstGeom prst="trapezoid">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5110162</xdr:colOff>
      <xdr:row>425</xdr:row>
      <xdr:rowOff>176212</xdr:rowOff>
    </xdr:from>
    <xdr:to>
      <xdr:col>12</xdr:col>
      <xdr:colOff>47625</xdr:colOff>
      <xdr:row>445</xdr:row>
      <xdr:rowOff>171450</xdr:rowOff>
    </xdr:to>
    <xdr:graphicFrame macro="">
      <xdr:nvGraphicFramePr>
        <xdr:cNvPr id="2" name="Chart 1">
          <a:extLst>
            <a:ext uri="{FF2B5EF4-FFF2-40B4-BE49-F238E27FC236}">
              <a16:creationId xmlns:a16="http://schemas.microsoft.com/office/drawing/2014/main" xmlns="" id="{9685CBCA-33BF-45DB-B3D4-D3F209BDD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5048250</xdr:colOff>
      <xdr:row>448</xdr:row>
      <xdr:rowOff>47625</xdr:rowOff>
    </xdr:from>
    <xdr:to>
      <xdr:col>12</xdr:col>
      <xdr:colOff>0</xdr:colOff>
      <xdr:row>468</xdr:row>
      <xdr:rowOff>1</xdr:rowOff>
    </xdr:to>
    <xdr:graphicFrame macro="">
      <xdr:nvGraphicFramePr>
        <xdr:cNvPr id="3" name="Chart 2">
          <a:extLst>
            <a:ext uri="{FF2B5EF4-FFF2-40B4-BE49-F238E27FC236}">
              <a16:creationId xmlns:a16="http://schemas.microsoft.com/office/drawing/2014/main" xmlns="" id="{33E629D5-CBF8-4D4C-9ABD-924A1ECD6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comments" Target="../comments4.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1"/>
  <sheetViews>
    <sheetView workbookViewId="0">
      <selection activeCell="E131" sqref="E131"/>
    </sheetView>
  </sheetViews>
  <sheetFormatPr defaultRowHeight="15" x14ac:dyDescent="0.25"/>
  <cols>
    <col min="1" max="1" width="13.140625" bestFit="1" customWidth="1"/>
    <col min="2" max="2" width="77.7109375" customWidth="1"/>
    <col min="3" max="3" width="25.140625" bestFit="1" customWidth="1"/>
    <col min="4" max="4" width="12.5703125" bestFit="1" customWidth="1"/>
    <col min="5" max="5" width="8.140625" bestFit="1" customWidth="1"/>
    <col min="6" max="6" width="3.7109375" customWidth="1"/>
    <col min="7" max="11" width="11.28515625" bestFit="1" customWidth="1"/>
  </cols>
  <sheetData>
    <row r="2" spans="1:11" x14ac:dyDescent="0.25">
      <c r="G2" s="37">
        <v>5</v>
      </c>
      <c r="H2" s="37">
        <v>6</v>
      </c>
      <c r="I2" s="37">
        <v>7</v>
      </c>
      <c r="J2" s="37">
        <v>8</v>
      </c>
      <c r="K2" s="37">
        <v>9</v>
      </c>
    </row>
    <row r="3" spans="1:11" x14ac:dyDescent="0.25">
      <c r="A3" s="3" t="s">
        <v>206</v>
      </c>
      <c r="B3" s="3" t="s">
        <v>274</v>
      </c>
      <c r="C3" s="3" t="s">
        <v>246</v>
      </c>
      <c r="D3" s="3" t="s">
        <v>275</v>
      </c>
      <c r="E3" s="3" t="s">
        <v>270</v>
      </c>
      <c r="G3" s="3" t="s">
        <v>3</v>
      </c>
      <c r="H3" s="3" t="s">
        <v>4</v>
      </c>
      <c r="I3" s="3" t="s">
        <v>5</v>
      </c>
      <c r="J3" s="3" t="s">
        <v>6</v>
      </c>
      <c r="K3" s="3" t="s">
        <v>7</v>
      </c>
    </row>
    <row r="4" spans="1:11" x14ac:dyDescent="0.25">
      <c r="A4" s="1"/>
      <c r="E4" s="1"/>
    </row>
    <row r="5" spans="1:11" x14ac:dyDescent="0.25">
      <c r="A5" s="20" t="s">
        <v>208</v>
      </c>
      <c r="B5" t="s">
        <v>207</v>
      </c>
      <c r="C5" t="s">
        <v>101</v>
      </c>
      <c r="D5" t="s">
        <v>271</v>
      </c>
      <c r="E5" s="1" t="s">
        <v>16</v>
      </c>
      <c r="G5" s="8">
        <f>IF(ISNA(VLOOKUP($B5,'Other Capital Needs'!$C$51:$P$95,G$2,0)),0,VLOOKUP($B5,'Other Capital Needs'!$C$51:$P$95,G$2,0))+IF(ISNA(VLOOKUP('Project Details by Yr - MASTER'!$B5,'Public Grounds'!$A$11:$N$49,G$2,0)),0,VLOOKUP('Project Details by Yr - MASTER'!$B5,'Public Grounds'!$A$11:$N$49,G$2,0))+IF(ISNA(VLOOKUP('Project Details by Yr - MASTER'!$B5,'Public Buildings'!$A$10:$N$96,G$2,0)),0,VLOOKUP('Project Details by Yr - MASTER'!$B5,'Public Buildings'!$A$10:$N$96,G$2,0))+IF(ISNA(VLOOKUP('Project Details by Yr - MASTER'!$B5,Bridges!$A$9:$N$24,G$2,0)),0,VLOOKUP('Project Details by Yr - MASTER'!$B5,Bridges!$A$9:$N$24,G$2,0))+IF(ISNA(VLOOKUP('Project Details by Yr - MASTER'!$B5,'Parking Lots &amp; Playgrounds'!$A$9:$N$33,G$2,0)),0,VLOOKUP('Project Details by Yr - MASTER'!$B5,'Parking Lots &amp; Playgrounds'!$A$9:$N$33,G$2,0))+IF(ISNA(VLOOKUP($B5,Vehicles!$B$9:$O$50,G$2,0)),0,VLOOKUP($B5,Vehicles!$B$9:$O$50,G$2,0))</f>
        <v>0</v>
      </c>
      <c r="H5" s="8">
        <f>IF(ISNA(VLOOKUP($B5,'Other Capital Needs'!$C$51:$P$95,H$2,0)),0,VLOOKUP($B5,'Other Capital Needs'!$C$51:$P$95,H$2,0))+IF(ISNA(VLOOKUP('Project Details by Yr - MASTER'!$B5,'Public Grounds'!$A$11:$N$49,H$2,0)),0,VLOOKUP('Project Details by Yr - MASTER'!$B5,'Public Grounds'!$A$11:$N$49,H$2,0))+IF(ISNA(VLOOKUP('Project Details by Yr - MASTER'!$B5,'Public Buildings'!$A$10:$N$96,H$2,0)),0,VLOOKUP('Project Details by Yr - MASTER'!$B5,'Public Buildings'!$A$10:$N$96,H$2,0))+IF(ISNA(VLOOKUP('Project Details by Yr - MASTER'!$B5,Bridges!$A$9:$N$24,H$2,0)),0,VLOOKUP('Project Details by Yr - MASTER'!$B5,Bridges!$A$9:$N$24,H$2,0))+IF(ISNA(VLOOKUP('Project Details by Yr - MASTER'!$B5,'Parking Lots &amp; Playgrounds'!$A$9:$N$33,H$2,0)),0,VLOOKUP('Project Details by Yr - MASTER'!$B5,'Parking Lots &amp; Playgrounds'!$A$9:$N$33,H$2,0))+IF(ISNA(VLOOKUP($B5,Vehicles!$B$9:$O$50,H$2,0)),0,VLOOKUP($B5,Vehicles!$B$9:$O$50,H$2,0))</f>
        <v>0</v>
      </c>
      <c r="I5" s="8">
        <f>IF(ISNA(VLOOKUP($B5,'Other Capital Needs'!$C$51:$P$95,I$2,0)),0,VLOOKUP($B5,'Other Capital Needs'!$C$51:$P$95,I$2,0))+IF(ISNA(VLOOKUP('Project Details by Yr - MASTER'!$B5,'Public Grounds'!$A$11:$N$49,I$2,0)),0,VLOOKUP('Project Details by Yr - MASTER'!$B5,'Public Grounds'!$A$11:$N$49,I$2,0))+IF(ISNA(VLOOKUP('Project Details by Yr - MASTER'!$B5,'Public Buildings'!$A$10:$N$96,I$2,0)),0,VLOOKUP('Project Details by Yr - MASTER'!$B5,'Public Buildings'!$A$10:$N$96,I$2,0))+IF(ISNA(VLOOKUP('Project Details by Yr - MASTER'!$B5,Bridges!$A$9:$N$24,I$2,0)),0,VLOOKUP('Project Details by Yr - MASTER'!$B5,Bridges!$A$9:$N$24,I$2,0))+IF(ISNA(VLOOKUP('Project Details by Yr - MASTER'!$B5,'Parking Lots &amp; Playgrounds'!$A$9:$N$33,I$2,0)),0,VLOOKUP('Project Details by Yr - MASTER'!$B5,'Parking Lots &amp; Playgrounds'!$A$9:$N$33,I$2,0))+IF(ISNA(VLOOKUP($B5,Vehicles!$B$9:$O$50,I$2,0)),0,VLOOKUP($B5,Vehicles!$B$9:$O$50,I$2,0))</f>
        <v>0</v>
      </c>
      <c r="J5" s="8">
        <f>IF(ISNA(VLOOKUP($B5,'Other Capital Needs'!$C$51:$P$95,J$2,0)),0,VLOOKUP($B5,'Other Capital Needs'!$C$51:$P$95,J$2,0))+IF(ISNA(VLOOKUP('Project Details by Yr - MASTER'!$B5,'Public Grounds'!$A$11:$N$49,J$2,0)),0,VLOOKUP('Project Details by Yr - MASTER'!$B5,'Public Grounds'!$A$11:$N$49,J$2,0))+IF(ISNA(VLOOKUP('Project Details by Yr - MASTER'!$B5,'Public Buildings'!$A$10:$N$96,J$2,0)),0,VLOOKUP('Project Details by Yr - MASTER'!$B5,'Public Buildings'!$A$10:$N$96,J$2,0))+IF(ISNA(VLOOKUP('Project Details by Yr - MASTER'!$B5,Bridges!$A$9:$N$24,J$2,0)),0,VLOOKUP('Project Details by Yr - MASTER'!$B5,Bridges!$A$9:$N$24,J$2,0))+IF(ISNA(VLOOKUP('Project Details by Yr - MASTER'!$B5,'Parking Lots &amp; Playgrounds'!$A$9:$N$33,J$2,0)),0,VLOOKUP('Project Details by Yr - MASTER'!$B5,'Parking Lots &amp; Playgrounds'!$A$9:$N$33,J$2,0))+IF(ISNA(VLOOKUP($B5,Vehicles!$B$9:$O$50,J$2,0)),0,VLOOKUP($B5,Vehicles!$B$9:$O$50,J$2,0))</f>
        <v>0</v>
      </c>
      <c r="K5" s="8">
        <f>IF(ISNA(VLOOKUP($B5,'Other Capital Needs'!$C$51:$P$95,K$2,0)),0,VLOOKUP($B5,'Other Capital Needs'!$C$51:$P$95,K$2,0))+IF(ISNA(VLOOKUP('Project Details by Yr - MASTER'!$B5,'Public Grounds'!$A$11:$N$49,K$2,0)),0,VLOOKUP('Project Details by Yr - MASTER'!$B5,'Public Grounds'!$A$11:$N$49,K$2,0))+IF(ISNA(VLOOKUP('Project Details by Yr - MASTER'!$B5,'Public Buildings'!$A$10:$N$96,K$2,0)),0,VLOOKUP('Project Details by Yr - MASTER'!$B5,'Public Buildings'!$A$10:$N$96,K$2,0))+IF(ISNA(VLOOKUP('Project Details by Yr - MASTER'!$B5,Bridges!$A$9:$N$24,K$2,0)),0,VLOOKUP('Project Details by Yr - MASTER'!$B5,Bridges!$A$9:$N$24,K$2,0))+IF(ISNA(VLOOKUP('Project Details by Yr - MASTER'!$B5,'Parking Lots &amp; Playgrounds'!$A$9:$N$33,K$2,0)),0,VLOOKUP('Project Details by Yr - MASTER'!$B5,'Parking Lots &amp; Playgrounds'!$A$9:$N$33,K$2,0))+IF(ISNA(VLOOKUP($B5,Vehicles!$B$9:$O$50,K$2,0)),0,VLOOKUP($B5,Vehicles!$B$9:$O$50,K$2,0))</f>
        <v>0</v>
      </c>
    </row>
    <row r="6" spans="1:11" x14ac:dyDescent="0.25">
      <c r="A6" s="20" t="s">
        <v>208</v>
      </c>
      <c r="B6" t="s">
        <v>283</v>
      </c>
      <c r="C6" t="s">
        <v>101</v>
      </c>
      <c r="D6" t="s">
        <v>271</v>
      </c>
      <c r="E6" s="1" t="s">
        <v>16</v>
      </c>
      <c r="G6" s="8">
        <f>IF(ISNA(VLOOKUP($B6,'Other Capital Needs'!$C$51:$P$95,G$2,0)),0,VLOOKUP($B6,'Other Capital Needs'!$C$51:$P$95,G$2,0))+IF(ISNA(VLOOKUP('Project Details by Yr - MASTER'!$B6,'Public Grounds'!$A$11:$N$49,G$2,0)),0,VLOOKUP('Project Details by Yr - MASTER'!$B6,'Public Grounds'!$A$11:$N$49,G$2,0))+IF(ISNA(VLOOKUP('Project Details by Yr - MASTER'!$B6,'Public Buildings'!$A$10:$N$96,G$2,0)),0,VLOOKUP('Project Details by Yr - MASTER'!$B6,'Public Buildings'!$A$10:$N$96,G$2,0))+IF(ISNA(VLOOKUP('Project Details by Yr - MASTER'!$B6,Bridges!$A$9:$N$24,G$2,0)),0,VLOOKUP('Project Details by Yr - MASTER'!$B6,Bridges!$A$9:$N$24,G$2,0))+IF(ISNA(VLOOKUP('Project Details by Yr - MASTER'!$B6,'Parking Lots &amp; Playgrounds'!$A$9:$N$33,G$2,0)),0,VLOOKUP('Project Details by Yr - MASTER'!$B6,'Parking Lots &amp; Playgrounds'!$A$9:$N$33,G$2,0))+IF(ISNA(VLOOKUP($B6,Vehicles!$B$9:$O$50,G$2,0)),0,VLOOKUP($B6,Vehicles!$B$9:$O$50,G$2,0))</f>
        <v>0</v>
      </c>
      <c r="H6" s="8">
        <f>IF(ISNA(VLOOKUP($B6,'Other Capital Needs'!$C$51:$P$95,H$2,0)),0,VLOOKUP($B6,'Other Capital Needs'!$C$51:$P$95,H$2,0))+IF(ISNA(VLOOKUP('Project Details by Yr - MASTER'!$B6,'Public Grounds'!$A$11:$N$49,H$2,0)),0,VLOOKUP('Project Details by Yr - MASTER'!$B6,'Public Grounds'!$A$11:$N$49,H$2,0))+IF(ISNA(VLOOKUP('Project Details by Yr - MASTER'!$B6,'Public Buildings'!$A$10:$N$96,H$2,0)),0,VLOOKUP('Project Details by Yr - MASTER'!$B6,'Public Buildings'!$A$10:$N$96,H$2,0))+IF(ISNA(VLOOKUP('Project Details by Yr - MASTER'!$B6,Bridges!$A$9:$N$24,H$2,0)),0,VLOOKUP('Project Details by Yr - MASTER'!$B6,Bridges!$A$9:$N$24,H$2,0))+IF(ISNA(VLOOKUP('Project Details by Yr - MASTER'!$B6,'Parking Lots &amp; Playgrounds'!$A$9:$N$33,H$2,0)),0,VLOOKUP('Project Details by Yr - MASTER'!$B6,'Parking Lots &amp; Playgrounds'!$A$9:$N$33,H$2,0))+IF(ISNA(VLOOKUP($B6,Vehicles!$B$9:$O$50,H$2,0)),0,VLOOKUP($B6,Vehicles!$B$9:$O$50,H$2,0))</f>
        <v>0</v>
      </c>
      <c r="I6" s="8">
        <f>IF(ISNA(VLOOKUP($B6,'Other Capital Needs'!$C$51:$P$95,I$2,0)),0,VLOOKUP($B6,'Other Capital Needs'!$C$51:$P$95,I$2,0))+IF(ISNA(VLOOKUP('Project Details by Yr - MASTER'!$B6,'Public Grounds'!$A$11:$N$49,I$2,0)),0,VLOOKUP('Project Details by Yr - MASTER'!$B6,'Public Grounds'!$A$11:$N$49,I$2,0))+IF(ISNA(VLOOKUP('Project Details by Yr - MASTER'!$B6,'Public Buildings'!$A$10:$N$96,I$2,0)),0,VLOOKUP('Project Details by Yr - MASTER'!$B6,'Public Buildings'!$A$10:$N$96,I$2,0))+IF(ISNA(VLOOKUP('Project Details by Yr - MASTER'!$B6,Bridges!$A$9:$N$24,I$2,0)),0,VLOOKUP('Project Details by Yr - MASTER'!$B6,Bridges!$A$9:$N$24,I$2,0))+IF(ISNA(VLOOKUP('Project Details by Yr - MASTER'!$B6,'Parking Lots &amp; Playgrounds'!$A$9:$N$33,I$2,0)),0,VLOOKUP('Project Details by Yr - MASTER'!$B6,'Parking Lots &amp; Playgrounds'!$A$9:$N$33,I$2,0))+IF(ISNA(VLOOKUP($B6,Vehicles!$B$9:$O$50,I$2,0)),0,VLOOKUP($B6,Vehicles!$B$9:$O$50,I$2,0))</f>
        <v>0</v>
      </c>
      <c r="J6" s="8">
        <f>IF(ISNA(VLOOKUP($B6,'Other Capital Needs'!$C$51:$P$95,J$2,0)),0,VLOOKUP($B6,'Other Capital Needs'!$C$51:$P$95,J$2,0))+IF(ISNA(VLOOKUP('Project Details by Yr - MASTER'!$B6,'Public Grounds'!$A$11:$N$49,J$2,0)),0,VLOOKUP('Project Details by Yr - MASTER'!$B6,'Public Grounds'!$A$11:$N$49,J$2,0))+IF(ISNA(VLOOKUP('Project Details by Yr - MASTER'!$B6,'Public Buildings'!$A$10:$N$96,J$2,0)),0,VLOOKUP('Project Details by Yr - MASTER'!$B6,'Public Buildings'!$A$10:$N$96,J$2,0))+IF(ISNA(VLOOKUP('Project Details by Yr - MASTER'!$B6,Bridges!$A$9:$N$24,J$2,0)),0,VLOOKUP('Project Details by Yr - MASTER'!$B6,Bridges!$A$9:$N$24,J$2,0))+IF(ISNA(VLOOKUP('Project Details by Yr - MASTER'!$B6,'Parking Lots &amp; Playgrounds'!$A$9:$N$33,J$2,0)),0,VLOOKUP('Project Details by Yr - MASTER'!$B6,'Parking Lots &amp; Playgrounds'!$A$9:$N$33,J$2,0))+IF(ISNA(VLOOKUP($B6,Vehicles!$B$9:$O$50,J$2,0)),0,VLOOKUP($B6,Vehicles!$B$9:$O$50,J$2,0))</f>
        <v>0</v>
      </c>
      <c r="K6" s="8">
        <f>IF(ISNA(VLOOKUP($B6,'Other Capital Needs'!$C$51:$P$95,K$2,0)),0,VLOOKUP($B6,'Other Capital Needs'!$C$51:$P$95,K$2,0))+IF(ISNA(VLOOKUP('Project Details by Yr - MASTER'!$B6,'Public Grounds'!$A$11:$N$49,K$2,0)),0,VLOOKUP('Project Details by Yr - MASTER'!$B6,'Public Grounds'!$A$11:$N$49,K$2,0))+IF(ISNA(VLOOKUP('Project Details by Yr - MASTER'!$B6,'Public Buildings'!$A$10:$N$96,K$2,0)),0,VLOOKUP('Project Details by Yr - MASTER'!$B6,'Public Buildings'!$A$10:$N$96,K$2,0))+IF(ISNA(VLOOKUP('Project Details by Yr - MASTER'!$B6,Bridges!$A$9:$N$24,K$2,0)),0,VLOOKUP('Project Details by Yr - MASTER'!$B6,Bridges!$A$9:$N$24,K$2,0))+IF(ISNA(VLOOKUP('Project Details by Yr - MASTER'!$B6,'Parking Lots &amp; Playgrounds'!$A$9:$N$33,K$2,0)),0,VLOOKUP('Project Details by Yr - MASTER'!$B6,'Parking Lots &amp; Playgrounds'!$A$9:$N$33,K$2,0))+IF(ISNA(VLOOKUP($B6,Vehicles!$B$9:$O$50,K$2,0)),0,VLOOKUP($B6,Vehicles!$B$9:$O$50,K$2,0))</f>
        <v>0</v>
      </c>
    </row>
    <row r="7" spans="1:11" x14ac:dyDescent="0.25">
      <c r="A7" s="20" t="s">
        <v>210</v>
      </c>
      <c r="B7" t="s">
        <v>204</v>
      </c>
      <c r="C7" t="s">
        <v>101</v>
      </c>
      <c r="D7" t="s">
        <v>271</v>
      </c>
      <c r="E7" s="1" t="s">
        <v>16</v>
      </c>
      <c r="G7" s="8">
        <f>IF(ISNA(VLOOKUP($B7,'Other Capital Needs'!$C$51:$P$95,G$2,0)),0,VLOOKUP($B7,'Other Capital Needs'!$C$51:$P$95,G$2,0))+IF(ISNA(VLOOKUP('Project Details by Yr - MASTER'!$B7,'Public Grounds'!$A$11:$N$49,G$2,0)),0,VLOOKUP('Project Details by Yr - MASTER'!$B7,'Public Grounds'!$A$11:$N$49,G$2,0))+IF(ISNA(VLOOKUP('Project Details by Yr - MASTER'!$B7,'Public Buildings'!$A$10:$N$96,G$2,0)),0,VLOOKUP('Project Details by Yr - MASTER'!$B7,'Public Buildings'!$A$10:$N$96,G$2,0))+IF(ISNA(VLOOKUP('Project Details by Yr - MASTER'!$B7,Bridges!$A$9:$N$24,G$2,0)),0,VLOOKUP('Project Details by Yr - MASTER'!$B7,Bridges!$A$9:$N$24,G$2,0))+IF(ISNA(VLOOKUP('Project Details by Yr - MASTER'!$B7,'Parking Lots &amp; Playgrounds'!$A$9:$N$33,G$2,0)),0,VLOOKUP('Project Details by Yr - MASTER'!$B7,'Parking Lots &amp; Playgrounds'!$A$9:$N$33,G$2,0))+IF(ISNA(VLOOKUP($B7,Vehicles!$B$9:$O$50,G$2,0)),0,VLOOKUP($B7,Vehicles!$B$9:$O$50,G$2,0))</f>
        <v>100179</v>
      </c>
      <c r="H7" s="8">
        <f>IF(ISNA(VLOOKUP($B7,'Other Capital Needs'!$C$51:$P$95,H$2,0)),0,VLOOKUP($B7,'Other Capital Needs'!$C$51:$P$95,H$2,0))+IF(ISNA(VLOOKUP('Project Details by Yr - MASTER'!$B7,'Public Grounds'!$A$11:$N$49,H$2,0)),0,VLOOKUP('Project Details by Yr - MASTER'!$B7,'Public Grounds'!$A$11:$N$49,H$2,0))+IF(ISNA(VLOOKUP('Project Details by Yr - MASTER'!$B7,'Public Buildings'!$A$10:$N$96,H$2,0)),0,VLOOKUP('Project Details by Yr - MASTER'!$B7,'Public Buildings'!$A$10:$N$96,H$2,0))+IF(ISNA(VLOOKUP('Project Details by Yr - MASTER'!$B7,Bridges!$A$9:$N$24,H$2,0)),0,VLOOKUP('Project Details by Yr - MASTER'!$B7,Bridges!$A$9:$N$24,H$2,0))+IF(ISNA(VLOOKUP('Project Details by Yr - MASTER'!$B7,'Parking Lots &amp; Playgrounds'!$A$9:$N$33,H$2,0)),0,VLOOKUP('Project Details by Yr - MASTER'!$B7,'Parking Lots &amp; Playgrounds'!$A$9:$N$33,H$2,0))+IF(ISNA(VLOOKUP($B7,Vehicles!$B$9:$O$50,H$2,0)),0,VLOOKUP($B7,Vehicles!$B$9:$O$50,H$2,0))</f>
        <v>181679</v>
      </c>
      <c r="I7" s="8">
        <f>IF(ISNA(VLOOKUP($B7,'Other Capital Needs'!$C$51:$P$95,I$2,0)),0,VLOOKUP($B7,'Other Capital Needs'!$C$51:$P$95,I$2,0))+IF(ISNA(VLOOKUP('Project Details by Yr - MASTER'!$B7,'Public Grounds'!$A$11:$N$49,I$2,0)),0,VLOOKUP('Project Details by Yr - MASTER'!$B7,'Public Grounds'!$A$11:$N$49,I$2,0))+IF(ISNA(VLOOKUP('Project Details by Yr - MASTER'!$B7,'Public Buildings'!$A$10:$N$96,I$2,0)),0,VLOOKUP('Project Details by Yr - MASTER'!$B7,'Public Buildings'!$A$10:$N$96,I$2,0))+IF(ISNA(VLOOKUP('Project Details by Yr - MASTER'!$B7,Bridges!$A$9:$N$24,I$2,0)),0,VLOOKUP('Project Details by Yr - MASTER'!$B7,Bridges!$A$9:$N$24,I$2,0))+IF(ISNA(VLOOKUP('Project Details by Yr - MASTER'!$B7,'Parking Lots &amp; Playgrounds'!$A$9:$N$33,I$2,0)),0,VLOOKUP('Project Details by Yr - MASTER'!$B7,'Parking Lots &amp; Playgrounds'!$A$9:$N$33,I$2,0))+IF(ISNA(VLOOKUP($B7,Vehicles!$B$9:$O$50,I$2,0)),0,VLOOKUP($B7,Vehicles!$B$9:$O$50,I$2,0))</f>
        <v>43640</v>
      </c>
      <c r="J7" s="8">
        <f>IF(ISNA(VLOOKUP($B7,'Other Capital Needs'!$C$51:$P$95,J$2,0)),0,VLOOKUP($B7,'Other Capital Needs'!$C$51:$P$95,J$2,0))+IF(ISNA(VLOOKUP('Project Details by Yr - MASTER'!$B7,'Public Grounds'!$A$11:$N$49,J$2,0)),0,VLOOKUP('Project Details by Yr - MASTER'!$B7,'Public Grounds'!$A$11:$N$49,J$2,0))+IF(ISNA(VLOOKUP('Project Details by Yr - MASTER'!$B7,'Public Buildings'!$A$10:$N$96,J$2,0)),0,VLOOKUP('Project Details by Yr - MASTER'!$B7,'Public Buildings'!$A$10:$N$96,J$2,0))+IF(ISNA(VLOOKUP('Project Details by Yr - MASTER'!$B7,Bridges!$A$9:$N$24,J$2,0)),0,VLOOKUP('Project Details by Yr - MASTER'!$B7,Bridges!$A$9:$N$24,J$2,0))+IF(ISNA(VLOOKUP('Project Details by Yr - MASTER'!$B7,'Parking Lots &amp; Playgrounds'!$A$9:$N$33,J$2,0)),0,VLOOKUP('Project Details by Yr - MASTER'!$B7,'Parking Lots &amp; Playgrounds'!$A$9:$N$33,J$2,0))+IF(ISNA(VLOOKUP($B7,Vehicles!$B$9:$O$50,J$2,0)),0,VLOOKUP($B7,Vehicles!$B$9:$O$50,J$2,0))</f>
        <v>46500</v>
      </c>
      <c r="K7" s="8">
        <f>IF(ISNA(VLOOKUP($B7,'Other Capital Needs'!$C$51:$P$95,K$2,0)),0,VLOOKUP($B7,'Other Capital Needs'!$C$51:$P$95,K$2,0))+IF(ISNA(VLOOKUP('Project Details by Yr - MASTER'!$B7,'Public Grounds'!$A$11:$N$49,K$2,0)),0,VLOOKUP('Project Details by Yr - MASTER'!$B7,'Public Grounds'!$A$11:$N$49,K$2,0))+IF(ISNA(VLOOKUP('Project Details by Yr - MASTER'!$B7,'Public Buildings'!$A$10:$N$96,K$2,0)),0,VLOOKUP('Project Details by Yr - MASTER'!$B7,'Public Buildings'!$A$10:$N$96,K$2,0))+IF(ISNA(VLOOKUP('Project Details by Yr - MASTER'!$B7,Bridges!$A$9:$N$24,K$2,0)),0,VLOOKUP('Project Details by Yr - MASTER'!$B7,Bridges!$A$9:$N$24,K$2,0))+IF(ISNA(VLOOKUP('Project Details by Yr - MASTER'!$B7,'Parking Lots &amp; Playgrounds'!$A$9:$N$33,K$2,0)),0,VLOOKUP('Project Details by Yr - MASTER'!$B7,'Parking Lots &amp; Playgrounds'!$A$9:$N$33,K$2,0))+IF(ISNA(VLOOKUP($B7,Vehicles!$B$9:$O$50,K$2,0)),0,VLOOKUP($B7,Vehicles!$B$9:$O$50,K$2,0))</f>
        <v>96700</v>
      </c>
    </row>
    <row r="8" spans="1:11" x14ac:dyDescent="0.25">
      <c r="A8" s="20" t="s">
        <v>209</v>
      </c>
      <c r="B8" t="s">
        <v>107</v>
      </c>
      <c r="C8" t="s">
        <v>101</v>
      </c>
      <c r="D8" t="s">
        <v>271</v>
      </c>
      <c r="E8" s="1" t="s">
        <v>16</v>
      </c>
      <c r="G8" s="8">
        <f>IF(ISNA(VLOOKUP($B8,'Other Capital Needs'!$C$51:$P$95,G$2,0)),0,VLOOKUP($B8,'Other Capital Needs'!$C$51:$P$95,G$2,0))+IF(ISNA(VLOOKUP('Project Details by Yr - MASTER'!$B8,'Public Grounds'!$A$11:$N$49,G$2,0)),0,VLOOKUP('Project Details by Yr - MASTER'!$B8,'Public Grounds'!$A$11:$N$49,G$2,0))+IF(ISNA(VLOOKUP('Project Details by Yr - MASTER'!$B8,'Public Buildings'!$A$10:$N$96,G$2,0)),0,VLOOKUP('Project Details by Yr - MASTER'!$B8,'Public Buildings'!$A$10:$N$96,G$2,0))+IF(ISNA(VLOOKUP('Project Details by Yr - MASTER'!$B8,Bridges!$A$9:$N$24,G$2,0)),0,VLOOKUP('Project Details by Yr - MASTER'!$B8,Bridges!$A$9:$N$24,G$2,0))+IF(ISNA(VLOOKUP('Project Details by Yr - MASTER'!$B8,'Parking Lots &amp; Playgrounds'!$A$9:$N$33,G$2,0)),0,VLOOKUP('Project Details by Yr - MASTER'!$B8,'Parking Lots &amp; Playgrounds'!$A$9:$N$33,G$2,0))+IF(ISNA(VLOOKUP($B8,Vehicles!$B$9:$O$50,G$2,0)),0,VLOOKUP($B8,Vehicles!$B$9:$O$50,G$2,0))</f>
        <v>50000</v>
      </c>
      <c r="H8" s="8">
        <f>IF(ISNA(VLOOKUP($B8,'Other Capital Needs'!$C$51:$P$95,H$2,0)),0,VLOOKUP($B8,'Other Capital Needs'!$C$51:$P$95,H$2,0))+IF(ISNA(VLOOKUP('Project Details by Yr - MASTER'!$B8,'Public Grounds'!$A$11:$N$49,H$2,0)),0,VLOOKUP('Project Details by Yr - MASTER'!$B8,'Public Grounds'!$A$11:$N$49,H$2,0))+IF(ISNA(VLOOKUP('Project Details by Yr - MASTER'!$B8,'Public Buildings'!$A$10:$N$96,H$2,0)),0,VLOOKUP('Project Details by Yr - MASTER'!$B8,'Public Buildings'!$A$10:$N$96,H$2,0))+IF(ISNA(VLOOKUP('Project Details by Yr - MASTER'!$B8,Bridges!$A$9:$N$24,H$2,0)),0,VLOOKUP('Project Details by Yr - MASTER'!$B8,Bridges!$A$9:$N$24,H$2,0))+IF(ISNA(VLOOKUP('Project Details by Yr - MASTER'!$B8,'Parking Lots &amp; Playgrounds'!$A$9:$N$33,H$2,0)),0,VLOOKUP('Project Details by Yr - MASTER'!$B8,'Parking Lots &amp; Playgrounds'!$A$9:$N$33,H$2,0))+IF(ISNA(VLOOKUP($B8,Vehicles!$B$9:$O$50,H$2,0)),0,VLOOKUP($B8,Vehicles!$B$9:$O$50,H$2,0))</f>
        <v>50000</v>
      </c>
      <c r="I8" s="8">
        <f>IF(ISNA(VLOOKUP($B8,'Other Capital Needs'!$C$51:$P$95,I$2,0)),0,VLOOKUP($B8,'Other Capital Needs'!$C$51:$P$95,I$2,0))+IF(ISNA(VLOOKUP('Project Details by Yr - MASTER'!$B8,'Public Grounds'!$A$11:$N$49,I$2,0)),0,VLOOKUP('Project Details by Yr - MASTER'!$B8,'Public Grounds'!$A$11:$N$49,I$2,0))+IF(ISNA(VLOOKUP('Project Details by Yr - MASTER'!$B8,'Public Buildings'!$A$10:$N$96,I$2,0)),0,VLOOKUP('Project Details by Yr - MASTER'!$B8,'Public Buildings'!$A$10:$N$96,I$2,0))+IF(ISNA(VLOOKUP('Project Details by Yr - MASTER'!$B8,Bridges!$A$9:$N$24,I$2,0)),0,VLOOKUP('Project Details by Yr - MASTER'!$B8,Bridges!$A$9:$N$24,I$2,0))+IF(ISNA(VLOOKUP('Project Details by Yr - MASTER'!$B8,'Parking Lots &amp; Playgrounds'!$A$9:$N$33,I$2,0)),0,VLOOKUP('Project Details by Yr - MASTER'!$B8,'Parking Lots &amp; Playgrounds'!$A$9:$N$33,I$2,0))+IF(ISNA(VLOOKUP($B8,Vehicles!$B$9:$O$50,I$2,0)),0,VLOOKUP($B8,Vehicles!$B$9:$O$50,I$2,0))</f>
        <v>50000</v>
      </c>
      <c r="J8" s="8">
        <f>IF(ISNA(VLOOKUP($B8,'Other Capital Needs'!$C$51:$P$95,J$2,0)),0,VLOOKUP($B8,'Other Capital Needs'!$C$51:$P$95,J$2,0))+IF(ISNA(VLOOKUP('Project Details by Yr - MASTER'!$B8,'Public Grounds'!$A$11:$N$49,J$2,0)),0,VLOOKUP('Project Details by Yr - MASTER'!$B8,'Public Grounds'!$A$11:$N$49,J$2,0))+IF(ISNA(VLOOKUP('Project Details by Yr - MASTER'!$B8,'Public Buildings'!$A$10:$N$96,J$2,0)),0,VLOOKUP('Project Details by Yr - MASTER'!$B8,'Public Buildings'!$A$10:$N$96,J$2,0))+IF(ISNA(VLOOKUP('Project Details by Yr - MASTER'!$B8,Bridges!$A$9:$N$24,J$2,0)),0,VLOOKUP('Project Details by Yr - MASTER'!$B8,Bridges!$A$9:$N$24,J$2,0))+IF(ISNA(VLOOKUP('Project Details by Yr - MASTER'!$B8,'Parking Lots &amp; Playgrounds'!$A$9:$N$33,J$2,0)),0,VLOOKUP('Project Details by Yr - MASTER'!$B8,'Parking Lots &amp; Playgrounds'!$A$9:$N$33,J$2,0))+IF(ISNA(VLOOKUP($B8,Vehicles!$B$9:$O$50,J$2,0)),0,VLOOKUP($B8,Vehicles!$B$9:$O$50,J$2,0))</f>
        <v>50000</v>
      </c>
      <c r="K8" s="8">
        <f>IF(ISNA(VLOOKUP($B8,'Other Capital Needs'!$C$51:$P$95,K$2,0)),0,VLOOKUP($B8,'Other Capital Needs'!$C$51:$P$95,K$2,0))+IF(ISNA(VLOOKUP('Project Details by Yr - MASTER'!$B8,'Public Grounds'!$A$11:$N$49,K$2,0)),0,VLOOKUP('Project Details by Yr - MASTER'!$B8,'Public Grounds'!$A$11:$N$49,K$2,0))+IF(ISNA(VLOOKUP('Project Details by Yr - MASTER'!$B8,'Public Buildings'!$A$10:$N$96,K$2,0)),0,VLOOKUP('Project Details by Yr - MASTER'!$B8,'Public Buildings'!$A$10:$N$96,K$2,0))+IF(ISNA(VLOOKUP('Project Details by Yr - MASTER'!$B8,Bridges!$A$9:$N$24,K$2,0)),0,VLOOKUP('Project Details by Yr - MASTER'!$B8,Bridges!$A$9:$N$24,K$2,0))+IF(ISNA(VLOOKUP('Project Details by Yr - MASTER'!$B8,'Parking Lots &amp; Playgrounds'!$A$9:$N$33,K$2,0)),0,VLOOKUP('Project Details by Yr - MASTER'!$B8,'Parking Lots &amp; Playgrounds'!$A$9:$N$33,K$2,0))+IF(ISNA(VLOOKUP($B8,Vehicles!$B$9:$O$50,K$2,0)),0,VLOOKUP($B8,Vehicles!$B$9:$O$50,K$2,0))</f>
        <v>50000</v>
      </c>
    </row>
    <row r="9" spans="1:11" x14ac:dyDescent="0.25">
      <c r="A9" s="1">
        <v>14</v>
      </c>
      <c r="B9" t="s">
        <v>145</v>
      </c>
      <c r="C9" t="s">
        <v>101</v>
      </c>
      <c r="D9" t="s">
        <v>271</v>
      </c>
      <c r="E9" s="1" t="s">
        <v>16</v>
      </c>
      <c r="G9" s="8">
        <f>IF(ISNA(VLOOKUP($B9,'Other Capital Needs'!$C$51:$P$95,G$2,0)),0,VLOOKUP($B9,'Other Capital Needs'!$C$51:$P$95,G$2,0))+IF(ISNA(VLOOKUP('Project Details by Yr - MASTER'!$B9,'Public Grounds'!$A$11:$N$49,G$2,0)),0,VLOOKUP('Project Details by Yr - MASTER'!$B9,'Public Grounds'!$A$11:$N$49,G$2,0))+IF(ISNA(VLOOKUP('Project Details by Yr - MASTER'!$B9,'Public Buildings'!$A$10:$N$96,G$2,0)),0,VLOOKUP('Project Details by Yr - MASTER'!$B9,'Public Buildings'!$A$10:$N$96,G$2,0))+IF(ISNA(VLOOKUP('Project Details by Yr - MASTER'!$B9,Bridges!$A$9:$N$24,G$2,0)),0,VLOOKUP('Project Details by Yr - MASTER'!$B9,Bridges!$A$9:$N$24,G$2,0))+IF(ISNA(VLOOKUP('Project Details by Yr - MASTER'!$B9,'Parking Lots &amp; Playgrounds'!$A$9:$N$33,G$2,0)),0,VLOOKUP('Project Details by Yr - MASTER'!$B9,'Parking Lots &amp; Playgrounds'!$A$9:$N$33,G$2,0))+IF(ISNA(VLOOKUP($B9,Vehicles!$B$9:$O$50,G$2,0)),0,VLOOKUP($B9,Vehicles!$B$9:$O$50,G$2,0))</f>
        <v>0</v>
      </c>
      <c r="H9" s="8">
        <f>IF(ISNA(VLOOKUP($B9,'Other Capital Needs'!$C$51:$P$95,H$2,0)),0,VLOOKUP($B9,'Other Capital Needs'!$C$51:$P$95,H$2,0))+IF(ISNA(VLOOKUP('Project Details by Yr - MASTER'!$B9,'Public Grounds'!$A$11:$N$49,H$2,0)),0,VLOOKUP('Project Details by Yr - MASTER'!$B9,'Public Grounds'!$A$11:$N$49,H$2,0))+IF(ISNA(VLOOKUP('Project Details by Yr - MASTER'!$B9,'Public Buildings'!$A$10:$N$96,H$2,0)),0,VLOOKUP('Project Details by Yr - MASTER'!$B9,'Public Buildings'!$A$10:$N$96,H$2,0))+IF(ISNA(VLOOKUP('Project Details by Yr - MASTER'!$B9,Bridges!$A$9:$N$24,H$2,0)),0,VLOOKUP('Project Details by Yr - MASTER'!$B9,Bridges!$A$9:$N$24,H$2,0))+IF(ISNA(VLOOKUP('Project Details by Yr - MASTER'!$B9,'Parking Lots &amp; Playgrounds'!$A$9:$N$33,H$2,0)),0,VLOOKUP('Project Details by Yr - MASTER'!$B9,'Parking Lots &amp; Playgrounds'!$A$9:$N$33,H$2,0))+IF(ISNA(VLOOKUP($B9,Vehicles!$B$9:$O$50,H$2,0)),0,VLOOKUP($B9,Vehicles!$B$9:$O$50,H$2,0))</f>
        <v>0</v>
      </c>
      <c r="I9" s="8">
        <f>IF(ISNA(VLOOKUP($B9,'Other Capital Needs'!$C$51:$P$95,I$2,0)),0,VLOOKUP($B9,'Other Capital Needs'!$C$51:$P$95,I$2,0))+IF(ISNA(VLOOKUP('Project Details by Yr - MASTER'!$B9,'Public Grounds'!$A$11:$N$49,I$2,0)),0,VLOOKUP('Project Details by Yr - MASTER'!$B9,'Public Grounds'!$A$11:$N$49,I$2,0))+IF(ISNA(VLOOKUP('Project Details by Yr - MASTER'!$B9,'Public Buildings'!$A$10:$N$96,I$2,0)),0,VLOOKUP('Project Details by Yr - MASTER'!$B9,'Public Buildings'!$A$10:$N$96,I$2,0))+IF(ISNA(VLOOKUP('Project Details by Yr - MASTER'!$B9,Bridges!$A$9:$N$24,I$2,0)),0,VLOOKUP('Project Details by Yr - MASTER'!$B9,Bridges!$A$9:$N$24,I$2,0))+IF(ISNA(VLOOKUP('Project Details by Yr - MASTER'!$B9,'Parking Lots &amp; Playgrounds'!$A$9:$N$33,I$2,0)),0,VLOOKUP('Project Details by Yr - MASTER'!$B9,'Parking Lots &amp; Playgrounds'!$A$9:$N$33,I$2,0))+IF(ISNA(VLOOKUP($B9,Vehicles!$B$9:$O$50,I$2,0)),0,VLOOKUP($B9,Vehicles!$B$9:$O$50,I$2,0))</f>
        <v>0</v>
      </c>
      <c r="J9" s="8">
        <f>IF(ISNA(VLOOKUP($B9,'Other Capital Needs'!$C$51:$P$95,J$2,0)),0,VLOOKUP($B9,'Other Capital Needs'!$C$51:$P$95,J$2,0))+IF(ISNA(VLOOKUP('Project Details by Yr - MASTER'!$B9,'Public Grounds'!$A$11:$N$49,J$2,0)),0,VLOOKUP('Project Details by Yr - MASTER'!$B9,'Public Grounds'!$A$11:$N$49,J$2,0))+IF(ISNA(VLOOKUP('Project Details by Yr - MASTER'!$B9,'Public Buildings'!$A$10:$N$96,J$2,0)),0,VLOOKUP('Project Details by Yr - MASTER'!$B9,'Public Buildings'!$A$10:$N$96,J$2,0))+IF(ISNA(VLOOKUP('Project Details by Yr - MASTER'!$B9,Bridges!$A$9:$N$24,J$2,0)),0,VLOOKUP('Project Details by Yr - MASTER'!$B9,Bridges!$A$9:$N$24,J$2,0))+IF(ISNA(VLOOKUP('Project Details by Yr - MASTER'!$B9,'Parking Lots &amp; Playgrounds'!$A$9:$N$33,J$2,0)),0,VLOOKUP('Project Details by Yr - MASTER'!$B9,'Parking Lots &amp; Playgrounds'!$A$9:$N$33,J$2,0))+IF(ISNA(VLOOKUP($B9,Vehicles!$B$9:$O$50,J$2,0)),0,VLOOKUP($B9,Vehicles!$B$9:$O$50,J$2,0))</f>
        <v>0</v>
      </c>
      <c r="K9" s="8">
        <f>IF(ISNA(VLOOKUP($B9,'Other Capital Needs'!$C$51:$P$95,K$2,0)),0,VLOOKUP($B9,'Other Capital Needs'!$C$51:$P$95,K$2,0))+IF(ISNA(VLOOKUP('Project Details by Yr - MASTER'!$B9,'Public Grounds'!$A$11:$N$49,K$2,0)),0,VLOOKUP('Project Details by Yr - MASTER'!$B9,'Public Grounds'!$A$11:$N$49,K$2,0))+IF(ISNA(VLOOKUP('Project Details by Yr - MASTER'!$B9,'Public Buildings'!$A$10:$N$96,K$2,0)),0,VLOOKUP('Project Details by Yr - MASTER'!$B9,'Public Buildings'!$A$10:$N$96,K$2,0))+IF(ISNA(VLOOKUP('Project Details by Yr - MASTER'!$B9,Bridges!$A$9:$N$24,K$2,0)),0,VLOOKUP('Project Details by Yr - MASTER'!$B9,Bridges!$A$9:$N$24,K$2,0))+IF(ISNA(VLOOKUP('Project Details by Yr - MASTER'!$B9,'Parking Lots &amp; Playgrounds'!$A$9:$N$33,K$2,0)),0,VLOOKUP('Project Details by Yr - MASTER'!$B9,'Parking Lots &amp; Playgrounds'!$A$9:$N$33,K$2,0))+IF(ISNA(VLOOKUP($B9,Vehicles!$B$9:$O$50,K$2,0)),0,VLOOKUP($B9,Vehicles!$B$9:$O$50,K$2,0))</f>
        <v>0</v>
      </c>
    </row>
    <row r="10" spans="1:11" x14ac:dyDescent="0.25">
      <c r="A10" s="1">
        <v>17</v>
      </c>
      <c r="B10" t="s">
        <v>146</v>
      </c>
      <c r="C10" t="s">
        <v>101</v>
      </c>
      <c r="D10" t="s">
        <v>271</v>
      </c>
      <c r="E10" s="1" t="s">
        <v>37</v>
      </c>
      <c r="G10" s="8">
        <f>IF(ISNA(VLOOKUP($B10,'Other Capital Needs'!$C$51:$P$95,G$2,0)),0,VLOOKUP($B10,'Other Capital Needs'!$C$51:$P$95,G$2,0))+IF(ISNA(VLOOKUP('Project Details by Yr - MASTER'!$B10,'Public Grounds'!$A$11:$N$49,G$2,0)),0,VLOOKUP('Project Details by Yr - MASTER'!$B10,'Public Grounds'!$A$11:$N$49,G$2,0))+IF(ISNA(VLOOKUP('Project Details by Yr - MASTER'!$B10,'Public Buildings'!$A$10:$N$96,G$2,0)),0,VLOOKUP('Project Details by Yr - MASTER'!$B10,'Public Buildings'!$A$10:$N$96,G$2,0))+IF(ISNA(VLOOKUP('Project Details by Yr - MASTER'!$B10,Bridges!$A$9:$N$24,G$2,0)),0,VLOOKUP('Project Details by Yr - MASTER'!$B10,Bridges!$A$9:$N$24,G$2,0))+IF(ISNA(VLOOKUP('Project Details by Yr - MASTER'!$B10,'Parking Lots &amp; Playgrounds'!$A$9:$N$33,G$2,0)),0,VLOOKUP('Project Details by Yr - MASTER'!$B10,'Parking Lots &amp; Playgrounds'!$A$9:$N$33,G$2,0))+IF(ISNA(VLOOKUP($B10,Vehicles!$B$9:$O$50,G$2,0)),0,VLOOKUP($B10,Vehicles!$B$9:$O$50,G$2,0))</f>
        <v>0</v>
      </c>
      <c r="H10" s="8">
        <f>IF(ISNA(VLOOKUP($B10,'Other Capital Needs'!$C$51:$P$95,H$2,0)),0,VLOOKUP($B10,'Other Capital Needs'!$C$51:$P$95,H$2,0))+IF(ISNA(VLOOKUP('Project Details by Yr - MASTER'!$B10,'Public Grounds'!$A$11:$N$49,H$2,0)),0,VLOOKUP('Project Details by Yr - MASTER'!$B10,'Public Grounds'!$A$11:$N$49,H$2,0))+IF(ISNA(VLOOKUP('Project Details by Yr - MASTER'!$B10,'Public Buildings'!$A$10:$N$96,H$2,0)),0,VLOOKUP('Project Details by Yr - MASTER'!$B10,'Public Buildings'!$A$10:$N$96,H$2,0))+IF(ISNA(VLOOKUP('Project Details by Yr - MASTER'!$B10,Bridges!$A$9:$N$24,H$2,0)),0,VLOOKUP('Project Details by Yr - MASTER'!$B10,Bridges!$A$9:$N$24,H$2,0))+IF(ISNA(VLOOKUP('Project Details by Yr - MASTER'!$B10,'Parking Lots &amp; Playgrounds'!$A$9:$N$33,H$2,0)),0,VLOOKUP('Project Details by Yr - MASTER'!$B10,'Parking Lots &amp; Playgrounds'!$A$9:$N$33,H$2,0))+IF(ISNA(VLOOKUP($B10,Vehicles!$B$9:$O$50,H$2,0)),0,VLOOKUP($B10,Vehicles!$B$9:$O$50,H$2,0))</f>
        <v>0</v>
      </c>
      <c r="I10" s="8">
        <f>IF(ISNA(VLOOKUP($B10,'Other Capital Needs'!$C$51:$P$95,I$2,0)),0,VLOOKUP($B10,'Other Capital Needs'!$C$51:$P$95,I$2,0))+IF(ISNA(VLOOKUP('Project Details by Yr - MASTER'!$B10,'Public Grounds'!$A$11:$N$49,I$2,0)),0,VLOOKUP('Project Details by Yr - MASTER'!$B10,'Public Grounds'!$A$11:$N$49,I$2,0))+IF(ISNA(VLOOKUP('Project Details by Yr - MASTER'!$B10,'Public Buildings'!$A$10:$N$96,I$2,0)),0,VLOOKUP('Project Details by Yr - MASTER'!$B10,'Public Buildings'!$A$10:$N$96,I$2,0))+IF(ISNA(VLOOKUP('Project Details by Yr - MASTER'!$B10,Bridges!$A$9:$N$24,I$2,0)),0,VLOOKUP('Project Details by Yr - MASTER'!$B10,Bridges!$A$9:$N$24,I$2,0))+IF(ISNA(VLOOKUP('Project Details by Yr - MASTER'!$B10,'Parking Lots &amp; Playgrounds'!$A$9:$N$33,I$2,0)),0,VLOOKUP('Project Details by Yr - MASTER'!$B10,'Parking Lots &amp; Playgrounds'!$A$9:$N$33,I$2,0))+IF(ISNA(VLOOKUP($B10,Vehicles!$B$9:$O$50,I$2,0)),0,VLOOKUP($B10,Vehicles!$B$9:$O$50,I$2,0))</f>
        <v>0</v>
      </c>
      <c r="J10" s="8">
        <f>IF(ISNA(VLOOKUP($B10,'Other Capital Needs'!$C$51:$P$95,J$2,0)),0,VLOOKUP($B10,'Other Capital Needs'!$C$51:$P$95,J$2,0))+IF(ISNA(VLOOKUP('Project Details by Yr - MASTER'!$B10,'Public Grounds'!$A$11:$N$49,J$2,0)),0,VLOOKUP('Project Details by Yr - MASTER'!$B10,'Public Grounds'!$A$11:$N$49,J$2,0))+IF(ISNA(VLOOKUP('Project Details by Yr - MASTER'!$B10,'Public Buildings'!$A$10:$N$96,J$2,0)),0,VLOOKUP('Project Details by Yr - MASTER'!$B10,'Public Buildings'!$A$10:$N$96,J$2,0))+IF(ISNA(VLOOKUP('Project Details by Yr - MASTER'!$B10,Bridges!$A$9:$N$24,J$2,0)),0,VLOOKUP('Project Details by Yr - MASTER'!$B10,Bridges!$A$9:$N$24,J$2,0))+IF(ISNA(VLOOKUP('Project Details by Yr - MASTER'!$B10,'Parking Lots &amp; Playgrounds'!$A$9:$N$33,J$2,0)),0,VLOOKUP('Project Details by Yr - MASTER'!$B10,'Parking Lots &amp; Playgrounds'!$A$9:$N$33,J$2,0))+IF(ISNA(VLOOKUP($B10,Vehicles!$B$9:$O$50,J$2,0)),0,VLOOKUP($B10,Vehicles!$B$9:$O$50,J$2,0))</f>
        <v>0</v>
      </c>
      <c r="K10" s="8">
        <f>IF(ISNA(VLOOKUP($B10,'Other Capital Needs'!$C$51:$P$95,K$2,0)),0,VLOOKUP($B10,'Other Capital Needs'!$C$51:$P$95,K$2,0))+IF(ISNA(VLOOKUP('Project Details by Yr - MASTER'!$B10,'Public Grounds'!$A$11:$N$49,K$2,0)),0,VLOOKUP('Project Details by Yr - MASTER'!$B10,'Public Grounds'!$A$11:$N$49,K$2,0))+IF(ISNA(VLOOKUP('Project Details by Yr - MASTER'!$B10,'Public Buildings'!$A$10:$N$96,K$2,0)),0,VLOOKUP('Project Details by Yr - MASTER'!$B10,'Public Buildings'!$A$10:$N$96,K$2,0))+IF(ISNA(VLOOKUP('Project Details by Yr - MASTER'!$B10,Bridges!$A$9:$N$24,K$2,0)),0,VLOOKUP('Project Details by Yr - MASTER'!$B10,Bridges!$A$9:$N$24,K$2,0))+IF(ISNA(VLOOKUP('Project Details by Yr - MASTER'!$B10,'Parking Lots &amp; Playgrounds'!$A$9:$N$33,K$2,0)),0,VLOOKUP('Project Details by Yr - MASTER'!$B10,'Parking Lots &amp; Playgrounds'!$A$9:$N$33,K$2,0))+IF(ISNA(VLOOKUP($B10,Vehicles!$B$9:$O$50,K$2,0)),0,VLOOKUP($B10,Vehicles!$B$9:$O$50,K$2,0))</f>
        <v>0</v>
      </c>
    </row>
    <row r="11" spans="1:11" x14ac:dyDescent="0.25">
      <c r="A11" s="1">
        <v>17</v>
      </c>
      <c r="B11" t="s">
        <v>148</v>
      </c>
      <c r="C11" t="s">
        <v>101</v>
      </c>
      <c r="D11" t="s">
        <v>271</v>
      </c>
      <c r="E11" s="1" t="s">
        <v>16</v>
      </c>
      <c r="G11" s="8">
        <f>IF(ISNA(VLOOKUP($B11,'Other Capital Needs'!$C$51:$P$95,G$2,0)),0,VLOOKUP($B11,'Other Capital Needs'!$C$51:$P$95,G$2,0))+IF(ISNA(VLOOKUP('Project Details by Yr - MASTER'!$B11,'Public Grounds'!$A$11:$N$49,G$2,0)),0,VLOOKUP('Project Details by Yr - MASTER'!$B11,'Public Grounds'!$A$11:$N$49,G$2,0))+IF(ISNA(VLOOKUP('Project Details by Yr - MASTER'!$B11,'Public Buildings'!$A$10:$N$96,G$2,0)),0,VLOOKUP('Project Details by Yr - MASTER'!$B11,'Public Buildings'!$A$10:$N$96,G$2,0))+IF(ISNA(VLOOKUP('Project Details by Yr - MASTER'!$B11,Bridges!$A$9:$N$24,G$2,0)),0,VLOOKUP('Project Details by Yr - MASTER'!$B11,Bridges!$A$9:$N$24,G$2,0))+IF(ISNA(VLOOKUP('Project Details by Yr - MASTER'!$B11,'Parking Lots &amp; Playgrounds'!$A$9:$N$33,G$2,0)),0,VLOOKUP('Project Details by Yr - MASTER'!$B11,'Parking Lots &amp; Playgrounds'!$A$9:$N$33,G$2,0))+IF(ISNA(VLOOKUP($B11,Vehicles!$B$9:$O$50,G$2,0)),0,VLOOKUP($B11,Vehicles!$B$9:$O$50,G$2,0))</f>
        <v>0</v>
      </c>
      <c r="H11" s="8">
        <f>IF(ISNA(VLOOKUP($B11,'Other Capital Needs'!$C$51:$P$95,H$2,0)),0,VLOOKUP($B11,'Other Capital Needs'!$C$51:$P$95,H$2,0))+IF(ISNA(VLOOKUP('Project Details by Yr - MASTER'!$B11,'Public Grounds'!$A$11:$N$49,H$2,0)),0,VLOOKUP('Project Details by Yr - MASTER'!$B11,'Public Grounds'!$A$11:$N$49,H$2,0))+IF(ISNA(VLOOKUP('Project Details by Yr - MASTER'!$B11,'Public Buildings'!$A$10:$N$96,H$2,0)),0,VLOOKUP('Project Details by Yr - MASTER'!$B11,'Public Buildings'!$A$10:$N$96,H$2,0))+IF(ISNA(VLOOKUP('Project Details by Yr - MASTER'!$B11,Bridges!$A$9:$N$24,H$2,0)),0,VLOOKUP('Project Details by Yr - MASTER'!$B11,Bridges!$A$9:$N$24,H$2,0))+IF(ISNA(VLOOKUP('Project Details by Yr - MASTER'!$B11,'Parking Lots &amp; Playgrounds'!$A$9:$N$33,H$2,0)),0,VLOOKUP('Project Details by Yr - MASTER'!$B11,'Parking Lots &amp; Playgrounds'!$A$9:$N$33,H$2,0))+IF(ISNA(VLOOKUP($B11,Vehicles!$B$9:$O$50,H$2,0)),0,VLOOKUP($B11,Vehicles!$B$9:$O$50,H$2,0))</f>
        <v>0</v>
      </c>
      <c r="I11" s="8">
        <f>IF(ISNA(VLOOKUP($B11,'Other Capital Needs'!$C$51:$P$95,I$2,0)),0,VLOOKUP($B11,'Other Capital Needs'!$C$51:$P$95,I$2,0))+IF(ISNA(VLOOKUP('Project Details by Yr - MASTER'!$B11,'Public Grounds'!$A$11:$N$49,I$2,0)),0,VLOOKUP('Project Details by Yr - MASTER'!$B11,'Public Grounds'!$A$11:$N$49,I$2,0))+IF(ISNA(VLOOKUP('Project Details by Yr - MASTER'!$B11,'Public Buildings'!$A$10:$N$96,I$2,0)),0,VLOOKUP('Project Details by Yr - MASTER'!$B11,'Public Buildings'!$A$10:$N$96,I$2,0))+IF(ISNA(VLOOKUP('Project Details by Yr - MASTER'!$B11,Bridges!$A$9:$N$24,I$2,0)),0,VLOOKUP('Project Details by Yr - MASTER'!$B11,Bridges!$A$9:$N$24,I$2,0))+IF(ISNA(VLOOKUP('Project Details by Yr - MASTER'!$B11,'Parking Lots &amp; Playgrounds'!$A$9:$N$33,I$2,0)),0,VLOOKUP('Project Details by Yr - MASTER'!$B11,'Parking Lots &amp; Playgrounds'!$A$9:$N$33,I$2,0))+IF(ISNA(VLOOKUP($B11,Vehicles!$B$9:$O$50,I$2,0)),0,VLOOKUP($B11,Vehicles!$B$9:$O$50,I$2,0))</f>
        <v>0</v>
      </c>
      <c r="J11" s="8">
        <f>IF(ISNA(VLOOKUP($B11,'Other Capital Needs'!$C$51:$P$95,J$2,0)),0,VLOOKUP($B11,'Other Capital Needs'!$C$51:$P$95,J$2,0))+IF(ISNA(VLOOKUP('Project Details by Yr - MASTER'!$B11,'Public Grounds'!$A$11:$N$49,J$2,0)),0,VLOOKUP('Project Details by Yr - MASTER'!$B11,'Public Grounds'!$A$11:$N$49,J$2,0))+IF(ISNA(VLOOKUP('Project Details by Yr - MASTER'!$B11,'Public Buildings'!$A$10:$N$96,J$2,0)),0,VLOOKUP('Project Details by Yr - MASTER'!$B11,'Public Buildings'!$A$10:$N$96,J$2,0))+IF(ISNA(VLOOKUP('Project Details by Yr - MASTER'!$B11,Bridges!$A$9:$N$24,J$2,0)),0,VLOOKUP('Project Details by Yr - MASTER'!$B11,Bridges!$A$9:$N$24,J$2,0))+IF(ISNA(VLOOKUP('Project Details by Yr - MASTER'!$B11,'Parking Lots &amp; Playgrounds'!$A$9:$N$33,J$2,0)),0,VLOOKUP('Project Details by Yr - MASTER'!$B11,'Parking Lots &amp; Playgrounds'!$A$9:$N$33,J$2,0))+IF(ISNA(VLOOKUP($B11,Vehicles!$B$9:$O$50,J$2,0)),0,VLOOKUP($B11,Vehicles!$B$9:$O$50,J$2,0))</f>
        <v>0</v>
      </c>
      <c r="K11" s="8">
        <f>IF(ISNA(VLOOKUP($B11,'Other Capital Needs'!$C$51:$P$95,K$2,0)),0,VLOOKUP($B11,'Other Capital Needs'!$C$51:$P$95,K$2,0))+IF(ISNA(VLOOKUP('Project Details by Yr - MASTER'!$B11,'Public Grounds'!$A$11:$N$49,K$2,0)),0,VLOOKUP('Project Details by Yr - MASTER'!$B11,'Public Grounds'!$A$11:$N$49,K$2,0))+IF(ISNA(VLOOKUP('Project Details by Yr - MASTER'!$B11,'Public Buildings'!$A$10:$N$96,K$2,0)),0,VLOOKUP('Project Details by Yr - MASTER'!$B11,'Public Buildings'!$A$10:$N$96,K$2,0))+IF(ISNA(VLOOKUP('Project Details by Yr - MASTER'!$B11,Bridges!$A$9:$N$24,K$2,0)),0,VLOOKUP('Project Details by Yr - MASTER'!$B11,Bridges!$A$9:$N$24,K$2,0))+IF(ISNA(VLOOKUP('Project Details by Yr - MASTER'!$B11,'Parking Lots &amp; Playgrounds'!$A$9:$N$33,K$2,0)),0,VLOOKUP('Project Details by Yr - MASTER'!$B11,'Parking Lots &amp; Playgrounds'!$A$9:$N$33,K$2,0))+IF(ISNA(VLOOKUP($B11,Vehicles!$B$9:$O$50,K$2,0)),0,VLOOKUP($B11,Vehicles!$B$9:$O$50,K$2,0))</f>
        <v>0</v>
      </c>
    </row>
    <row r="12" spans="1:11" x14ac:dyDescent="0.25">
      <c r="A12" s="1">
        <v>17</v>
      </c>
      <c r="B12" t="s">
        <v>149</v>
      </c>
      <c r="C12" t="s">
        <v>101</v>
      </c>
      <c r="D12" t="s">
        <v>271</v>
      </c>
      <c r="E12" s="1" t="s">
        <v>16</v>
      </c>
      <c r="G12" s="8">
        <f>IF(ISNA(VLOOKUP($B12,'Other Capital Needs'!$C$51:$P$95,G$2,0)),0,VLOOKUP($B12,'Other Capital Needs'!$C$51:$P$95,G$2,0))+IF(ISNA(VLOOKUP('Project Details by Yr - MASTER'!$B12,'Public Grounds'!$A$11:$N$49,G$2,0)),0,VLOOKUP('Project Details by Yr - MASTER'!$B12,'Public Grounds'!$A$11:$N$49,G$2,0))+IF(ISNA(VLOOKUP('Project Details by Yr - MASTER'!$B12,'Public Buildings'!$A$10:$N$96,G$2,0)),0,VLOOKUP('Project Details by Yr - MASTER'!$B12,'Public Buildings'!$A$10:$N$96,G$2,0))+IF(ISNA(VLOOKUP('Project Details by Yr - MASTER'!$B12,Bridges!$A$9:$N$24,G$2,0)),0,VLOOKUP('Project Details by Yr - MASTER'!$B12,Bridges!$A$9:$N$24,G$2,0))+IF(ISNA(VLOOKUP('Project Details by Yr - MASTER'!$B12,'Parking Lots &amp; Playgrounds'!$A$9:$N$33,G$2,0)),0,VLOOKUP('Project Details by Yr - MASTER'!$B12,'Parking Lots &amp; Playgrounds'!$A$9:$N$33,G$2,0))+IF(ISNA(VLOOKUP($B12,Vehicles!$B$9:$O$50,G$2,0)),0,VLOOKUP($B12,Vehicles!$B$9:$O$50,G$2,0))</f>
        <v>0</v>
      </c>
      <c r="H12" s="8">
        <f>IF(ISNA(VLOOKUP($B12,'Other Capital Needs'!$C$51:$P$95,H$2,0)),0,VLOOKUP($B12,'Other Capital Needs'!$C$51:$P$95,H$2,0))+IF(ISNA(VLOOKUP('Project Details by Yr - MASTER'!$B12,'Public Grounds'!$A$11:$N$49,H$2,0)),0,VLOOKUP('Project Details by Yr - MASTER'!$B12,'Public Grounds'!$A$11:$N$49,H$2,0))+IF(ISNA(VLOOKUP('Project Details by Yr - MASTER'!$B12,'Public Buildings'!$A$10:$N$96,H$2,0)),0,VLOOKUP('Project Details by Yr - MASTER'!$B12,'Public Buildings'!$A$10:$N$96,H$2,0))+IF(ISNA(VLOOKUP('Project Details by Yr - MASTER'!$B12,Bridges!$A$9:$N$24,H$2,0)),0,VLOOKUP('Project Details by Yr - MASTER'!$B12,Bridges!$A$9:$N$24,H$2,0))+IF(ISNA(VLOOKUP('Project Details by Yr - MASTER'!$B12,'Parking Lots &amp; Playgrounds'!$A$9:$N$33,H$2,0)),0,VLOOKUP('Project Details by Yr - MASTER'!$B12,'Parking Lots &amp; Playgrounds'!$A$9:$N$33,H$2,0))+IF(ISNA(VLOOKUP($B12,Vehicles!$B$9:$O$50,H$2,0)),0,VLOOKUP($B12,Vehicles!$B$9:$O$50,H$2,0))</f>
        <v>0</v>
      </c>
      <c r="I12" s="8">
        <f>IF(ISNA(VLOOKUP($B12,'Other Capital Needs'!$C$51:$P$95,I$2,0)),0,VLOOKUP($B12,'Other Capital Needs'!$C$51:$P$95,I$2,0))+IF(ISNA(VLOOKUP('Project Details by Yr - MASTER'!$B12,'Public Grounds'!$A$11:$N$49,I$2,0)),0,VLOOKUP('Project Details by Yr - MASTER'!$B12,'Public Grounds'!$A$11:$N$49,I$2,0))+IF(ISNA(VLOOKUP('Project Details by Yr - MASTER'!$B12,'Public Buildings'!$A$10:$N$96,I$2,0)),0,VLOOKUP('Project Details by Yr - MASTER'!$B12,'Public Buildings'!$A$10:$N$96,I$2,0))+IF(ISNA(VLOOKUP('Project Details by Yr - MASTER'!$B12,Bridges!$A$9:$N$24,I$2,0)),0,VLOOKUP('Project Details by Yr - MASTER'!$B12,Bridges!$A$9:$N$24,I$2,0))+IF(ISNA(VLOOKUP('Project Details by Yr - MASTER'!$B12,'Parking Lots &amp; Playgrounds'!$A$9:$N$33,I$2,0)),0,VLOOKUP('Project Details by Yr - MASTER'!$B12,'Parking Lots &amp; Playgrounds'!$A$9:$N$33,I$2,0))+IF(ISNA(VLOOKUP($B12,Vehicles!$B$9:$O$50,I$2,0)),0,VLOOKUP($B12,Vehicles!$B$9:$O$50,I$2,0))</f>
        <v>0</v>
      </c>
      <c r="J12" s="8">
        <f>IF(ISNA(VLOOKUP($B12,'Other Capital Needs'!$C$51:$P$95,J$2,0)),0,VLOOKUP($B12,'Other Capital Needs'!$C$51:$P$95,J$2,0))+IF(ISNA(VLOOKUP('Project Details by Yr - MASTER'!$B12,'Public Grounds'!$A$11:$N$49,J$2,0)),0,VLOOKUP('Project Details by Yr - MASTER'!$B12,'Public Grounds'!$A$11:$N$49,J$2,0))+IF(ISNA(VLOOKUP('Project Details by Yr - MASTER'!$B12,'Public Buildings'!$A$10:$N$96,J$2,0)),0,VLOOKUP('Project Details by Yr - MASTER'!$B12,'Public Buildings'!$A$10:$N$96,J$2,0))+IF(ISNA(VLOOKUP('Project Details by Yr - MASTER'!$B12,Bridges!$A$9:$N$24,J$2,0)),0,VLOOKUP('Project Details by Yr - MASTER'!$B12,Bridges!$A$9:$N$24,J$2,0))+IF(ISNA(VLOOKUP('Project Details by Yr - MASTER'!$B12,'Parking Lots &amp; Playgrounds'!$A$9:$N$33,J$2,0)),0,VLOOKUP('Project Details by Yr - MASTER'!$B12,'Parking Lots &amp; Playgrounds'!$A$9:$N$33,J$2,0))+IF(ISNA(VLOOKUP($B12,Vehicles!$B$9:$O$50,J$2,0)),0,VLOOKUP($B12,Vehicles!$B$9:$O$50,J$2,0))</f>
        <v>0</v>
      </c>
      <c r="K12" s="8">
        <f>IF(ISNA(VLOOKUP($B12,'Other Capital Needs'!$C$51:$P$95,K$2,0)),0,VLOOKUP($B12,'Other Capital Needs'!$C$51:$P$95,K$2,0))+IF(ISNA(VLOOKUP('Project Details by Yr - MASTER'!$B12,'Public Grounds'!$A$11:$N$49,K$2,0)),0,VLOOKUP('Project Details by Yr - MASTER'!$B12,'Public Grounds'!$A$11:$N$49,K$2,0))+IF(ISNA(VLOOKUP('Project Details by Yr - MASTER'!$B12,'Public Buildings'!$A$10:$N$96,K$2,0)),0,VLOOKUP('Project Details by Yr - MASTER'!$B12,'Public Buildings'!$A$10:$N$96,K$2,0))+IF(ISNA(VLOOKUP('Project Details by Yr - MASTER'!$B12,Bridges!$A$9:$N$24,K$2,0)),0,VLOOKUP('Project Details by Yr - MASTER'!$B12,Bridges!$A$9:$N$24,K$2,0))+IF(ISNA(VLOOKUP('Project Details by Yr - MASTER'!$B12,'Parking Lots &amp; Playgrounds'!$A$9:$N$33,K$2,0)),0,VLOOKUP('Project Details by Yr - MASTER'!$B12,'Parking Lots &amp; Playgrounds'!$A$9:$N$33,K$2,0))+IF(ISNA(VLOOKUP($B12,Vehicles!$B$9:$O$50,K$2,0)),0,VLOOKUP($B12,Vehicles!$B$9:$O$50,K$2,0))</f>
        <v>0</v>
      </c>
    </row>
    <row r="13" spans="1:11" x14ac:dyDescent="0.25">
      <c r="A13" s="1">
        <v>31</v>
      </c>
      <c r="B13" t="s">
        <v>150</v>
      </c>
      <c r="C13" t="s">
        <v>101</v>
      </c>
      <c r="D13" t="s">
        <v>271</v>
      </c>
      <c r="E13" s="1" t="s">
        <v>37</v>
      </c>
      <c r="G13" s="8">
        <f>IF(ISNA(VLOOKUP($B13,'Other Capital Needs'!$C$51:$P$95,G$2,0)),0,VLOOKUP($B13,'Other Capital Needs'!$C$51:$P$95,G$2,0))+IF(ISNA(VLOOKUP('Project Details by Yr - MASTER'!$B13,'Public Grounds'!$A$11:$N$49,G$2,0)),0,VLOOKUP('Project Details by Yr - MASTER'!$B13,'Public Grounds'!$A$11:$N$49,G$2,0))+IF(ISNA(VLOOKUP('Project Details by Yr - MASTER'!$B13,'Public Buildings'!$A$10:$N$96,G$2,0)),0,VLOOKUP('Project Details by Yr - MASTER'!$B13,'Public Buildings'!$A$10:$N$96,G$2,0))+IF(ISNA(VLOOKUP('Project Details by Yr - MASTER'!$B13,Bridges!$A$9:$N$24,G$2,0)),0,VLOOKUP('Project Details by Yr - MASTER'!$B13,Bridges!$A$9:$N$24,G$2,0))+IF(ISNA(VLOOKUP('Project Details by Yr - MASTER'!$B13,'Parking Lots &amp; Playgrounds'!$A$9:$N$33,G$2,0)),0,VLOOKUP('Project Details by Yr - MASTER'!$B13,'Parking Lots &amp; Playgrounds'!$A$9:$N$33,G$2,0))+IF(ISNA(VLOOKUP($B13,Vehicles!$B$9:$O$50,G$2,0)),0,VLOOKUP($B13,Vehicles!$B$9:$O$50,G$2,0))</f>
        <v>0</v>
      </c>
      <c r="H13" s="8">
        <f>IF(ISNA(VLOOKUP($B13,'Other Capital Needs'!$C$51:$P$95,H$2,0)),0,VLOOKUP($B13,'Other Capital Needs'!$C$51:$P$95,H$2,0))+IF(ISNA(VLOOKUP('Project Details by Yr - MASTER'!$B13,'Public Grounds'!$A$11:$N$49,H$2,0)),0,VLOOKUP('Project Details by Yr - MASTER'!$B13,'Public Grounds'!$A$11:$N$49,H$2,0))+IF(ISNA(VLOOKUP('Project Details by Yr - MASTER'!$B13,'Public Buildings'!$A$10:$N$96,H$2,0)),0,VLOOKUP('Project Details by Yr - MASTER'!$B13,'Public Buildings'!$A$10:$N$96,H$2,0))+IF(ISNA(VLOOKUP('Project Details by Yr - MASTER'!$B13,Bridges!$A$9:$N$24,H$2,0)),0,VLOOKUP('Project Details by Yr - MASTER'!$B13,Bridges!$A$9:$N$24,H$2,0))+IF(ISNA(VLOOKUP('Project Details by Yr - MASTER'!$B13,'Parking Lots &amp; Playgrounds'!$A$9:$N$33,H$2,0)),0,VLOOKUP('Project Details by Yr - MASTER'!$B13,'Parking Lots &amp; Playgrounds'!$A$9:$N$33,H$2,0))+IF(ISNA(VLOOKUP($B13,Vehicles!$B$9:$O$50,H$2,0)),0,VLOOKUP($B13,Vehicles!$B$9:$O$50,H$2,0))</f>
        <v>100000</v>
      </c>
      <c r="I13" s="8">
        <f>IF(ISNA(VLOOKUP($B13,'Other Capital Needs'!$C$51:$P$95,I$2,0)),0,VLOOKUP($B13,'Other Capital Needs'!$C$51:$P$95,I$2,0))+IF(ISNA(VLOOKUP('Project Details by Yr - MASTER'!$B13,'Public Grounds'!$A$11:$N$49,I$2,0)),0,VLOOKUP('Project Details by Yr - MASTER'!$B13,'Public Grounds'!$A$11:$N$49,I$2,0))+IF(ISNA(VLOOKUP('Project Details by Yr - MASTER'!$B13,'Public Buildings'!$A$10:$N$96,I$2,0)),0,VLOOKUP('Project Details by Yr - MASTER'!$B13,'Public Buildings'!$A$10:$N$96,I$2,0))+IF(ISNA(VLOOKUP('Project Details by Yr - MASTER'!$B13,Bridges!$A$9:$N$24,I$2,0)),0,VLOOKUP('Project Details by Yr - MASTER'!$B13,Bridges!$A$9:$N$24,I$2,0))+IF(ISNA(VLOOKUP('Project Details by Yr - MASTER'!$B13,'Parking Lots &amp; Playgrounds'!$A$9:$N$33,I$2,0)),0,VLOOKUP('Project Details by Yr - MASTER'!$B13,'Parking Lots &amp; Playgrounds'!$A$9:$N$33,I$2,0))+IF(ISNA(VLOOKUP($B13,Vehicles!$B$9:$O$50,I$2,0)),0,VLOOKUP($B13,Vehicles!$B$9:$O$50,I$2,0))</f>
        <v>0</v>
      </c>
      <c r="J13" s="8">
        <f>IF(ISNA(VLOOKUP($B13,'Other Capital Needs'!$C$51:$P$95,J$2,0)),0,VLOOKUP($B13,'Other Capital Needs'!$C$51:$P$95,J$2,0))+IF(ISNA(VLOOKUP('Project Details by Yr - MASTER'!$B13,'Public Grounds'!$A$11:$N$49,J$2,0)),0,VLOOKUP('Project Details by Yr - MASTER'!$B13,'Public Grounds'!$A$11:$N$49,J$2,0))+IF(ISNA(VLOOKUP('Project Details by Yr - MASTER'!$B13,'Public Buildings'!$A$10:$N$96,J$2,0)),0,VLOOKUP('Project Details by Yr - MASTER'!$B13,'Public Buildings'!$A$10:$N$96,J$2,0))+IF(ISNA(VLOOKUP('Project Details by Yr - MASTER'!$B13,Bridges!$A$9:$N$24,J$2,0)),0,VLOOKUP('Project Details by Yr - MASTER'!$B13,Bridges!$A$9:$N$24,J$2,0))+IF(ISNA(VLOOKUP('Project Details by Yr - MASTER'!$B13,'Parking Lots &amp; Playgrounds'!$A$9:$N$33,J$2,0)),0,VLOOKUP('Project Details by Yr - MASTER'!$B13,'Parking Lots &amp; Playgrounds'!$A$9:$N$33,J$2,0))+IF(ISNA(VLOOKUP($B13,Vehicles!$B$9:$O$50,J$2,0)),0,VLOOKUP($B13,Vehicles!$B$9:$O$50,J$2,0))</f>
        <v>0</v>
      </c>
      <c r="K13" s="8">
        <f>IF(ISNA(VLOOKUP($B13,'Other Capital Needs'!$C$51:$P$95,K$2,0)),0,VLOOKUP($B13,'Other Capital Needs'!$C$51:$P$95,K$2,0))+IF(ISNA(VLOOKUP('Project Details by Yr - MASTER'!$B13,'Public Grounds'!$A$11:$N$49,K$2,0)),0,VLOOKUP('Project Details by Yr - MASTER'!$B13,'Public Grounds'!$A$11:$N$49,K$2,0))+IF(ISNA(VLOOKUP('Project Details by Yr - MASTER'!$B13,'Public Buildings'!$A$10:$N$96,K$2,0)),0,VLOOKUP('Project Details by Yr - MASTER'!$B13,'Public Buildings'!$A$10:$N$96,K$2,0))+IF(ISNA(VLOOKUP('Project Details by Yr - MASTER'!$B13,Bridges!$A$9:$N$24,K$2,0)),0,VLOOKUP('Project Details by Yr - MASTER'!$B13,Bridges!$A$9:$N$24,K$2,0))+IF(ISNA(VLOOKUP('Project Details by Yr - MASTER'!$B13,'Parking Lots &amp; Playgrounds'!$A$9:$N$33,K$2,0)),0,VLOOKUP('Project Details by Yr - MASTER'!$B13,'Parking Lots &amp; Playgrounds'!$A$9:$N$33,K$2,0))+IF(ISNA(VLOOKUP($B13,Vehicles!$B$9:$O$50,K$2,0)),0,VLOOKUP($B13,Vehicles!$B$9:$O$50,K$2,0))</f>
        <v>0</v>
      </c>
    </row>
    <row r="14" spans="1:11" x14ac:dyDescent="0.25">
      <c r="A14" s="1">
        <v>31</v>
      </c>
      <c r="B14" t="s">
        <v>151</v>
      </c>
      <c r="C14" t="s">
        <v>101</v>
      </c>
      <c r="D14" t="s">
        <v>271</v>
      </c>
      <c r="E14" s="1" t="s">
        <v>16</v>
      </c>
      <c r="G14" s="8">
        <f>IF(ISNA(VLOOKUP($B14,'Other Capital Needs'!$C$51:$P$95,G$2,0)),0,VLOOKUP($B14,'Other Capital Needs'!$C$51:$P$95,G$2,0))+IF(ISNA(VLOOKUP('Project Details by Yr - MASTER'!$B14,'Public Grounds'!$A$11:$N$49,G$2,0)),0,VLOOKUP('Project Details by Yr - MASTER'!$B14,'Public Grounds'!$A$11:$N$49,G$2,0))+IF(ISNA(VLOOKUP('Project Details by Yr - MASTER'!$B14,'Public Buildings'!$A$10:$N$96,G$2,0)),0,VLOOKUP('Project Details by Yr - MASTER'!$B14,'Public Buildings'!$A$10:$N$96,G$2,0))+IF(ISNA(VLOOKUP('Project Details by Yr - MASTER'!$B14,Bridges!$A$9:$N$24,G$2,0)),0,VLOOKUP('Project Details by Yr - MASTER'!$B14,Bridges!$A$9:$N$24,G$2,0))+IF(ISNA(VLOOKUP('Project Details by Yr - MASTER'!$B14,'Parking Lots &amp; Playgrounds'!$A$9:$N$33,G$2,0)),0,VLOOKUP('Project Details by Yr - MASTER'!$B14,'Parking Lots &amp; Playgrounds'!$A$9:$N$33,G$2,0))+IF(ISNA(VLOOKUP($B14,Vehicles!$B$9:$O$50,G$2,0)),0,VLOOKUP($B14,Vehicles!$B$9:$O$50,G$2,0))</f>
        <v>0</v>
      </c>
      <c r="H14" s="8">
        <f>IF(ISNA(VLOOKUP($B14,'Other Capital Needs'!$C$51:$P$95,H$2,0)),0,VLOOKUP($B14,'Other Capital Needs'!$C$51:$P$95,H$2,0))+IF(ISNA(VLOOKUP('Project Details by Yr - MASTER'!$B14,'Public Grounds'!$A$11:$N$49,H$2,0)),0,VLOOKUP('Project Details by Yr - MASTER'!$B14,'Public Grounds'!$A$11:$N$49,H$2,0))+IF(ISNA(VLOOKUP('Project Details by Yr - MASTER'!$B14,'Public Buildings'!$A$10:$N$96,H$2,0)),0,VLOOKUP('Project Details by Yr - MASTER'!$B14,'Public Buildings'!$A$10:$N$96,H$2,0))+IF(ISNA(VLOOKUP('Project Details by Yr - MASTER'!$B14,Bridges!$A$9:$N$24,H$2,0)),0,VLOOKUP('Project Details by Yr - MASTER'!$B14,Bridges!$A$9:$N$24,H$2,0))+IF(ISNA(VLOOKUP('Project Details by Yr - MASTER'!$B14,'Parking Lots &amp; Playgrounds'!$A$9:$N$33,H$2,0)),0,VLOOKUP('Project Details by Yr - MASTER'!$B14,'Parking Lots &amp; Playgrounds'!$A$9:$N$33,H$2,0))+IF(ISNA(VLOOKUP($B14,Vehicles!$B$9:$O$50,H$2,0)),0,VLOOKUP($B14,Vehicles!$B$9:$O$50,H$2,0))</f>
        <v>0</v>
      </c>
      <c r="I14" s="8">
        <f>IF(ISNA(VLOOKUP($B14,'Other Capital Needs'!$C$51:$P$95,I$2,0)),0,VLOOKUP($B14,'Other Capital Needs'!$C$51:$P$95,I$2,0))+IF(ISNA(VLOOKUP('Project Details by Yr - MASTER'!$B14,'Public Grounds'!$A$11:$N$49,I$2,0)),0,VLOOKUP('Project Details by Yr - MASTER'!$B14,'Public Grounds'!$A$11:$N$49,I$2,0))+IF(ISNA(VLOOKUP('Project Details by Yr - MASTER'!$B14,'Public Buildings'!$A$10:$N$96,I$2,0)),0,VLOOKUP('Project Details by Yr - MASTER'!$B14,'Public Buildings'!$A$10:$N$96,I$2,0))+IF(ISNA(VLOOKUP('Project Details by Yr - MASTER'!$B14,Bridges!$A$9:$N$24,I$2,0)),0,VLOOKUP('Project Details by Yr - MASTER'!$B14,Bridges!$A$9:$N$24,I$2,0))+IF(ISNA(VLOOKUP('Project Details by Yr - MASTER'!$B14,'Parking Lots &amp; Playgrounds'!$A$9:$N$33,I$2,0)),0,VLOOKUP('Project Details by Yr - MASTER'!$B14,'Parking Lots &amp; Playgrounds'!$A$9:$N$33,I$2,0))+IF(ISNA(VLOOKUP($B14,Vehicles!$B$9:$O$50,I$2,0)),0,VLOOKUP($B14,Vehicles!$B$9:$O$50,I$2,0))</f>
        <v>0</v>
      </c>
      <c r="J14" s="8">
        <f>IF(ISNA(VLOOKUP($B14,'Other Capital Needs'!$C$51:$P$95,J$2,0)),0,VLOOKUP($B14,'Other Capital Needs'!$C$51:$P$95,J$2,0))+IF(ISNA(VLOOKUP('Project Details by Yr - MASTER'!$B14,'Public Grounds'!$A$11:$N$49,J$2,0)),0,VLOOKUP('Project Details by Yr - MASTER'!$B14,'Public Grounds'!$A$11:$N$49,J$2,0))+IF(ISNA(VLOOKUP('Project Details by Yr - MASTER'!$B14,'Public Buildings'!$A$10:$N$96,J$2,0)),0,VLOOKUP('Project Details by Yr - MASTER'!$B14,'Public Buildings'!$A$10:$N$96,J$2,0))+IF(ISNA(VLOOKUP('Project Details by Yr - MASTER'!$B14,Bridges!$A$9:$N$24,J$2,0)),0,VLOOKUP('Project Details by Yr - MASTER'!$B14,Bridges!$A$9:$N$24,J$2,0))+IF(ISNA(VLOOKUP('Project Details by Yr - MASTER'!$B14,'Parking Lots &amp; Playgrounds'!$A$9:$N$33,J$2,0)),0,VLOOKUP('Project Details by Yr - MASTER'!$B14,'Parking Lots &amp; Playgrounds'!$A$9:$N$33,J$2,0))+IF(ISNA(VLOOKUP($B14,Vehicles!$B$9:$O$50,J$2,0)),0,VLOOKUP($B14,Vehicles!$B$9:$O$50,J$2,0))</f>
        <v>0</v>
      </c>
      <c r="K14" s="8">
        <f>IF(ISNA(VLOOKUP($B14,'Other Capital Needs'!$C$51:$P$95,K$2,0)),0,VLOOKUP($B14,'Other Capital Needs'!$C$51:$P$95,K$2,0))+IF(ISNA(VLOOKUP('Project Details by Yr - MASTER'!$B14,'Public Grounds'!$A$11:$N$49,K$2,0)),0,VLOOKUP('Project Details by Yr - MASTER'!$B14,'Public Grounds'!$A$11:$N$49,K$2,0))+IF(ISNA(VLOOKUP('Project Details by Yr - MASTER'!$B14,'Public Buildings'!$A$10:$N$96,K$2,0)),0,VLOOKUP('Project Details by Yr - MASTER'!$B14,'Public Buildings'!$A$10:$N$96,K$2,0))+IF(ISNA(VLOOKUP('Project Details by Yr - MASTER'!$B14,Bridges!$A$9:$N$24,K$2,0)),0,VLOOKUP('Project Details by Yr - MASTER'!$B14,Bridges!$A$9:$N$24,K$2,0))+IF(ISNA(VLOOKUP('Project Details by Yr - MASTER'!$B14,'Parking Lots &amp; Playgrounds'!$A$9:$N$33,K$2,0)),0,VLOOKUP('Project Details by Yr - MASTER'!$B14,'Parking Lots &amp; Playgrounds'!$A$9:$N$33,K$2,0))+IF(ISNA(VLOOKUP($B14,Vehicles!$B$9:$O$50,K$2,0)),0,VLOOKUP($B14,Vehicles!$B$9:$O$50,K$2,0))</f>
        <v>0</v>
      </c>
    </row>
    <row r="15" spans="1:11" x14ac:dyDescent="0.25">
      <c r="A15" s="1">
        <v>31</v>
      </c>
      <c r="B15" t="s">
        <v>152</v>
      </c>
      <c r="C15" t="s">
        <v>101</v>
      </c>
      <c r="D15" t="s">
        <v>271</v>
      </c>
      <c r="E15" s="1" t="s">
        <v>16</v>
      </c>
      <c r="G15" s="8">
        <f>IF(ISNA(VLOOKUP($B15,'Other Capital Needs'!$C$51:$P$95,G$2,0)),0,VLOOKUP($B15,'Other Capital Needs'!$C$51:$P$95,G$2,0))+IF(ISNA(VLOOKUP('Project Details by Yr - MASTER'!$B15,'Public Grounds'!$A$11:$N$49,G$2,0)),0,VLOOKUP('Project Details by Yr - MASTER'!$B15,'Public Grounds'!$A$11:$N$49,G$2,0))+IF(ISNA(VLOOKUP('Project Details by Yr - MASTER'!$B15,'Public Buildings'!$A$10:$N$96,G$2,0)),0,VLOOKUP('Project Details by Yr - MASTER'!$B15,'Public Buildings'!$A$10:$N$96,G$2,0))+IF(ISNA(VLOOKUP('Project Details by Yr - MASTER'!$B15,Bridges!$A$9:$N$24,G$2,0)),0,VLOOKUP('Project Details by Yr - MASTER'!$B15,Bridges!$A$9:$N$24,G$2,0))+IF(ISNA(VLOOKUP('Project Details by Yr - MASTER'!$B15,'Parking Lots &amp; Playgrounds'!$A$9:$N$33,G$2,0)),0,VLOOKUP('Project Details by Yr - MASTER'!$B15,'Parking Lots &amp; Playgrounds'!$A$9:$N$33,G$2,0))+IF(ISNA(VLOOKUP($B15,Vehicles!$B$9:$O$50,G$2,0)),0,VLOOKUP($B15,Vehicles!$B$9:$O$50,G$2,0))</f>
        <v>0</v>
      </c>
      <c r="H15" s="8">
        <f>IF(ISNA(VLOOKUP($B15,'Other Capital Needs'!$C$51:$P$95,H$2,0)),0,VLOOKUP($B15,'Other Capital Needs'!$C$51:$P$95,H$2,0))+IF(ISNA(VLOOKUP('Project Details by Yr - MASTER'!$B15,'Public Grounds'!$A$11:$N$49,H$2,0)),0,VLOOKUP('Project Details by Yr - MASTER'!$B15,'Public Grounds'!$A$11:$N$49,H$2,0))+IF(ISNA(VLOOKUP('Project Details by Yr - MASTER'!$B15,'Public Buildings'!$A$10:$N$96,H$2,0)),0,VLOOKUP('Project Details by Yr - MASTER'!$B15,'Public Buildings'!$A$10:$N$96,H$2,0))+IF(ISNA(VLOOKUP('Project Details by Yr - MASTER'!$B15,Bridges!$A$9:$N$24,H$2,0)),0,VLOOKUP('Project Details by Yr - MASTER'!$B15,Bridges!$A$9:$N$24,H$2,0))+IF(ISNA(VLOOKUP('Project Details by Yr - MASTER'!$B15,'Parking Lots &amp; Playgrounds'!$A$9:$N$33,H$2,0)),0,VLOOKUP('Project Details by Yr - MASTER'!$B15,'Parking Lots &amp; Playgrounds'!$A$9:$N$33,H$2,0))+IF(ISNA(VLOOKUP($B15,Vehicles!$B$9:$O$50,H$2,0)),0,VLOOKUP($B15,Vehicles!$B$9:$O$50,H$2,0))</f>
        <v>0</v>
      </c>
      <c r="I15" s="8">
        <f>IF(ISNA(VLOOKUP($B15,'Other Capital Needs'!$C$51:$P$95,I$2,0)),0,VLOOKUP($B15,'Other Capital Needs'!$C$51:$P$95,I$2,0))+IF(ISNA(VLOOKUP('Project Details by Yr - MASTER'!$B15,'Public Grounds'!$A$11:$N$49,I$2,0)),0,VLOOKUP('Project Details by Yr - MASTER'!$B15,'Public Grounds'!$A$11:$N$49,I$2,0))+IF(ISNA(VLOOKUP('Project Details by Yr - MASTER'!$B15,'Public Buildings'!$A$10:$N$96,I$2,0)),0,VLOOKUP('Project Details by Yr - MASTER'!$B15,'Public Buildings'!$A$10:$N$96,I$2,0))+IF(ISNA(VLOOKUP('Project Details by Yr - MASTER'!$B15,Bridges!$A$9:$N$24,I$2,0)),0,VLOOKUP('Project Details by Yr - MASTER'!$B15,Bridges!$A$9:$N$24,I$2,0))+IF(ISNA(VLOOKUP('Project Details by Yr - MASTER'!$B15,'Parking Lots &amp; Playgrounds'!$A$9:$N$33,I$2,0)),0,VLOOKUP('Project Details by Yr - MASTER'!$B15,'Parking Lots &amp; Playgrounds'!$A$9:$N$33,I$2,0))+IF(ISNA(VLOOKUP($B15,Vehicles!$B$9:$O$50,I$2,0)),0,VLOOKUP($B15,Vehicles!$B$9:$O$50,I$2,0))</f>
        <v>200000</v>
      </c>
      <c r="J15" s="8">
        <f>IF(ISNA(VLOOKUP($B15,'Other Capital Needs'!$C$51:$P$95,J$2,0)),0,VLOOKUP($B15,'Other Capital Needs'!$C$51:$P$95,J$2,0))+IF(ISNA(VLOOKUP('Project Details by Yr - MASTER'!$B15,'Public Grounds'!$A$11:$N$49,J$2,0)),0,VLOOKUP('Project Details by Yr - MASTER'!$B15,'Public Grounds'!$A$11:$N$49,J$2,0))+IF(ISNA(VLOOKUP('Project Details by Yr - MASTER'!$B15,'Public Buildings'!$A$10:$N$96,J$2,0)),0,VLOOKUP('Project Details by Yr - MASTER'!$B15,'Public Buildings'!$A$10:$N$96,J$2,0))+IF(ISNA(VLOOKUP('Project Details by Yr - MASTER'!$B15,Bridges!$A$9:$N$24,J$2,0)),0,VLOOKUP('Project Details by Yr - MASTER'!$B15,Bridges!$A$9:$N$24,J$2,0))+IF(ISNA(VLOOKUP('Project Details by Yr - MASTER'!$B15,'Parking Lots &amp; Playgrounds'!$A$9:$N$33,J$2,0)),0,VLOOKUP('Project Details by Yr - MASTER'!$B15,'Parking Lots &amp; Playgrounds'!$A$9:$N$33,J$2,0))+IF(ISNA(VLOOKUP($B15,Vehicles!$B$9:$O$50,J$2,0)),0,VLOOKUP($B15,Vehicles!$B$9:$O$50,J$2,0))</f>
        <v>0</v>
      </c>
      <c r="K15" s="8">
        <f>IF(ISNA(VLOOKUP($B15,'Other Capital Needs'!$C$51:$P$95,K$2,0)),0,VLOOKUP($B15,'Other Capital Needs'!$C$51:$P$95,K$2,0))+IF(ISNA(VLOOKUP('Project Details by Yr - MASTER'!$B15,'Public Grounds'!$A$11:$N$49,K$2,0)),0,VLOOKUP('Project Details by Yr - MASTER'!$B15,'Public Grounds'!$A$11:$N$49,K$2,0))+IF(ISNA(VLOOKUP('Project Details by Yr - MASTER'!$B15,'Public Buildings'!$A$10:$N$96,K$2,0)),0,VLOOKUP('Project Details by Yr - MASTER'!$B15,'Public Buildings'!$A$10:$N$96,K$2,0))+IF(ISNA(VLOOKUP('Project Details by Yr - MASTER'!$B15,Bridges!$A$9:$N$24,K$2,0)),0,VLOOKUP('Project Details by Yr - MASTER'!$B15,Bridges!$A$9:$N$24,K$2,0))+IF(ISNA(VLOOKUP('Project Details by Yr - MASTER'!$B15,'Parking Lots &amp; Playgrounds'!$A$9:$N$33,K$2,0)),0,VLOOKUP('Project Details by Yr - MASTER'!$B15,'Parking Lots &amp; Playgrounds'!$A$9:$N$33,K$2,0))+IF(ISNA(VLOOKUP($B15,Vehicles!$B$9:$O$50,K$2,0)),0,VLOOKUP($B15,Vehicles!$B$9:$O$50,K$2,0))</f>
        <v>0</v>
      </c>
    </row>
    <row r="16" spans="1:11" x14ac:dyDescent="0.25">
      <c r="A16" s="1">
        <v>31</v>
      </c>
      <c r="B16" t="s">
        <v>153</v>
      </c>
      <c r="C16" t="s">
        <v>101</v>
      </c>
      <c r="D16" t="s">
        <v>271</v>
      </c>
      <c r="E16" s="1" t="s">
        <v>16</v>
      </c>
      <c r="G16" s="8">
        <f>IF(ISNA(VLOOKUP($B16,'Other Capital Needs'!$C$51:$P$95,G$2,0)),0,VLOOKUP($B16,'Other Capital Needs'!$C$51:$P$95,G$2,0))+IF(ISNA(VLOOKUP('Project Details by Yr - MASTER'!$B16,'Public Grounds'!$A$11:$N$49,G$2,0)),0,VLOOKUP('Project Details by Yr - MASTER'!$B16,'Public Grounds'!$A$11:$N$49,G$2,0))+IF(ISNA(VLOOKUP('Project Details by Yr - MASTER'!$B16,'Public Buildings'!$A$10:$N$96,G$2,0)),0,VLOOKUP('Project Details by Yr - MASTER'!$B16,'Public Buildings'!$A$10:$N$96,G$2,0))+IF(ISNA(VLOOKUP('Project Details by Yr - MASTER'!$B16,Bridges!$A$9:$N$24,G$2,0)),0,VLOOKUP('Project Details by Yr - MASTER'!$B16,Bridges!$A$9:$N$24,G$2,0))+IF(ISNA(VLOOKUP('Project Details by Yr - MASTER'!$B16,'Parking Lots &amp; Playgrounds'!$A$9:$N$33,G$2,0)),0,VLOOKUP('Project Details by Yr - MASTER'!$B16,'Parking Lots &amp; Playgrounds'!$A$9:$N$33,G$2,0))+IF(ISNA(VLOOKUP($B16,Vehicles!$B$9:$O$50,G$2,0)),0,VLOOKUP($B16,Vehicles!$B$9:$O$50,G$2,0))</f>
        <v>0</v>
      </c>
      <c r="H16" s="8">
        <f>IF(ISNA(VLOOKUP($B16,'Other Capital Needs'!$C$51:$P$95,H$2,0)),0,VLOOKUP($B16,'Other Capital Needs'!$C$51:$P$95,H$2,0))+IF(ISNA(VLOOKUP('Project Details by Yr - MASTER'!$B16,'Public Grounds'!$A$11:$N$49,H$2,0)),0,VLOOKUP('Project Details by Yr - MASTER'!$B16,'Public Grounds'!$A$11:$N$49,H$2,0))+IF(ISNA(VLOOKUP('Project Details by Yr - MASTER'!$B16,'Public Buildings'!$A$10:$N$96,H$2,0)),0,VLOOKUP('Project Details by Yr - MASTER'!$B16,'Public Buildings'!$A$10:$N$96,H$2,0))+IF(ISNA(VLOOKUP('Project Details by Yr - MASTER'!$B16,Bridges!$A$9:$N$24,H$2,0)),0,VLOOKUP('Project Details by Yr - MASTER'!$B16,Bridges!$A$9:$N$24,H$2,0))+IF(ISNA(VLOOKUP('Project Details by Yr - MASTER'!$B16,'Parking Lots &amp; Playgrounds'!$A$9:$N$33,H$2,0)),0,VLOOKUP('Project Details by Yr - MASTER'!$B16,'Parking Lots &amp; Playgrounds'!$A$9:$N$33,H$2,0))+IF(ISNA(VLOOKUP($B16,Vehicles!$B$9:$O$50,H$2,0)),0,VLOOKUP($B16,Vehicles!$B$9:$O$50,H$2,0))</f>
        <v>0</v>
      </c>
      <c r="I16" s="8">
        <f>IF(ISNA(VLOOKUP($B16,'Other Capital Needs'!$C$51:$P$95,I$2,0)),0,VLOOKUP($B16,'Other Capital Needs'!$C$51:$P$95,I$2,0))+IF(ISNA(VLOOKUP('Project Details by Yr - MASTER'!$B16,'Public Grounds'!$A$11:$N$49,I$2,0)),0,VLOOKUP('Project Details by Yr - MASTER'!$B16,'Public Grounds'!$A$11:$N$49,I$2,0))+IF(ISNA(VLOOKUP('Project Details by Yr - MASTER'!$B16,'Public Buildings'!$A$10:$N$96,I$2,0)),0,VLOOKUP('Project Details by Yr - MASTER'!$B16,'Public Buildings'!$A$10:$N$96,I$2,0))+IF(ISNA(VLOOKUP('Project Details by Yr - MASTER'!$B16,Bridges!$A$9:$N$24,I$2,0)),0,VLOOKUP('Project Details by Yr - MASTER'!$B16,Bridges!$A$9:$N$24,I$2,0))+IF(ISNA(VLOOKUP('Project Details by Yr - MASTER'!$B16,'Parking Lots &amp; Playgrounds'!$A$9:$N$33,I$2,0)),0,VLOOKUP('Project Details by Yr - MASTER'!$B16,'Parking Lots &amp; Playgrounds'!$A$9:$N$33,I$2,0))+IF(ISNA(VLOOKUP($B16,Vehicles!$B$9:$O$50,I$2,0)),0,VLOOKUP($B16,Vehicles!$B$9:$O$50,I$2,0))</f>
        <v>0</v>
      </c>
      <c r="J16" s="8">
        <f>IF(ISNA(VLOOKUP($B16,'Other Capital Needs'!$C$51:$P$95,J$2,0)),0,VLOOKUP($B16,'Other Capital Needs'!$C$51:$P$95,J$2,0))+IF(ISNA(VLOOKUP('Project Details by Yr - MASTER'!$B16,'Public Grounds'!$A$11:$N$49,J$2,0)),0,VLOOKUP('Project Details by Yr - MASTER'!$B16,'Public Grounds'!$A$11:$N$49,J$2,0))+IF(ISNA(VLOOKUP('Project Details by Yr - MASTER'!$B16,'Public Buildings'!$A$10:$N$96,J$2,0)),0,VLOOKUP('Project Details by Yr - MASTER'!$B16,'Public Buildings'!$A$10:$N$96,J$2,0))+IF(ISNA(VLOOKUP('Project Details by Yr - MASTER'!$B16,Bridges!$A$9:$N$24,J$2,0)),0,VLOOKUP('Project Details by Yr - MASTER'!$B16,Bridges!$A$9:$N$24,J$2,0))+IF(ISNA(VLOOKUP('Project Details by Yr - MASTER'!$B16,'Parking Lots &amp; Playgrounds'!$A$9:$N$33,J$2,0)),0,VLOOKUP('Project Details by Yr - MASTER'!$B16,'Parking Lots &amp; Playgrounds'!$A$9:$N$33,J$2,0))+IF(ISNA(VLOOKUP($B16,Vehicles!$B$9:$O$50,J$2,0)),0,VLOOKUP($B16,Vehicles!$B$9:$O$50,J$2,0))</f>
        <v>0</v>
      </c>
      <c r="K16" s="8">
        <f>IF(ISNA(VLOOKUP($B16,'Other Capital Needs'!$C$51:$P$95,K$2,0)),0,VLOOKUP($B16,'Other Capital Needs'!$C$51:$P$95,K$2,0))+IF(ISNA(VLOOKUP('Project Details by Yr - MASTER'!$B16,'Public Grounds'!$A$11:$N$49,K$2,0)),0,VLOOKUP('Project Details by Yr - MASTER'!$B16,'Public Grounds'!$A$11:$N$49,K$2,0))+IF(ISNA(VLOOKUP('Project Details by Yr - MASTER'!$B16,'Public Buildings'!$A$10:$N$96,K$2,0)),0,VLOOKUP('Project Details by Yr - MASTER'!$B16,'Public Buildings'!$A$10:$N$96,K$2,0))+IF(ISNA(VLOOKUP('Project Details by Yr - MASTER'!$B16,Bridges!$A$9:$N$24,K$2,0)),0,VLOOKUP('Project Details by Yr - MASTER'!$B16,Bridges!$A$9:$N$24,K$2,0))+IF(ISNA(VLOOKUP('Project Details by Yr - MASTER'!$B16,'Parking Lots &amp; Playgrounds'!$A$9:$N$33,K$2,0)),0,VLOOKUP('Project Details by Yr - MASTER'!$B16,'Parking Lots &amp; Playgrounds'!$A$9:$N$33,K$2,0))+IF(ISNA(VLOOKUP($B16,Vehicles!$B$9:$O$50,K$2,0)),0,VLOOKUP($B16,Vehicles!$B$9:$O$50,K$2,0))</f>
        <v>0</v>
      </c>
    </row>
    <row r="17" spans="1:11" x14ac:dyDescent="0.25">
      <c r="A17" s="1">
        <v>31</v>
      </c>
      <c r="B17" t="s">
        <v>154</v>
      </c>
      <c r="C17" t="s">
        <v>101</v>
      </c>
      <c r="D17" t="s">
        <v>271</v>
      </c>
      <c r="E17" s="1" t="s">
        <v>16</v>
      </c>
      <c r="G17" s="8">
        <f>IF(ISNA(VLOOKUP($B17,'Other Capital Needs'!$C$51:$P$95,G$2,0)),0,VLOOKUP($B17,'Other Capital Needs'!$C$51:$P$95,G$2,0))+IF(ISNA(VLOOKUP('Project Details by Yr - MASTER'!$B17,'Public Grounds'!$A$11:$N$49,G$2,0)),0,VLOOKUP('Project Details by Yr - MASTER'!$B17,'Public Grounds'!$A$11:$N$49,G$2,0))+IF(ISNA(VLOOKUP('Project Details by Yr - MASTER'!$B17,'Public Buildings'!$A$10:$N$96,G$2,0)),0,VLOOKUP('Project Details by Yr - MASTER'!$B17,'Public Buildings'!$A$10:$N$96,G$2,0))+IF(ISNA(VLOOKUP('Project Details by Yr - MASTER'!$B17,Bridges!$A$9:$N$24,G$2,0)),0,VLOOKUP('Project Details by Yr - MASTER'!$B17,Bridges!$A$9:$N$24,G$2,0))+IF(ISNA(VLOOKUP('Project Details by Yr - MASTER'!$B17,'Parking Lots &amp; Playgrounds'!$A$9:$N$33,G$2,0)),0,VLOOKUP('Project Details by Yr - MASTER'!$B17,'Parking Lots &amp; Playgrounds'!$A$9:$N$33,G$2,0))+IF(ISNA(VLOOKUP($B17,Vehicles!$B$9:$O$50,G$2,0)),0,VLOOKUP($B17,Vehicles!$B$9:$O$50,G$2,0))</f>
        <v>0</v>
      </c>
      <c r="H17" s="8">
        <f>IF(ISNA(VLOOKUP($B17,'Other Capital Needs'!$C$51:$P$95,H$2,0)),0,VLOOKUP($B17,'Other Capital Needs'!$C$51:$P$95,H$2,0))+IF(ISNA(VLOOKUP('Project Details by Yr - MASTER'!$B17,'Public Grounds'!$A$11:$N$49,H$2,0)),0,VLOOKUP('Project Details by Yr - MASTER'!$B17,'Public Grounds'!$A$11:$N$49,H$2,0))+IF(ISNA(VLOOKUP('Project Details by Yr - MASTER'!$B17,'Public Buildings'!$A$10:$N$96,H$2,0)),0,VLOOKUP('Project Details by Yr - MASTER'!$B17,'Public Buildings'!$A$10:$N$96,H$2,0))+IF(ISNA(VLOOKUP('Project Details by Yr - MASTER'!$B17,Bridges!$A$9:$N$24,H$2,0)),0,VLOOKUP('Project Details by Yr - MASTER'!$B17,Bridges!$A$9:$N$24,H$2,0))+IF(ISNA(VLOOKUP('Project Details by Yr - MASTER'!$B17,'Parking Lots &amp; Playgrounds'!$A$9:$N$33,H$2,0)),0,VLOOKUP('Project Details by Yr - MASTER'!$B17,'Parking Lots &amp; Playgrounds'!$A$9:$N$33,H$2,0))+IF(ISNA(VLOOKUP($B17,Vehicles!$B$9:$O$50,H$2,0)),0,VLOOKUP($B17,Vehicles!$B$9:$O$50,H$2,0))</f>
        <v>50000</v>
      </c>
      <c r="I17" s="8">
        <f>IF(ISNA(VLOOKUP($B17,'Other Capital Needs'!$C$51:$P$95,I$2,0)),0,VLOOKUP($B17,'Other Capital Needs'!$C$51:$P$95,I$2,0))+IF(ISNA(VLOOKUP('Project Details by Yr - MASTER'!$B17,'Public Grounds'!$A$11:$N$49,I$2,0)),0,VLOOKUP('Project Details by Yr - MASTER'!$B17,'Public Grounds'!$A$11:$N$49,I$2,0))+IF(ISNA(VLOOKUP('Project Details by Yr - MASTER'!$B17,'Public Buildings'!$A$10:$N$96,I$2,0)),0,VLOOKUP('Project Details by Yr - MASTER'!$B17,'Public Buildings'!$A$10:$N$96,I$2,0))+IF(ISNA(VLOOKUP('Project Details by Yr - MASTER'!$B17,Bridges!$A$9:$N$24,I$2,0)),0,VLOOKUP('Project Details by Yr - MASTER'!$B17,Bridges!$A$9:$N$24,I$2,0))+IF(ISNA(VLOOKUP('Project Details by Yr - MASTER'!$B17,'Parking Lots &amp; Playgrounds'!$A$9:$N$33,I$2,0)),0,VLOOKUP('Project Details by Yr - MASTER'!$B17,'Parking Lots &amp; Playgrounds'!$A$9:$N$33,I$2,0))+IF(ISNA(VLOOKUP($B17,Vehicles!$B$9:$O$50,I$2,0)),0,VLOOKUP($B17,Vehicles!$B$9:$O$50,I$2,0))</f>
        <v>0</v>
      </c>
      <c r="J17" s="8">
        <f>IF(ISNA(VLOOKUP($B17,'Other Capital Needs'!$C$51:$P$95,J$2,0)),0,VLOOKUP($B17,'Other Capital Needs'!$C$51:$P$95,J$2,0))+IF(ISNA(VLOOKUP('Project Details by Yr - MASTER'!$B17,'Public Grounds'!$A$11:$N$49,J$2,0)),0,VLOOKUP('Project Details by Yr - MASTER'!$B17,'Public Grounds'!$A$11:$N$49,J$2,0))+IF(ISNA(VLOOKUP('Project Details by Yr - MASTER'!$B17,'Public Buildings'!$A$10:$N$96,J$2,0)),0,VLOOKUP('Project Details by Yr - MASTER'!$B17,'Public Buildings'!$A$10:$N$96,J$2,0))+IF(ISNA(VLOOKUP('Project Details by Yr - MASTER'!$B17,Bridges!$A$9:$N$24,J$2,0)),0,VLOOKUP('Project Details by Yr - MASTER'!$B17,Bridges!$A$9:$N$24,J$2,0))+IF(ISNA(VLOOKUP('Project Details by Yr - MASTER'!$B17,'Parking Lots &amp; Playgrounds'!$A$9:$N$33,J$2,0)),0,VLOOKUP('Project Details by Yr - MASTER'!$B17,'Parking Lots &amp; Playgrounds'!$A$9:$N$33,J$2,0))+IF(ISNA(VLOOKUP($B17,Vehicles!$B$9:$O$50,J$2,0)),0,VLOOKUP($B17,Vehicles!$B$9:$O$50,J$2,0))</f>
        <v>0</v>
      </c>
      <c r="K17" s="8">
        <f>IF(ISNA(VLOOKUP($B17,'Other Capital Needs'!$C$51:$P$95,K$2,0)),0,VLOOKUP($B17,'Other Capital Needs'!$C$51:$P$95,K$2,0))+IF(ISNA(VLOOKUP('Project Details by Yr - MASTER'!$B17,'Public Grounds'!$A$11:$N$49,K$2,0)),0,VLOOKUP('Project Details by Yr - MASTER'!$B17,'Public Grounds'!$A$11:$N$49,K$2,0))+IF(ISNA(VLOOKUP('Project Details by Yr - MASTER'!$B17,'Public Buildings'!$A$10:$N$96,K$2,0)),0,VLOOKUP('Project Details by Yr - MASTER'!$B17,'Public Buildings'!$A$10:$N$96,K$2,0))+IF(ISNA(VLOOKUP('Project Details by Yr - MASTER'!$B17,Bridges!$A$9:$N$24,K$2,0)),0,VLOOKUP('Project Details by Yr - MASTER'!$B17,Bridges!$A$9:$N$24,K$2,0))+IF(ISNA(VLOOKUP('Project Details by Yr - MASTER'!$B17,'Parking Lots &amp; Playgrounds'!$A$9:$N$33,K$2,0)),0,VLOOKUP('Project Details by Yr - MASTER'!$B17,'Parking Lots &amp; Playgrounds'!$A$9:$N$33,K$2,0))+IF(ISNA(VLOOKUP($B17,Vehicles!$B$9:$O$50,K$2,0)),0,VLOOKUP($B17,Vehicles!$B$9:$O$50,K$2,0))</f>
        <v>0</v>
      </c>
    </row>
    <row r="18" spans="1:11" x14ac:dyDescent="0.25">
      <c r="A18" s="1">
        <v>31</v>
      </c>
      <c r="B18" t="s">
        <v>155</v>
      </c>
      <c r="C18" t="s">
        <v>101</v>
      </c>
      <c r="D18" t="s">
        <v>271</v>
      </c>
      <c r="E18" s="1" t="s">
        <v>16</v>
      </c>
      <c r="G18" s="8">
        <f>IF(ISNA(VLOOKUP($B18,'Other Capital Needs'!$C$51:$P$95,G$2,0)),0,VLOOKUP($B18,'Other Capital Needs'!$C$51:$P$95,G$2,0))+IF(ISNA(VLOOKUP('Project Details by Yr - MASTER'!$B18,'Public Grounds'!$A$11:$N$49,G$2,0)),0,VLOOKUP('Project Details by Yr - MASTER'!$B18,'Public Grounds'!$A$11:$N$49,G$2,0))+IF(ISNA(VLOOKUP('Project Details by Yr - MASTER'!$B18,'Public Buildings'!$A$10:$N$96,G$2,0)),0,VLOOKUP('Project Details by Yr - MASTER'!$B18,'Public Buildings'!$A$10:$N$96,G$2,0))+IF(ISNA(VLOOKUP('Project Details by Yr - MASTER'!$B18,Bridges!$A$9:$N$24,G$2,0)),0,VLOOKUP('Project Details by Yr - MASTER'!$B18,Bridges!$A$9:$N$24,G$2,0))+IF(ISNA(VLOOKUP('Project Details by Yr - MASTER'!$B18,'Parking Lots &amp; Playgrounds'!$A$9:$N$33,G$2,0)),0,VLOOKUP('Project Details by Yr - MASTER'!$B18,'Parking Lots &amp; Playgrounds'!$A$9:$N$33,G$2,0))+IF(ISNA(VLOOKUP($B18,Vehicles!$B$9:$O$50,G$2,0)),0,VLOOKUP($B18,Vehicles!$B$9:$O$50,G$2,0))</f>
        <v>0</v>
      </c>
      <c r="H18" s="8">
        <f>IF(ISNA(VLOOKUP($B18,'Other Capital Needs'!$C$51:$P$95,H$2,0)),0,VLOOKUP($B18,'Other Capital Needs'!$C$51:$P$95,H$2,0))+IF(ISNA(VLOOKUP('Project Details by Yr - MASTER'!$B18,'Public Grounds'!$A$11:$N$49,H$2,0)),0,VLOOKUP('Project Details by Yr - MASTER'!$B18,'Public Grounds'!$A$11:$N$49,H$2,0))+IF(ISNA(VLOOKUP('Project Details by Yr - MASTER'!$B18,'Public Buildings'!$A$10:$N$96,H$2,0)),0,VLOOKUP('Project Details by Yr - MASTER'!$B18,'Public Buildings'!$A$10:$N$96,H$2,0))+IF(ISNA(VLOOKUP('Project Details by Yr - MASTER'!$B18,Bridges!$A$9:$N$24,H$2,0)),0,VLOOKUP('Project Details by Yr - MASTER'!$B18,Bridges!$A$9:$N$24,H$2,0))+IF(ISNA(VLOOKUP('Project Details by Yr - MASTER'!$B18,'Parking Lots &amp; Playgrounds'!$A$9:$N$33,H$2,0)),0,VLOOKUP('Project Details by Yr - MASTER'!$B18,'Parking Lots &amp; Playgrounds'!$A$9:$N$33,H$2,0))+IF(ISNA(VLOOKUP($B18,Vehicles!$B$9:$O$50,H$2,0)),0,VLOOKUP($B18,Vehicles!$B$9:$O$50,H$2,0))</f>
        <v>0</v>
      </c>
      <c r="I18" s="8">
        <f>IF(ISNA(VLOOKUP($B18,'Other Capital Needs'!$C$51:$P$95,I$2,0)),0,VLOOKUP($B18,'Other Capital Needs'!$C$51:$P$95,I$2,0))+IF(ISNA(VLOOKUP('Project Details by Yr - MASTER'!$B18,'Public Grounds'!$A$11:$N$49,I$2,0)),0,VLOOKUP('Project Details by Yr - MASTER'!$B18,'Public Grounds'!$A$11:$N$49,I$2,0))+IF(ISNA(VLOOKUP('Project Details by Yr - MASTER'!$B18,'Public Buildings'!$A$10:$N$96,I$2,0)),0,VLOOKUP('Project Details by Yr - MASTER'!$B18,'Public Buildings'!$A$10:$N$96,I$2,0))+IF(ISNA(VLOOKUP('Project Details by Yr - MASTER'!$B18,Bridges!$A$9:$N$24,I$2,0)),0,VLOOKUP('Project Details by Yr - MASTER'!$B18,Bridges!$A$9:$N$24,I$2,0))+IF(ISNA(VLOOKUP('Project Details by Yr - MASTER'!$B18,'Parking Lots &amp; Playgrounds'!$A$9:$N$33,I$2,0)),0,VLOOKUP('Project Details by Yr - MASTER'!$B18,'Parking Lots &amp; Playgrounds'!$A$9:$N$33,I$2,0))+IF(ISNA(VLOOKUP($B18,Vehicles!$B$9:$O$50,I$2,0)),0,VLOOKUP($B18,Vehicles!$B$9:$O$50,I$2,0))</f>
        <v>0</v>
      </c>
      <c r="J18" s="8">
        <f>IF(ISNA(VLOOKUP($B18,'Other Capital Needs'!$C$51:$P$95,J$2,0)),0,VLOOKUP($B18,'Other Capital Needs'!$C$51:$P$95,J$2,0))+IF(ISNA(VLOOKUP('Project Details by Yr - MASTER'!$B18,'Public Grounds'!$A$11:$N$49,J$2,0)),0,VLOOKUP('Project Details by Yr - MASTER'!$B18,'Public Grounds'!$A$11:$N$49,J$2,0))+IF(ISNA(VLOOKUP('Project Details by Yr - MASTER'!$B18,'Public Buildings'!$A$10:$N$96,J$2,0)),0,VLOOKUP('Project Details by Yr - MASTER'!$B18,'Public Buildings'!$A$10:$N$96,J$2,0))+IF(ISNA(VLOOKUP('Project Details by Yr - MASTER'!$B18,Bridges!$A$9:$N$24,J$2,0)),0,VLOOKUP('Project Details by Yr - MASTER'!$B18,Bridges!$A$9:$N$24,J$2,0))+IF(ISNA(VLOOKUP('Project Details by Yr - MASTER'!$B18,'Parking Lots &amp; Playgrounds'!$A$9:$N$33,J$2,0)),0,VLOOKUP('Project Details by Yr - MASTER'!$B18,'Parking Lots &amp; Playgrounds'!$A$9:$N$33,J$2,0))+IF(ISNA(VLOOKUP($B18,Vehicles!$B$9:$O$50,J$2,0)),0,VLOOKUP($B18,Vehicles!$B$9:$O$50,J$2,0))</f>
        <v>0</v>
      </c>
      <c r="K18" s="8">
        <f>IF(ISNA(VLOOKUP($B18,'Other Capital Needs'!$C$51:$P$95,K$2,0)),0,VLOOKUP($B18,'Other Capital Needs'!$C$51:$P$95,K$2,0))+IF(ISNA(VLOOKUP('Project Details by Yr - MASTER'!$B18,'Public Grounds'!$A$11:$N$49,K$2,0)),0,VLOOKUP('Project Details by Yr - MASTER'!$B18,'Public Grounds'!$A$11:$N$49,K$2,0))+IF(ISNA(VLOOKUP('Project Details by Yr - MASTER'!$B18,'Public Buildings'!$A$10:$N$96,K$2,0)),0,VLOOKUP('Project Details by Yr - MASTER'!$B18,'Public Buildings'!$A$10:$N$96,K$2,0))+IF(ISNA(VLOOKUP('Project Details by Yr - MASTER'!$B18,Bridges!$A$9:$N$24,K$2,0)),0,VLOOKUP('Project Details by Yr - MASTER'!$B18,Bridges!$A$9:$N$24,K$2,0))+IF(ISNA(VLOOKUP('Project Details by Yr - MASTER'!$B18,'Parking Lots &amp; Playgrounds'!$A$9:$N$33,K$2,0)),0,VLOOKUP('Project Details by Yr - MASTER'!$B18,'Parking Lots &amp; Playgrounds'!$A$9:$N$33,K$2,0))+IF(ISNA(VLOOKUP($B18,Vehicles!$B$9:$O$50,K$2,0)),0,VLOOKUP($B18,Vehicles!$B$9:$O$50,K$2,0))</f>
        <v>0</v>
      </c>
    </row>
    <row r="19" spans="1:11" x14ac:dyDescent="0.25">
      <c r="A19" s="1">
        <v>31</v>
      </c>
      <c r="B19" t="s">
        <v>156</v>
      </c>
      <c r="C19" t="s">
        <v>101</v>
      </c>
      <c r="D19" t="s">
        <v>271</v>
      </c>
      <c r="E19" s="1" t="s">
        <v>16</v>
      </c>
      <c r="G19" s="8">
        <f>IF(ISNA(VLOOKUP($B19,'Other Capital Needs'!$C$51:$P$95,G$2,0)),0,VLOOKUP($B19,'Other Capital Needs'!$C$51:$P$95,G$2,0))+IF(ISNA(VLOOKUP('Project Details by Yr - MASTER'!$B19,'Public Grounds'!$A$11:$N$49,G$2,0)),0,VLOOKUP('Project Details by Yr - MASTER'!$B19,'Public Grounds'!$A$11:$N$49,G$2,0))+IF(ISNA(VLOOKUP('Project Details by Yr - MASTER'!$B19,'Public Buildings'!$A$10:$N$96,G$2,0)),0,VLOOKUP('Project Details by Yr - MASTER'!$B19,'Public Buildings'!$A$10:$N$96,G$2,0))+IF(ISNA(VLOOKUP('Project Details by Yr - MASTER'!$B19,Bridges!$A$9:$N$24,G$2,0)),0,VLOOKUP('Project Details by Yr - MASTER'!$B19,Bridges!$A$9:$N$24,G$2,0))+IF(ISNA(VLOOKUP('Project Details by Yr - MASTER'!$B19,'Parking Lots &amp; Playgrounds'!$A$9:$N$33,G$2,0)),0,VLOOKUP('Project Details by Yr - MASTER'!$B19,'Parking Lots &amp; Playgrounds'!$A$9:$N$33,G$2,0))+IF(ISNA(VLOOKUP($B19,Vehicles!$B$9:$O$50,G$2,0)),0,VLOOKUP($B19,Vehicles!$B$9:$O$50,G$2,0))</f>
        <v>0</v>
      </c>
      <c r="H19" s="8">
        <f>IF(ISNA(VLOOKUP($B19,'Other Capital Needs'!$C$51:$P$95,H$2,0)),0,VLOOKUP($B19,'Other Capital Needs'!$C$51:$P$95,H$2,0))+IF(ISNA(VLOOKUP('Project Details by Yr - MASTER'!$B19,'Public Grounds'!$A$11:$N$49,H$2,0)),0,VLOOKUP('Project Details by Yr - MASTER'!$B19,'Public Grounds'!$A$11:$N$49,H$2,0))+IF(ISNA(VLOOKUP('Project Details by Yr - MASTER'!$B19,'Public Buildings'!$A$10:$N$96,H$2,0)),0,VLOOKUP('Project Details by Yr - MASTER'!$B19,'Public Buildings'!$A$10:$N$96,H$2,0))+IF(ISNA(VLOOKUP('Project Details by Yr - MASTER'!$B19,Bridges!$A$9:$N$24,H$2,0)),0,VLOOKUP('Project Details by Yr - MASTER'!$B19,Bridges!$A$9:$N$24,H$2,0))+IF(ISNA(VLOOKUP('Project Details by Yr - MASTER'!$B19,'Parking Lots &amp; Playgrounds'!$A$9:$N$33,H$2,0)),0,VLOOKUP('Project Details by Yr - MASTER'!$B19,'Parking Lots &amp; Playgrounds'!$A$9:$N$33,H$2,0))+IF(ISNA(VLOOKUP($B19,Vehicles!$B$9:$O$50,H$2,0)),0,VLOOKUP($B19,Vehicles!$B$9:$O$50,H$2,0))</f>
        <v>0</v>
      </c>
      <c r="I19" s="8">
        <f>IF(ISNA(VLOOKUP($B19,'Other Capital Needs'!$C$51:$P$95,I$2,0)),0,VLOOKUP($B19,'Other Capital Needs'!$C$51:$P$95,I$2,0))+IF(ISNA(VLOOKUP('Project Details by Yr - MASTER'!$B19,'Public Grounds'!$A$11:$N$49,I$2,0)),0,VLOOKUP('Project Details by Yr - MASTER'!$B19,'Public Grounds'!$A$11:$N$49,I$2,0))+IF(ISNA(VLOOKUP('Project Details by Yr - MASTER'!$B19,'Public Buildings'!$A$10:$N$96,I$2,0)),0,VLOOKUP('Project Details by Yr - MASTER'!$B19,'Public Buildings'!$A$10:$N$96,I$2,0))+IF(ISNA(VLOOKUP('Project Details by Yr - MASTER'!$B19,Bridges!$A$9:$N$24,I$2,0)),0,VLOOKUP('Project Details by Yr - MASTER'!$B19,Bridges!$A$9:$N$24,I$2,0))+IF(ISNA(VLOOKUP('Project Details by Yr - MASTER'!$B19,'Parking Lots &amp; Playgrounds'!$A$9:$N$33,I$2,0)),0,VLOOKUP('Project Details by Yr - MASTER'!$B19,'Parking Lots &amp; Playgrounds'!$A$9:$N$33,I$2,0))+IF(ISNA(VLOOKUP($B19,Vehicles!$B$9:$O$50,I$2,0)),0,VLOOKUP($B19,Vehicles!$B$9:$O$50,I$2,0))</f>
        <v>0</v>
      </c>
      <c r="J19" s="8">
        <f>IF(ISNA(VLOOKUP($B19,'Other Capital Needs'!$C$51:$P$95,J$2,0)),0,VLOOKUP($B19,'Other Capital Needs'!$C$51:$P$95,J$2,0))+IF(ISNA(VLOOKUP('Project Details by Yr - MASTER'!$B19,'Public Grounds'!$A$11:$N$49,J$2,0)),0,VLOOKUP('Project Details by Yr - MASTER'!$B19,'Public Grounds'!$A$11:$N$49,J$2,0))+IF(ISNA(VLOOKUP('Project Details by Yr - MASTER'!$B19,'Public Buildings'!$A$10:$N$96,J$2,0)),0,VLOOKUP('Project Details by Yr - MASTER'!$B19,'Public Buildings'!$A$10:$N$96,J$2,0))+IF(ISNA(VLOOKUP('Project Details by Yr - MASTER'!$B19,Bridges!$A$9:$N$24,J$2,0)),0,VLOOKUP('Project Details by Yr - MASTER'!$B19,Bridges!$A$9:$N$24,J$2,0))+IF(ISNA(VLOOKUP('Project Details by Yr - MASTER'!$B19,'Parking Lots &amp; Playgrounds'!$A$9:$N$33,J$2,0)),0,VLOOKUP('Project Details by Yr - MASTER'!$B19,'Parking Lots &amp; Playgrounds'!$A$9:$N$33,J$2,0))+IF(ISNA(VLOOKUP($B19,Vehicles!$B$9:$O$50,J$2,0)),0,VLOOKUP($B19,Vehicles!$B$9:$O$50,J$2,0))</f>
        <v>0</v>
      </c>
      <c r="K19" s="8">
        <f>IF(ISNA(VLOOKUP($B19,'Other Capital Needs'!$C$51:$P$95,K$2,0)),0,VLOOKUP($B19,'Other Capital Needs'!$C$51:$P$95,K$2,0))+IF(ISNA(VLOOKUP('Project Details by Yr - MASTER'!$B19,'Public Grounds'!$A$11:$N$49,K$2,0)),0,VLOOKUP('Project Details by Yr - MASTER'!$B19,'Public Grounds'!$A$11:$N$49,K$2,0))+IF(ISNA(VLOOKUP('Project Details by Yr - MASTER'!$B19,'Public Buildings'!$A$10:$N$96,K$2,0)),0,VLOOKUP('Project Details by Yr - MASTER'!$B19,'Public Buildings'!$A$10:$N$96,K$2,0))+IF(ISNA(VLOOKUP('Project Details by Yr - MASTER'!$B19,Bridges!$A$9:$N$24,K$2,0)),0,VLOOKUP('Project Details by Yr - MASTER'!$B19,Bridges!$A$9:$N$24,K$2,0))+IF(ISNA(VLOOKUP('Project Details by Yr - MASTER'!$B19,'Parking Lots &amp; Playgrounds'!$A$9:$N$33,K$2,0)),0,VLOOKUP('Project Details by Yr - MASTER'!$B19,'Parking Lots &amp; Playgrounds'!$A$9:$N$33,K$2,0))+IF(ISNA(VLOOKUP($B19,Vehicles!$B$9:$O$50,K$2,0)),0,VLOOKUP($B19,Vehicles!$B$9:$O$50,K$2,0))</f>
        <v>0</v>
      </c>
    </row>
    <row r="20" spans="1:11" x14ac:dyDescent="0.25">
      <c r="A20" s="1">
        <v>31</v>
      </c>
      <c r="B20" t="s">
        <v>102</v>
      </c>
      <c r="C20" t="s">
        <v>101</v>
      </c>
      <c r="D20" t="s">
        <v>271</v>
      </c>
      <c r="E20" s="1" t="s">
        <v>19</v>
      </c>
      <c r="G20" s="8">
        <f>IF(ISNA(VLOOKUP($B20,'Other Capital Needs'!$C$51:$P$95,G$2,0)),0,VLOOKUP($B20,'Other Capital Needs'!$C$51:$P$95,G$2,0))+IF(ISNA(VLOOKUP('Project Details by Yr - MASTER'!$B20,'Public Grounds'!$A$11:$N$49,G$2,0)),0,VLOOKUP('Project Details by Yr - MASTER'!$B20,'Public Grounds'!$A$11:$N$49,G$2,0))+IF(ISNA(VLOOKUP('Project Details by Yr - MASTER'!$B20,'Public Buildings'!$A$10:$N$96,G$2,0)),0,VLOOKUP('Project Details by Yr - MASTER'!$B20,'Public Buildings'!$A$10:$N$96,G$2,0))+IF(ISNA(VLOOKUP('Project Details by Yr - MASTER'!$B20,Bridges!$A$9:$N$24,G$2,0)),0,VLOOKUP('Project Details by Yr - MASTER'!$B20,Bridges!$A$9:$N$24,G$2,0))+IF(ISNA(VLOOKUP('Project Details by Yr - MASTER'!$B20,'Parking Lots &amp; Playgrounds'!$A$9:$N$33,G$2,0)),0,VLOOKUP('Project Details by Yr - MASTER'!$B20,'Parking Lots &amp; Playgrounds'!$A$9:$N$33,G$2,0))+IF(ISNA(VLOOKUP($B20,Vehicles!$B$9:$O$50,G$2,0)),0,VLOOKUP($B20,Vehicles!$B$9:$O$50,G$2,0))</f>
        <v>0</v>
      </c>
      <c r="H20" s="8">
        <f>IF(ISNA(VLOOKUP($B20,'Other Capital Needs'!$C$51:$P$95,H$2,0)),0,VLOOKUP($B20,'Other Capital Needs'!$C$51:$P$95,H$2,0))+IF(ISNA(VLOOKUP('Project Details by Yr - MASTER'!$B20,'Public Grounds'!$A$11:$N$49,H$2,0)),0,VLOOKUP('Project Details by Yr - MASTER'!$B20,'Public Grounds'!$A$11:$N$49,H$2,0))+IF(ISNA(VLOOKUP('Project Details by Yr - MASTER'!$B20,'Public Buildings'!$A$10:$N$96,H$2,0)),0,VLOOKUP('Project Details by Yr - MASTER'!$B20,'Public Buildings'!$A$10:$N$96,H$2,0))+IF(ISNA(VLOOKUP('Project Details by Yr - MASTER'!$B20,Bridges!$A$9:$N$24,H$2,0)),0,VLOOKUP('Project Details by Yr - MASTER'!$B20,Bridges!$A$9:$N$24,H$2,0))+IF(ISNA(VLOOKUP('Project Details by Yr - MASTER'!$B20,'Parking Lots &amp; Playgrounds'!$A$9:$N$33,H$2,0)),0,VLOOKUP('Project Details by Yr - MASTER'!$B20,'Parking Lots &amp; Playgrounds'!$A$9:$N$33,H$2,0))+IF(ISNA(VLOOKUP($B20,Vehicles!$B$9:$O$50,H$2,0)),0,VLOOKUP($B20,Vehicles!$B$9:$O$50,H$2,0))</f>
        <v>0</v>
      </c>
      <c r="I20" s="8">
        <f>IF(ISNA(VLOOKUP($B20,'Other Capital Needs'!$C$51:$P$95,I$2,0)),0,VLOOKUP($B20,'Other Capital Needs'!$C$51:$P$95,I$2,0))+IF(ISNA(VLOOKUP('Project Details by Yr - MASTER'!$B20,'Public Grounds'!$A$11:$N$49,I$2,0)),0,VLOOKUP('Project Details by Yr - MASTER'!$B20,'Public Grounds'!$A$11:$N$49,I$2,0))+IF(ISNA(VLOOKUP('Project Details by Yr - MASTER'!$B20,'Public Buildings'!$A$10:$N$96,I$2,0)),0,VLOOKUP('Project Details by Yr - MASTER'!$B20,'Public Buildings'!$A$10:$N$96,I$2,0))+IF(ISNA(VLOOKUP('Project Details by Yr - MASTER'!$B20,Bridges!$A$9:$N$24,I$2,0)),0,VLOOKUP('Project Details by Yr - MASTER'!$B20,Bridges!$A$9:$N$24,I$2,0))+IF(ISNA(VLOOKUP('Project Details by Yr - MASTER'!$B20,'Parking Lots &amp; Playgrounds'!$A$9:$N$33,I$2,0)),0,VLOOKUP('Project Details by Yr - MASTER'!$B20,'Parking Lots &amp; Playgrounds'!$A$9:$N$33,I$2,0))+IF(ISNA(VLOOKUP($B20,Vehicles!$B$9:$O$50,I$2,0)),0,VLOOKUP($B20,Vehicles!$B$9:$O$50,I$2,0))</f>
        <v>0</v>
      </c>
      <c r="J20" s="8">
        <f>IF(ISNA(VLOOKUP($B20,'Other Capital Needs'!$C$51:$P$95,J$2,0)),0,VLOOKUP($B20,'Other Capital Needs'!$C$51:$P$95,J$2,0))+IF(ISNA(VLOOKUP('Project Details by Yr - MASTER'!$B20,'Public Grounds'!$A$11:$N$49,J$2,0)),0,VLOOKUP('Project Details by Yr - MASTER'!$B20,'Public Grounds'!$A$11:$N$49,J$2,0))+IF(ISNA(VLOOKUP('Project Details by Yr - MASTER'!$B20,'Public Buildings'!$A$10:$N$96,J$2,0)),0,VLOOKUP('Project Details by Yr - MASTER'!$B20,'Public Buildings'!$A$10:$N$96,J$2,0))+IF(ISNA(VLOOKUP('Project Details by Yr - MASTER'!$B20,Bridges!$A$9:$N$24,J$2,0)),0,VLOOKUP('Project Details by Yr - MASTER'!$B20,Bridges!$A$9:$N$24,J$2,0))+IF(ISNA(VLOOKUP('Project Details by Yr - MASTER'!$B20,'Parking Lots &amp; Playgrounds'!$A$9:$N$33,J$2,0)),0,VLOOKUP('Project Details by Yr - MASTER'!$B20,'Parking Lots &amp; Playgrounds'!$A$9:$N$33,J$2,0))+IF(ISNA(VLOOKUP($B20,Vehicles!$B$9:$O$50,J$2,0)),0,VLOOKUP($B20,Vehicles!$B$9:$O$50,J$2,0))</f>
        <v>0</v>
      </c>
      <c r="K20" s="8">
        <f>IF(ISNA(VLOOKUP($B20,'Other Capital Needs'!$C$51:$P$95,K$2,0)),0,VLOOKUP($B20,'Other Capital Needs'!$C$51:$P$95,K$2,0))+IF(ISNA(VLOOKUP('Project Details by Yr - MASTER'!$B20,'Public Grounds'!$A$11:$N$49,K$2,0)),0,VLOOKUP('Project Details by Yr - MASTER'!$B20,'Public Grounds'!$A$11:$N$49,K$2,0))+IF(ISNA(VLOOKUP('Project Details by Yr - MASTER'!$B20,'Public Buildings'!$A$10:$N$96,K$2,0)),0,VLOOKUP('Project Details by Yr - MASTER'!$B20,'Public Buildings'!$A$10:$N$96,K$2,0))+IF(ISNA(VLOOKUP('Project Details by Yr - MASTER'!$B20,Bridges!$A$9:$N$24,K$2,0)),0,VLOOKUP('Project Details by Yr - MASTER'!$B20,Bridges!$A$9:$N$24,K$2,0))+IF(ISNA(VLOOKUP('Project Details by Yr - MASTER'!$B20,'Parking Lots &amp; Playgrounds'!$A$9:$N$33,K$2,0)),0,VLOOKUP('Project Details by Yr - MASTER'!$B20,'Parking Lots &amp; Playgrounds'!$A$9:$N$33,K$2,0))+IF(ISNA(VLOOKUP($B20,Vehicles!$B$9:$O$50,K$2,0)),0,VLOOKUP($B20,Vehicles!$B$9:$O$50,K$2,0))</f>
        <v>0</v>
      </c>
    </row>
    <row r="21" spans="1:11" x14ac:dyDescent="0.25">
      <c r="A21" s="1">
        <v>32</v>
      </c>
      <c r="B21" t="s">
        <v>103</v>
      </c>
      <c r="C21" t="s">
        <v>101</v>
      </c>
      <c r="D21" t="s">
        <v>271</v>
      </c>
      <c r="E21" s="1" t="s">
        <v>19</v>
      </c>
      <c r="G21" s="8">
        <f>IF(ISNA(VLOOKUP($B21,'Other Capital Needs'!$C$51:$P$95,G$2,0)),0,VLOOKUP($B21,'Other Capital Needs'!$C$51:$P$95,G$2,0))+IF(ISNA(VLOOKUP('Project Details by Yr - MASTER'!$B21,'Public Grounds'!$A$11:$N$49,G$2,0)),0,VLOOKUP('Project Details by Yr - MASTER'!$B21,'Public Grounds'!$A$11:$N$49,G$2,0))+IF(ISNA(VLOOKUP('Project Details by Yr - MASTER'!$B21,'Public Buildings'!$A$10:$N$96,G$2,0)),0,VLOOKUP('Project Details by Yr - MASTER'!$B21,'Public Buildings'!$A$10:$N$96,G$2,0))+IF(ISNA(VLOOKUP('Project Details by Yr - MASTER'!$B21,Bridges!$A$9:$N$24,G$2,0)),0,VLOOKUP('Project Details by Yr - MASTER'!$B21,Bridges!$A$9:$N$24,G$2,0))+IF(ISNA(VLOOKUP('Project Details by Yr - MASTER'!$B21,'Parking Lots &amp; Playgrounds'!$A$9:$N$33,G$2,0)),0,VLOOKUP('Project Details by Yr - MASTER'!$B21,'Parking Lots &amp; Playgrounds'!$A$9:$N$33,G$2,0))+IF(ISNA(VLOOKUP($B21,Vehicles!$B$9:$O$50,G$2,0)),0,VLOOKUP($B21,Vehicles!$B$9:$O$50,G$2,0))</f>
        <v>0</v>
      </c>
      <c r="H21" s="8">
        <f>IF(ISNA(VLOOKUP($B21,'Other Capital Needs'!$C$51:$P$95,H$2,0)),0,VLOOKUP($B21,'Other Capital Needs'!$C$51:$P$95,H$2,0))+IF(ISNA(VLOOKUP('Project Details by Yr - MASTER'!$B21,'Public Grounds'!$A$11:$N$49,H$2,0)),0,VLOOKUP('Project Details by Yr - MASTER'!$B21,'Public Grounds'!$A$11:$N$49,H$2,0))+IF(ISNA(VLOOKUP('Project Details by Yr - MASTER'!$B21,'Public Buildings'!$A$10:$N$96,H$2,0)),0,VLOOKUP('Project Details by Yr - MASTER'!$B21,'Public Buildings'!$A$10:$N$96,H$2,0))+IF(ISNA(VLOOKUP('Project Details by Yr - MASTER'!$B21,Bridges!$A$9:$N$24,H$2,0)),0,VLOOKUP('Project Details by Yr - MASTER'!$B21,Bridges!$A$9:$N$24,H$2,0))+IF(ISNA(VLOOKUP('Project Details by Yr - MASTER'!$B21,'Parking Lots &amp; Playgrounds'!$A$9:$N$33,H$2,0)),0,VLOOKUP('Project Details by Yr - MASTER'!$B21,'Parking Lots &amp; Playgrounds'!$A$9:$N$33,H$2,0))+IF(ISNA(VLOOKUP($B21,Vehicles!$B$9:$O$50,H$2,0)),0,VLOOKUP($B21,Vehicles!$B$9:$O$50,H$2,0))</f>
        <v>0</v>
      </c>
      <c r="I21" s="8">
        <f>IF(ISNA(VLOOKUP($B21,'Other Capital Needs'!$C$51:$P$95,I$2,0)),0,VLOOKUP($B21,'Other Capital Needs'!$C$51:$P$95,I$2,0))+IF(ISNA(VLOOKUP('Project Details by Yr - MASTER'!$B21,'Public Grounds'!$A$11:$N$49,I$2,0)),0,VLOOKUP('Project Details by Yr - MASTER'!$B21,'Public Grounds'!$A$11:$N$49,I$2,0))+IF(ISNA(VLOOKUP('Project Details by Yr - MASTER'!$B21,'Public Buildings'!$A$10:$N$96,I$2,0)),0,VLOOKUP('Project Details by Yr - MASTER'!$B21,'Public Buildings'!$A$10:$N$96,I$2,0))+IF(ISNA(VLOOKUP('Project Details by Yr - MASTER'!$B21,Bridges!$A$9:$N$24,I$2,0)),0,VLOOKUP('Project Details by Yr - MASTER'!$B21,Bridges!$A$9:$N$24,I$2,0))+IF(ISNA(VLOOKUP('Project Details by Yr - MASTER'!$B21,'Parking Lots &amp; Playgrounds'!$A$9:$N$33,I$2,0)),0,VLOOKUP('Project Details by Yr - MASTER'!$B21,'Parking Lots &amp; Playgrounds'!$A$9:$N$33,I$2,0))+IF(ISNA(VLOOKUP($B21,Vehicles!$B$9:$O$50,I$2,0)),0,VLOOKUP($B21,Vehicles!$B$9:$O$50,I$2,0))</f>
        <v>0</v>
      </c>
      <c r="J21" s="8">
        <f>IF(ISNA(VLOOKUP($B21,'Other Capital Needs'!$C$51:$P$95,J$2,0)),0,VLOOKUP($B21,'Other Capital Needs'!$C$51:$P$95,J$2,0))+IF(ISNA(VLOOKUP('Project Details by Yr - MASTER'!$B21,'Public Grounds'!$A$11:$N$49,J$2,0)),0,VLOOKUP('Project Details by Yr - MASTER'!$B21,'Public Grounds'!$A$11:$N$49,J$2,0))+IF(ISNA(VLOOKUP('Project Details by Yr - MASTER'!$B21,'Public Buildings'!$A$10:$N$96,J$2,0)),0,VLOOKUP('Project Details by Yr - MASTER'!$B21,'Public Buildings'!$A$10:$N$96,J$2,0))+IF(ISNA(VLOOKUP('Project Details by Yr - MASTER'!$B21,Bridges!$A$9:$N$24,J$2,0)),0,VLOOKUP('Project Details by Yr - MASTER'!$B21,Bridges!$A$9:$N$24,J$2,0))+IF(ISNA(VLOOKUP('Project Details by Yr - MASTER'!$B21,'Parking Lots &amp; Playgrounds'!$A$9:$N$33,J$2,0)),0,VLOOKUP('Project Details by Yr - MASTER'!$B21,'Parking Lots &amp; Playgrounds'!$A$9:$N$33,J$2,0))+IF(ISNA(VLOOKUP($B21,Vehicles!$B$9:$O$50,J$2,0)),0,VLOOKUP($B21,Vehicles!$B$9:$O$50,J$2,0))</f>
        <v>0</v>
      </c>
      <c r="K21" s="8">
        <f>IF(ISNA(VLOOKUP($B21,'Other Capital Needs'!$C$51:$P$95,K$2,0)),0,VLOOKUP($B21,'Other Capital Needs'!$C$51:$P$95,K$2,0))+IF(ISNA(VLOOKUP('Project Details by Yr - MASTER'!$B21,'Public Grounds'!$A$11:$N$49,K$2,0)),0,VLOOKUP('Project Details by Yr - MASTER'!$B21,'Public Grounds'!$A$11:$N$49,K$2,0))+IF(ISNA(VLOOKUP('Project Details by Yr - MASTER'!$B21,'Public Buildings'!$A$10:$N$96,K$2,0)),0,VLOOKUP('Project Details by Yr - MASTER'!$B21,'Public Buildings'!$A$10:$N$96,K$2,0))+IF(ISNA(VLOOKUP('Project Details by Yr - MASTER'!$B21,Bridges!$A$9:$N$24,K$2,0)),0,VLOOKUP('Project Details by Yr - MASTER'!$B21,Bridges!$A$9:$N$24,K$2,0))+IF(ISNA(VLOOKUP('Project Details by Yr - MASTER'!$B21,'Parking Lots &amp; Playgrounds'!$A$9:$N$33,K$2,0)),0,VLOOKUP('Project Details by Yr - MASTER'!$B21,'Parking Lots &amp; Playgrounds'!$A$9:$N$33,K$2,0))+IF(ISNA(VLOOKUP($B21,Vehicles!$B$9:$O$50,K$2,0)),0,VLOOKUP($B21,Vehicles!$B$9:$O$50,K$2,0))</f>
        <v>0</v>
      </c>
    </row>
    <row r="22" spans="1:11" x14ac:dyDescent="0.25">
      <c r="A22" s="1">
        <v>32</v>
      </c>
      <c r="B22" t="s">
        <v>157</v>
      </c>
      <c r="C22" t="s">
        <v>101</v>
      </c>
      <c r="D22" t="s">
        <v>271</v>
      </c>
      <c r="E22" s="1" t="s">
        <v>16</v>
      </c>
      <c r="G22" s="8">
        <f>IF(ISNA(VLOOKUP($B22,'Other Capital Needs'!$C$51:$P$95,G$2,0)),0,VLOOKUP($B22,'Other Capital Needs'!$C$51:$P$95,G$2,0))+IF(ISNA(VLOOKUP('Project Details by Yr - MASTER'!$B22,'Public Grounds'!$A$11:$N$49,G$2,0)),0,VLOOKUP('Project Details by Yr - MASTER'!$B22,'Public Grounds'!$A$11:$N$49,G$2,0))+IF(ISNA(VLOOKUP('Project Details by Yr - MASTER'!$B22,'Public Buildings'!$A$10:$N$96,G$2,0)),0,VLOOKUP('Project Details by Yr - MASTER'!$B22,'Public Buildings'!$A$10:$N$96,G$2,0))+IF(ISNA(VLOOKUP('Project Details by Yr - MASTER'!$B22,Bridges!$A$9:$N$24,G$2,0)),0,VLOOKUP('Project Details by Yr - MASTER'!$B22,Bridges!$A$9:$N$24,G$2,0))+IF(ISNA(VLOOKUP('Project Details by Yr - MASTER'!$B22,'Parking Lots &amp; Playgrounds'!$A$9:$N$33,G$2,0)),0,VLOOKUP('Project Details by Yr - MASTER'!$B22,'Parking Lots &amp; Playgrounds'!$A$9:$N$33,G$2,0))+IF(ISNA(VLOOKUP($B22,Vehicles!$B$9:$O$50,G$2,0)),0,VLOOKUP($B22,Vehicles!$B$9:$O$50,G$2,0))</f>
        <v>0</v>
      </c>
      <c r="H22" s="8">
        <f>IF(ISNA(VLOOKUP($B22,'Other Capital Needs'!$C$51:$P$95,H$2,0)),0,VLOOKUP($B22,'Other Capital Needs'!$C$51:$P$95,H$2,0))+IF(ISNA(VLOOKUP('Project Details by Yr - MASTER'!$B22,'Public Grounds'!$A$11:$N$49,H$2,0)),0,VLOOKUP('Project Details by Yr - MASTER'!$B22,'Public Grounds'!$A$11:$N$49,H$2,0))+IF(ISNA(VLOOKUP('Project Details by Yr - MASTER'!$B22,'Public Buildings'!$A$10:$N$96,H$2,0)),0,VLOOKUP('Project Details by Yr - MASTER'!$B22,'Public Buildings'!$A$10:$N$96,H$2,0))+IF(ISNA(VLOOKUP('Project Details by Yr - MASTER'!$B22,Bridges!$A$9:$N$24,H$2,0)),0,VLOOKUP('Project Details by Yr - MASTER'!$B22,Bridges!$A$9:$N$24,H$2,0))+IF(ISNA(VLOOKUP('Project Details by Yr - MASTER'!$B22,'Parking Lots &amp; Playgrounds'!$A$9:$N$33,H$2,0)),0,VLOOKUP('Project Details by Yr - MASTER'!$B22,'Parking Lots &amp; Playgrounds'!$A$9:$N$33,H$2,0))+IF(ISNA(VLOOKUP($B22,Vehicles!$B$9:$O$50,H$2,0)),0,VLOOKUP($B22,Vehicles!$B$9:$O$50,H$2,0))</f>
        <v>0</v>
      </c>
      <c r="I22" s="8">
        <f>IF(ISNA(VLOOKUP($B22,'Other Capital Needs'!$C$51:$P$95,I$2,0)),0,VLOOKUP($B22,'Other Capital Needs'!$C$51:$P$95,I$2,0))+IF(ISNA(VLOOKUP('Project Details by Yr - MASTER'!$B22,'Public Grounds'!$A$11:$N$49,I$2,0)),0,VLOOKUP('Project Details by Yr - MASTER'!$B22,'Public Grounds'!$A$11:$N$49,I$2,0))+IF(ISNA(VLOOKUP('Project Details by Yr - MASTER'!$B22,'Public Buildings'!$A$10:$N$96,I$2,0)),0,VLOOKUP('Project Details by Yr - MASTER'!$B22,'Public Buildings'!$A$10:$N$96,I$2,0))+IF(ISNA(VLOOKUP('Project Details by Yr - MASTER'!$B22,Bridges!$A$9:$N$24,I$2,0)),0,VLOOKUP('Project Details by Yr - MASTER'!$B22,Bridges!$A$9:$N$24,I$2,0))+IF(ISNA(VLOOKUP('Project Details by Yr - MASTER'!$B22,'Parking Lots &amp; Playgrounds'!$A$9:$N$33,I$2,0)),0,VLOOKUP('Project Details by Yr - MASTER'!$B22,'Parking Lots &amp; Playgrounds'!$A$9:$N$33,I$2,0))+IF(ISNA(VLOOKUP($B22,Vehicles!$B$9:$O$50,I$2,0)),0,VLOOKUP($B22,Vehicles!$B$9:$O$50,I$2,0))</f>
        <v>0</v>
      </c>
      <c r="J22" s="8">
        <f>IF(ISNA(VLOOKUP($B22,'Other Capital Needs'!$C$51:$P$95,J$2,0)),0,VLOOKUP($B22,'Other Capital Needs'!$C$51:$P$95,J$2,0))+IF(ISNA(VLOOKUP('Project Details by Yr - MASTER'!$B22,'Public Grounds'!$A$11:$N$49,J$2,0)),0,VLOOKUP('Project Details by Yr - MASTER'!$B22,'Public Grounds'!$A$11:$N$49,J$2,0))+IF(ISNA(VLOOKUP('Project Details by Yr - MASTER'!$B22,'Public Buildings'!$A$10:$N$96,J$2,0)),0,VLOOKUP('Project Details by Yr - MASTER'!$B22,'Public Buildings'!$A$10:$N$96,J$2,0))+IF(ISNA(VLOOKUP('Project Details by Yr - MASTER'!$B22,Bridges!$A$9:$N$24,J$2,0)),0,VLOOKUP('Project Details by Yr - MASTER'!$B22,Bridges!$A$9:$N$24,J$2,0))+IF(ISNA(VLOOKUP('Project Details by Yr - MASTER'!$B22,'Parking Lots &amp; Playgrounds'!$A$9:$N$33,J$2,0)),0,VLOOKUP('Project Details by Yr - MASTER'!$B22,'Parking Lots &amp; Playgrounds'!$A$9:$N$33,J$2,0))+IF(ISNA(VLOOKUP($B22,Vehicles!$B$9:$O$50,J$2,0)),0,VLOOKUP($B22,Vehicles!$B$9:$O$50,J$2,0))</f>
        <v>0</v>
      </c>
      <c r="K22" s="8">
        <f>IF(ISNA(VLOOKUP($B22,'Other Capital Needs'!$C$51:$P$95,K$2,0)),0,VLOOKUP($B22,'Other Capital Needs'!$C$51:$P$95,K$2,0))+IF(ISNA(VLOOKUP('Project Details by Yr - MASTER'!$B22,'Public Grounds'!$A$11:$N$49,K$2,0)),0,VLOOKUP('Project Details by Yr - MASTER'!$B22,'Public Grounds'!$A$11:$N$49,K$2,0))+IF(ISNA(VLOOKUP('Project Details by Yr - MASTER'!$B22,'Public Buildings'!$A$10:$N$96,K$2,0)),0,VLOOKUP('Project Details by Yr - MASTER'!$B22,'Public Buildings'!$A$10:$N$96,K$2,0))+IF(ISNA(VLOOKUP('Project Details by Yr - MASTER'!$B22,Bridges!$A$9:$N$24,K$2,0)),0,VLOOKUP('Project Details by Yr - MASTER'!$B22,Bridges!$A$9:$N$24,K$2,0))+IF(ISNA(VLOOKUP('Project Details by Yr - MASTER'!$B22,'Parking Lots &amp; Playgrounds'!$A$9:$N$33,K$2,0)),0,VLOOKUP('Project Details by Yr - MASTER'!$B22,'Parking Lots &amp; Playgrounds'!$A$9:$N$33,K$2,0))+IF(ISNA(VLOOKUP($B22,Vehicles!$B$9:$O$50,K$2,0)),0,VLOOKUP($B22,Vehicles!$B$9:$O$50,K$2,0))</f>
        <v>0</v>
      </c>
    </row>
    <row r="23" spans="1:11" x14ac:dyDescent="0.25">
      <c r="A23" s="1">
        <v>32</v>
      </c>
      <c r="B23" t="s">
        <v>158</v>
      </c>
      <c r="C23" t="s">
        <v>101</v>
      </c>
      <c r="D23" t="s">
        <v>271</v>
      </c>
      <c r="E23" s="1" t="s">
        <v>16</v>
      </c>
      <c r="G23" s="8">
        <f>IF(ISNA(VLOOKUP($B23,'Other Capital Needs'!$C$51:$P$95,G$2,0)),0,VLOOKUP($B23,'Other Capital Needs'!$C$51:$P$95,G$2,0))+IF(ISNA(VLOOKUP('Project Details by Yr - MASTER'!$B23,'Public Grounds'!$A$11:$N$49,G$2,0)),0,VLOOKUP('Project Details by Yr - MASTER'!$B23,'Public Grounds'!$A$11:$N$49,G$2,0))+IF(ISNA(VLOOKUP('Project Details by Yr - MASTER'!$B23,'Public Buildings'!$A$10:$N$96,G$2,0)),0,VLOOKUP('Project Details by Yr - MASTER'!$B23,'Public Buildings'!$A$10:$N$96,G$2,0))+IF(ISNA(VLOOKUP('Project Details by Yr - MASTER'!$B23,Bridges!$A$9:$N$24,G$2,0)),0,VLOOKUP('Project Details by Yr - MASTER'!$B23,Bridges!$A$9:$N$24,G$2,0))+IF(ISNA(VLOOKUP('Project Details by Yr - MASTER'!$B23,'Parking Lots &amp; Playgrounds'!$A$9:$N$33,G$2,0)),0,VLOOKUP('Project Details by Yr - MASTER'!$B23,'Parking Lots &amp; Playgrounds'!$A$9:$N$33,G$2,0))+IF(ISNA(VLOOKUP($B23,Vehicles!$B$9:$O$50,G$2,0)),0,VLOOKUP($B23,Vehicles!$B$9:$O$50,G$2,0))</f>
        <v>0</v>
      </c>
      <c r="H23" s="8">
        <f>IF(ISNA(VLOOKUP($B23,'Other Capital Needs'!$C$51:$P$95,H$2,0)),0,VLOOKUP($B23,'Other Capital Needs'!$C$51:$P$95,H$2,0))+IF(ISNA(VLOOKUP('Project Details by Yr - MASTER'!$B23,'Public Grounds'!$A$11:$N$49,H$2,0)),0,VLOOKUP('Project Details by Yr - MASTER'!$B23,'Public Grounds'!$A$11:$N$49,H$2,0))+IF(ISNA(VLOOKUP('Project Details by Yr - MASTER'!$B23,'Public Buildings'!$A$10:$N$96,H$2,0)),0,VLOOKUP('Project Details by Yr - MASTER'!$B23,'Public Buildings'!$A$10:$N$96,H$2,0))+IF(ISNA(VLOOKUP('Project Details by Yr - MASTER'!$B23,Bridges!$A$9:$N$24,H$2,0)),0,VLOOKUP('Project Details by Yr - MASTER'!$B23,Bridges!$A$9:$N$24,H$2,0))+IF(ISNA(VLOOKUP('Project Details by Yr - MASTER'!$B23,'Parking Lots &amp; Playgrounds'!$A$9:$N$33,H$2,0)),0,VLOOKUP('Project Details by Yr - MASTER'!$B23,'Parking Lots &amp; Playgrounds'!$A$9:$N$33,H$2,0))+IF(ISNA(VLOOKUP($B23,Vehicles!$B$9:$O$50,H$2,0)),0,VLOOKUP($B23,Vehicles!$B$9:$O$50,H$2,0))</f>
        <v>0</v>
      </c>
      <c r="I23" s="8">
        <f>IF(ISNA(VLOOKUP($B23,'Other Capital Needs'!$C$51:$P$95,I$2,0)),0,VLOOKUP($B23,'Other Capital Needs'!$C$51:$P$95,I$2,0))+IF(ISNA(VLOOKUP('Project Details by Yr - MASTER'!$B23,'Public Grounds'!$A$11:$N$49,I$2,0)),0,VLOOKUP('Project Details by Yr - MASTER'!$B23,'Public Grounds'!$A$11:$N$49,I$2,0))+IF(ISNA(VLOOKUP('Project Details by Yr - MASTER'!$B23,'Public Buildings'!$A$10:$N$96,I$2,0)),0,VLOOKUP('Project Details by Yr - MASTER'!$B23,'Public Buildings'!$A$10:$N$96,I$2,0))+IF(ISNA(VLOOKUP('Project Details by Yr - MASTER'!$B23,Bridges!$A$9:$N$24,I$2,0)),0,VLOOKUP('Project Details by Yr - MASTER'!$B23,Bridges!$A$9:$N$24,I$2,0))+IF(ISNA(VLOOKUP('Project Details by Yr - MASTER'!$B23,'Parking Lots &amp; Playgrounds'!$A$9:$N$33,I$2,0)),0,VLOOKUP('Project Details by Yr - MASTER'!$B23,'Parking Lots &amp; Playgrounds'!$A$9:$N$33,I$2,0))+IF(ISNA(VLOOKUP($B23,Vehicles!$B$9:$O$50,I$2,0)),0,VLOOKUP($B23,Vehicles!$B$9:$O$50,I$2,0))</f>
        <v>0</v>
      </c>
      <c r="J23" s="8">
        <f>IF(ISNA(VLOOKUP($B23,'Other Capital Needs'!$C$51:$P$95,J$2,0)),0,VLOOKUP($B23,'Other Capital Needs'!$C$51:$P$95,J$2,0))+IF(ISNA(VLOOKUP('Project Details by Yr - MASTER'!$B23,'Public Grounds'!$A$11:$N$49,J$2,0)),0,VLOOKUP('Project Details by Yr - MASTER'!$B23,'Public Grounds'!$A$11:$N$49,J$2,0))+IF(ISNA(VLOOKUP('Project Details by Yr - MASTER'!$B23,'Public Buildings'!$A$10:$N$96,J$2,0)),0,VLOOKUP('Project Details by Yr - MASTER'!$B23,'Public Buildings'!$A$10:$N$96,J$2,0))+IF(ISNA(VLOOKUP('Project Details by Yr - MASTER'!$B23,Bridges!$A$9:$N$24,J$2,0)),0,VLOOKUP('Project Details by Yr - MASTER'!$B23,Bridges!$A$9:$N$24,J$2,0))+IF(ISNA(VLOOKUP('Project Details by Yr - MASTER'!$B23,'Parking Lots &amp; Playgrounds'!$A$9:$N$33,J$2,0)),0,VLOOKUP('Project Details by Yr - MASTER'!$B23,'Parking Lots &amp; Playgrounds'!$A$9:$N$33,J$2,0))+IF(ISNA(VLOOKUP($B23,Vehicles!$B$9:$O$50,J$2,0)),0,VLOOKUP($B23,Vehicles!$B$9:$O$50,J$2,0))</f>
        <v>0</v>
      </c>
      <c r="K23" s="8">
        <f>IF(ISNA(VLOOKUP($B23,'Other Capital Needs'!$C$51:$P$95,K$2,0)),0,VLOOKUP($B23,'Other Capital Needs'!$C$51:$P$95,K$2,0))+IF(ISNA(VLOOKUP('Project Details by Yr - MASTER'!$B23,'Public Grounds'!$A$11:$N$49,K$2,0)),0,VLOOKUP('Project Details by Yr - MASTER'!$B23,'Public Grounds'!$A$11:$N$49,K$2,0))+IF(ISNA(VLOOKUP('Project Details by Yr - MASTER'!$B23,'Public Buildings'!$A$10:$N$96,K$2,0)),0,VLOOKUP('Project Details by Yr - MASTER'!$B23,'Public Buildings'!$A$10:$N$96,K$2,0))+IF(ISNA(VLOOKUP('Project Details by Yr - MASTER'!$B23,Bridges!$A$9:$N$24,K$2,0)),0,VLOOKUP('Project Details by Yr - MASTER'!$B23,Bridges!$A$9:$N$24,K$2,0))+IF(ISNA(VLOOKUP('Project Details by Yr - MASTER'!$B23,'Parking Lots &amp; Playgrounds'!$A$9:$N$33,K$2,0)),0,VLOOKUP('Project Details by Yr - MASTER'!$B23,'Parking Lots &amp; Playgrounds'!$A$9:$N$33,K$2,0))+IF(ISNA(VLOOKUP($B23,Vehicles!$B$9:$O$50,K$2,0)),0,VLOOKUP($B23,Vehicles!$B$9:$O$50,K$2,0))</f>
        <v>0</v>
      </c>
    </row>
    <row r="24" spans="1:11" x14ac:dyDescent="0.25">
      <c r="A24" s="1">
        <v>32</v>
      </c>
      <c r="B24" t="s">
        <v>159</v>
      </c>
      <c r="C24" t="s">
        <v>101</v>
      </c>
      <c r="D24" t="s">
        <v>271</v>
      </c>
      <c r="E24" s="1" t="s">
        <v>16</v>
      </c>
      <c r="G24" s="8">
        <f>IF(ISNA(VLOOKUP($B24,'Other Capital Needs'!$C$51:$P$95,G$2,0)),0,VLOOKUP($B24,'Other Capital Needs'!$C$51:$P$95,G$2,0))+IF(ISNA(VLOOKUP('Project Details by Yr - MASTER'!$B24,'Public Grounds'!$A$11:$N$49,G$2,0)),0,VLOOKUP('Project Details by Yr - MASTER'!$B24,'Public Grounds'!$A$11:$N$49,G$2,0))+IF(ISNA(VLOOKUP('Project Details by Yr - MASTER'!$B24,'Public Buildings'!$A$10:$N$96,G$2,0)),0,VLOOKUP('Project Details by Yr - MASTER'!$B24,'Public Buildings'!$A$10:$N$96,G$2,0))+IF(ISNA(VLOOKUP('Project Details by Yr - MASTER'!$B24,Bridges!$A$9:$N$24,G$2,0)),0,VLOOKUP('Project Details by Yr - MASTER'!$B24,Bridges!$A$9:$N$24,G$2,0))+IF(ISNA(VLOOKUP('Project Details by Yr - MASTER'!$B24,'Parking Lots &amp; Playgrounds'!$A$9:$N$33,G$2,0)),0,VLOOKUP('Project Details by Yr - MASTER'!$B24,'Parking Lots &amp; Playgrounds'!$A$9:$N$33,G$2,0))+IF(ISNA(VLOOKUP($B24,Vehicles!$B$9:$O$50,G$2,0)),0,VLOOKUP($B24,Vehicles!$B$9:$O$50,G$2,0))</f>
        <v>0</v>
      </c>
      <c r="H24" s="8">
        <f>IF(ISNA(VLOOKUP($B24,'Other Capital Needs'!$C$51:$P$95,H$2,0)),0,VLOOKUP($B24,'Other Capital Needs'!$C$51:$P$95,H$2,0))+IF(ISNA(VLOOKUP('Project Details by Yr - MASTER'!$B24,'Public Grounds'!$A$11:$N$49,H$2,0)),0,VLOOKUP('Project Details by Yr - MASTER'!$B24,'Public Grounds'!$A$11:$N$49,H$2,0))+IF(ISNA(VLOOKUP('Project Details by Yr - MASTER'!$B24,'Public Buildings'!$A$10:$N$96,H$2,0)),0,VLOOKUP('Project Details by Yr - MASTER'!$B24,'Public Buildings'!$A$10:$N$96,H$2,0))+IF(ISNA(VLOOKUP('Project Details by Yr - MASTER'!$B24,Bridges!$A$9:$N$24,H$2,0)),0,VLOOKUP('Project Details by Yr - MASTER'!$B24,Bridges!$A$9:$N$24,H$2,0))+IF(ISNA(VLOOKUP('Project Details by Yr - MASTER'!$B24,'Parking Lots &amp; Playgrounds'!$A$9:$N$33,H$2,0)),0,VLOOKUP('Project Details by Yr - MASTER'!$B24,'Parking Lots &amp; Playgrounds'!$A$9:$N$33,H$2,0))+IF(ISNA(VLOOKUP($B24,Vehicles!$B$9:$O$50,H$2,0)),0,VLOOKUP($B24,Vehicles!$B$9:$O$50,H$2,0))</f>
        <v>0</v>
      </c>
      <c r="I24" s="8">
        <f>IF(ISNA(VLOOKUP($B24,'Other Capital Needs'!$C$51:$P$95,I$2,0)),0,VLOOKUP($B24,'Other Capital Needs'!$C$51:$P$95,I$2,0))+IF(ISNA(VLOOKUP('Project Details by Yr - MASTER'!$B24,'Public Grounds'!$A$11:$N$49,I$2,0)),0,VLOOKUP('Project Details by Yr - MASTER'!$B24,'Public Grounds'!$A$11:$N$49,I$2,0))+IF(ISNA(VLOOKUP('Project Details by Yr - MASTER'!$B24,'Public Buildings'!$A$10:$N$96,I$2,0)),0,VLOOKUP('Project Details by Yr - MASTER'!$B24,'Public Buildings'!$A$10:$N$96,I$2,0))+IF(ISNA(VLOOKUP('Project Details by Yr - MASTER'!$B24,Bridges!$A$9:$N$24,I$2,0)),0,VLOOKUP('Project Details by Yr - MASTER'!$B24,Bridges!$A$9:$N$24,I$2,0))+IF(ISNA(VLOOKUP('Project Details by Yr - MASTER'!$B24,'Parking Lots &amp; Playgrounds'!$A$9:$N$33,I$2,0)),0,VLOOKUP('Project Details by Yr - MASTER'!$B24,'Parking Lots &amp; Playgrounds'!$A$9:$N$33,I$2,0))+IF(ISNA(VLOOKUP($B24,Vehicles!$B$9:$O$50,I$2,0)),0,VLOOKUP($B24,Vehicles!$B$9:$O$50,I$2,0))</f>
        <v>0</v>
      </c>
      <c r="J24" s="8">
        <f>IF(ISNA(VLOOKUP($B24,'Other Capital Needs'!$C$51:$P$95,J$2,0)),0,VLOOKUP($B24,'Other Capital Needs'!$C$51:$P$95,J$2,0))+IF(ISNA(VLOOKUP('Project Details by Yr - MASTER'!$B24,'Public Grounds'!$A$11:$N$49,J$2,0)),0,VLOOKUP('Project Details by Yr - MASTER'!$B24,'Public Grounds'!$A$11:$N$49,J$2,0))+IF(ISNA(VLOOKUP('Project Details by Yr - MASTER'!$B24,'Public Buildings'!$A$10:$N$96,J$2,0)),0,VLOOKUP('Project Details by Yr - MASTER'!$B24,'Public Buildings'!$A$10:$N$96,J$2,0))+IF(ISNA(VLOOKUP('Project Details by Yr - MASTER'!$B24,Bridges!$A$9:$N$24,J$2,0)),0,VLOOKUP('Project Details by Yr - MASTER'!$B24,Bridges!$A$9:$N$24,J$2,0))+IF(ISNA(VLOOKUP('Project Details by Yr - MASTER'!$B24,'Parking Lots &amp; Playgrounds'!$A$9:$N$33,J$2,0)),0,VLOOKUP('Project Details by Yr - MASTER'!$B24,'Parking Lots &amp; Playgrounds'!$A$9:$N$33,J$2,0))+IF(ISNA(VLOOKUP($B24,Vehicles!$B$9:$O$50,J$2,0)),0,VLOOKUP($B24,Vehicles!$B$9:$O$50,J$2,0))</f>
        <v>0</v>
      </c>
      <c r="K24" s="8">
        <f>IF(ISNA(VLOOKUP($B24,'Other Capital Needs'!$C$51:$P$95,K$2,0)),0,VLOOKUP($B24,'Other Capital Needs'!$C$51:$P$95,K$2,0))+IF(ISNA(VLOOKUP('Project Details by Yr - MASTER'!$B24,'Public Grounds'!$A$11:$N$49,K$2,0)),0,VLOOKUP('Project Details by Yr - MASTER'!$B24,'Public Grounds'!$A$11:$N$49,K$2,0))+IF(ISNA(VLOOKUP('Project Details by Yr - MASTER'!$B24,'Public Buildings'!$A$10:$N$96,K$2,0)),0,VLOOKUP('Project Details by Yr - MASTER'!$B24,'Public Buildings'!$A$10:$N$96,K$2,0))+IF(ISNA(VLOOKUP('Project Details by Yr - MASTER'!$B24,Bridges!$A$9:$N$24,K$2,0)),0,VLOOKUP('Project Details by Yr - MASTER'!$B24,Bridges!$A$9:$N$24,K$2,0))+IF(ISNA(VLOOKUP('Project Details by Yr - MASTER'!$B24,'Parking Lots &amp; Playgrounds'!$A$9:$N$33,K$2,0)),0,VLOOKUP('Project Details by Yr - MASTER'!$B24,'Parking Lots &amp; Playgrounds'!$A$9:$N$33,K$2,0))+IF(ISNA(VLOOKUP($B24,Vehicles!$B$9:$O$50,K$2,0)),0,VLOOKUP($B24,Vehicles!$B$9:$O$50,K$2,0))</f>
        <v>0</v>
      </c>
    </row>
    <row r="25" spans="1:11" x14ac:dyDescent="0.25">
      <c r="A25" s="1">
        <v>32</v>
      </c>
      <c r="B25" t="s">
        <v>160</v>
      </c>
      <c r="C25" t="s">
        <v>101</v>
      </c>
      <c r="D25" t="s">
        <v>271</v>
      </c>
      <c r="E25" s="1" t="s">
        <v>16</v>
      </c>
      <c r="G25" s="8">
        <f>IF(ISNA(VLOOKUP($B25,'Other Capital Needs'!$C$51:$P$95,G$2,0)),0,VLOOKUP($B25,'Other Capital Needs'!$C$51:$P$95,G$2,0))+IF(ISNA(VLOOKUP('Project Details by Yr - MASTER'!$B25,'Public Grounds'!$A$11:$N$49,G$2,0)),0,VLOOKUP('Project Details by Yr - MASTER'!$B25,'Public Grounds'!$A$11:$N$49,G$2,0))+IF(ISNA(VLOOKUP('Project Details by Yr - MASTER'!$B25,'Public Buildings'!$A$10:$N$96,G$2,0)),0,VLOOKUP('Project Details by Yr - MASTER'!$B25,'Public Buildings'!$A$10:$N$96,G$2,0))+IF(ISNA(VLOOKUP('Project Details by Yr - MASTER'!$B25,Bridges!$A$9:$N$24,G$2,0)),0,VLOOKUP('Project Details by Yr - MASTER'!$B25,Bridges!$A$9:$N$24,G$2,0))+IF(ISNA(VLOOKUP('Project Details by Yr - MASTER'!$B25,'Parking Lots &amp; Playgrounds'!$A$9:$N$33,G$2,0)),0,VLOOKUP('Project Details by Yr - MASTER'!$B25,'Parking Lots &amp; Playgrounds'!$A$9:$N$33,G$2,0))+IF(ISNA(VLOOKUP($B25,Vehicles!$B$9:$O$50,G$2,0)),0,VLOOKUP($B25,Vehicles!$B$9:$O$50,G$2,0))</f>
        <v>0</v>
      </c>
      <c r="H25" s="8">
        <f>IF(ISNA(VLOOKUP($B25,'Other Capital Needs'!$C$51:$P$95,H$2,0)),0,VLOOKUP($B25,'Other Capital Needs'!$C$51:$P$95,H$2,0))+IF(ISNA(VLOOKUP('Project Details by Yr - MASTER'!$B25,'Public Grounds'!$A$11:$N$49,H$2,0)),0,VLOOKUP('Project Details by Yr - MASTER'!$B25,'Public Grounds'!$A$11:$N$49,H$2,0))+IF(ISNA(VLOOKUP('Project Details by Yr - MASTER'!$B25,'Public Buildings'!$A$10:$N$96,H$2,0)),0,VLOOKUP('Project Details by Yr - MASTER'!$B25,'Public Buildings'!$A$10:$N$96,H$2,0))+IF(ISNA(VLOOKUP('Project Details by Yr - MASTER'!$B25,Bridges!$A$9:$N$24,H$2,0)),0,VLOOKUP('Project Details by Yr - MASTER'!$B25,Bridges!$A$9:$N$24,H$2,0))+IF(ISNA(VLOOKUP('Project Details by Yr - MASTER'!$B25,'Parking Lots &amp; Playgrounds'!$A$9:$N$33,H$2,0)),0,VLOOKUP('Project Details by Yr - MASTER'!$B25,'Parking Lots &amp; Playgrounds'!$A$9:$N$33,H$2,0))+IF(ISNA(VLOOKUP($B25,Vehicles!$B$9:$O$50,H$2,0)),0,VLOOKUP($B25,Vehicles!$B$9:$O$50,H$2,0))</f>
        <v>60000</v>
      </c>
      <c r="I25" s="8">
        <f>IF(ISNA(VLOOKUP($B25,'Other Capital Needs'!$C$51:$P$95,I$2,0)),0,VLOOKUP($B25,'Other Capital Needs'!$C$51:$P$95,I$2,0))+IF(ISNA(VLOOKUP('Project Details by Yr - MASTER'!$B25,'Public Grounds'!$A$11:$N$49,I$2,0)),0,VLOOKUP('Project Details by Yr - MASTER'!$B25,'Public Grounds'!$A$11:$N$49,I$2,0))+IF(ISNA(VLOOKUP('Project Details by Yr - MASTER'!$B25,'Public Buildings'!$A$10:$N$96,I$2,0)),0,VLOOKUP('Project Details by Yr - MASTER'!$B25,'Public Buildings'!$A$10:$N$96,I$2,0))+IF(ISNA(VLOOKUP('Project Details by Yr - MASTER'!$B25,Bridges!$A$9:$N$24,I$2,0)),0,VLOOKUP('Project Details by Yr - MASTER'!$B25,Bridges!$A$9:$N$24,I$2,0))+IF(ISNA(VLOOKUP('Project Details by Yr - MASTER'!$B25,'Parking Lots &amp; Playgrounds'!$A$9:$N$33,I$2,0)),0,VLOOKUP('Project Details by Yr - MASTER'!$B25,'Parking Lots &amp; Playgrounds'!$A$9:$N$33,I$2,0))+IF(ISNA(VLOOKUP($B25,Vehicles!$B$9:$O$50,I$2,0)),0,VLOOKUP($B25,Vehicles!$B$9:$O$50,I$2,0))</f>
        <v>0</v>
      </c>
      <c r="J25" s="8">
        <f>IF(ISNA(VLOOKUP($B25,'Other Capital Needs'!$C$51:$P$95,J$2,0)),0,VLOOKUP($B25,'Other Capital Needs'!$C$51:$P$95,J$2,0))+IF(ISNA(VLOOKUP('Project Details by Yr - MASTER'!$B25,'Public Grounds'!$A$11:$N$49,J$2,0)),0,VLOOKUP('Project Details by Yr - MASTER'!$B25,'Public Grounds'!$A$11:$N$49,J$2,0))+IF(ISNA(VLOOKUP('Project Details by Yr - MASTER'!$B25,'Public Buildings'!$A$10:$N$96,J$2,0)),0,VLOOKUP('Project Details by Yr - MASTER'!$B25,'Public Buildings'!$A$10:$N$96,J$2,0))+IF(ISNA(VLOOKUP('Project Details by Yr - MASTER'!$B25,Bridges!$A$9:$N$24,J$2,0)),0,VLOOKUP('Project Details by Yr - MASTER'!$B25,Bridges!$A$9:$N$24,J$2,0))+IF(ISNA(VLOOKUP('Project Details by Yr - MASTER'!$B25,'Parking Lots &amp; Playgrounds'!$A$9:$N$33,J$2,0)),0,VLOOKUP('Project Details by Yr - MASTER'!$B25,'Parking Lots &amp; Playgrounds'!$A$9:$N$33,J$2,0))+IF(ISNA(VLOOKUP($B25,Vehicles!$B$9:$O$50,J$2,0)),0,VLOOKUP($B25,Vehicles!$B$9:$O$50,J$2,0))</f>
        <v>0</v>
      </c>
      <c r="K25" s="8">
        <f>IF(ISNA(VLOOKUP($B25,'Other Capital Needs'!$C$51:$P$95,K$2,0)),0,VLOOKUP($B25,'Other Capital Needs'!$C$51:$P$95,K$2,0))+IF(ISNA(VLOOKUP('Project Details by Yr - MASTER'!$B25,'Public Grounds'!$A$11:$N$49,K$2,0)),0,VLOOKUP('Project Details by Yr - MASTER'!$B25,'Public Grounds'!$A$11:$N$49,K$2,0))+IF(ISNA(VLOOKUP('Project Details by Yr - MASTER'!$B25,'Public Buildings'!$A$10:$N$96,K$2,0)),0,VLOOKUP('Project Details by Yr - MASTER'!$B25,'Public Buildings'!$A$10:$N$96,K$2,0))+IF(ISNA(VLOOKUP('Project Details by Yr - MASTER'!$B25,Bridges!$A$9:$N$24,K$2,0)),0,VLOOKUP('Project Details by Yr - MASTER'!$B25,Bridges!$A$9:$N$24,K$2,0))+IF(ISNA(VLOOKUP('Project Details by Yr - MASTER'!$B25,'Parking Lots &amp; Playgrounds'!$A$9:$N$33,K$2,0)),0,VLOOKUP('Project Details by Yr - MASTER'!$B25,'Parking Lots &amp; Playgrounds'!$A$9:$N$33,K$2,0))+IF(ISNA(VLOOKUP($B25,Vehicles!$B$9:$O$50,K$2,0)),0,VLOOKUP($B25,Vehicles!$B$9:$O$50,K$2,0))</f>
        <v>0</v>
      </c>
    </row>
    <row r="26" spans="1:11" x14ac:dyDescent="0.25">
      <c r="A26" s="1">
        <v>32</v>
      </c>
      <c r="B26" t="s">
        <v>161</v>
      </c>
      <c r="C26" t="s">
        <v>101</v>
      </c>
      <c r="D26" t="s">
        <v>271</v>
      </c>
      <c r="E26" s="1" t="s">
        <v>16</v>
      </c>
      <c r="G26" s="8">
        <f>IF(ISNA(VLOOKUP($B26,'Other Capital Needs'!$C$51:$P$95,G$2,0)),0,VLOOKUP($B26,'Other Capital Needs'!$C$51:$P$95,G$2,0))+IF(ISNA(VLOOKUP('Project Details by Yr - MASTER'!$B26,'Public Grounds'!$A$11:$N$49,G$2,0)),0,VLOOKUP('Project Details by Yr - MASTER'!$B26,'Public Grounds'!$A$11:$N$49,G$2,0))+IF(ISNA(VLOOKUP('Project Details by Yr - MASTER'!$B26,'Public Buildings'!$A$10:$N$96,G$2,0)),0,VLOOKUP('Project Details by Yr - MASTER'!$B26,'Public Buildings'!$A$10:$N$96,G$2,0))+IF(ISNA(VLOOKUP('Project Details by Yr - MASTER'!$B26,Bridges!$A$9:$N$24,G$2,0)),0,VLOOKUP('Project Details by Yr - MASTER'!$B26,Bridges!$A$9:$N$24,G$2,0))+IF(ISNA(VLOOKUP('Project Details by Yr - MASTER'!$B26,'Parking Lots &amp; Playgrounds'!$A$9:$N$33,G$2,0)),0,VLOOKUP('Project Details by Yr - MASTER'!$B26,'Parking Lots &amp; Playgrounds'!$A$9:$N$33,G$2,0))+IF(ISNA(VLOOKUP($B26,Vehicles!$B$9:$O$50,G$2,0)),0,VLOOKUP($B26,Vehicles!$B$9:$O$50,G$2,0))</f>
        <v>0</v>
      </c>
      <c r="H26" s="8">
        <f>IF(ISNA(VLOOKUP($B26,'Other Capital Needs'!$C$51:$P$95,H$2,0)),0,VLOOKUP($B26,'Other Capital Needs'!$C$51:$P$95,H$2,0))+IF(ISNA(VLOOKUP('Project Details by Yr - MASTER'!$B26,'Public Grounds'!$A$11:$N$49,H$2,0)),0,VLOOKUP('Project Details by Yr - MASTER'!$B26,'Public Grounds'!$A$11:$N$49,H$2,0))+IF(ISNA(VLOOKUP('Project Details by Yr - MASTER'!$B26,'Public Buildings'!$A$10:$N$96,H$2,0)),0,VLOOKUP('Project Details by Yr - MASTER'!$B26,'Public Buildings'!$A$10:$N$96,H$2,0))+IF(ISNA(VLOOKUP('Project Details by Yr - MASTER'!$B26,Bridges!$A$9:$N$24,H$2,0)),0,VLOOKUP('Project Details by Yr - MASTER'!$B26,Bridges!$A$9:$N$24,H$2,0))+IF(ISNA(VLOOKUP('Project Details by Yr - MASTER'!$B26,'Parking Lots &amp; Playgrounds'!$A$9:$N$33,H$2,0)),0,VLOOKUP('Project Details by Yr - MASTER'!$B26,'Parking Lots &amp; Playgrounds'!$A$9:$N$33,H$2,0))+IF(ISNA(VLOOKUP($B26,Vehicles!$B$9:$O$50,H$2,0)),0,VLOOKUP($B26,Vehicles!$B$9:$O$50,H$2,0))</f>
        <v>0</v>
      </c>
      <c r="I26" s="8">
        <f>IF(ISNA(VLOOKUP($B26,'Other Capital Needs'!$C$51:$P$95,I$2,0)),0,VLOOKUP($B26,'Other Capital Needs'!$C$51:$P$95,I$2,0))+IF(ISNA(VLOOKUP('Project Details by Yr - MASTER'!$B26,'Public Grounds'!$A$11:$N$49,I$2,0)),0,VLOOKUP('Project Details by Yr - MASTER'!$B26,'Public Grounds'!$A$11:$N$49,I$2,0))+IF(ISNA(VLOOKUP('Project Details by Yr - MASTER'!$B26,'Public Buildings'!$A$10:$N$96,I$2,0)),0,VLOOKUP('Project Details by Yr - MASTER'!$B26,'Public Buildings'!$A$10:$N$96,I$2,0))+IF(ISNA(VLOOKUP('Project Details by Yr - MASTER'!$B26,Bridges!$A$9:$N$24,I$2,0)),0,VLOOKUP('Project Details by Yr - MASTER'!$B26,Bridges!$A$9:$N$24,I$2,0))+IF(ISNA(VLOOKUP('Project Details by Yr - MASTER'!$B26,'Parking Lots &amp; Playgrounds'!$A$9:$N$33,I$2,0)),0,VLOOKUP('Project Details by Yr - MASTER'!$B26,'Parking Lots &amp; Playgrounds'!$A$9:$N$33,I$2,0))+IF(ISNA(VLOOKUP($B26,Vehicles!$B$9:$O$50,I$2,0)),0,VLOOKUP($B26,Vehicles!$B$9:$O$50,I$2,0))</f>
        <v>0</v>
      </c>
      <c r="J26" s="8">
        <f>IF(ISNA(VLOOKUP($B26,'Other Capital Needs'!$C$51:$P$95,J$2,0)),0,VLOOKUP($B26,'Other Capital Needs'!$C$51:$P$95,J$2,0))+IF(ISNA(VLOOKUP('Project Details by Yr - MASTER'!$B26,'Public Grounds'!$A$11:$N$49,J$2,0)),0,VLOOKUP('Project Details by Yr - MASTER'!$B26,'Public Grounds'!$A$11:$N$49,J$2,0))+IF(ISNA(VLOOKUP('Project Details by Yr - MASTER'!$B26,'Public Buildings'!$A$10:$N$96,J$2,0)),0,VLOOKUP('Project Details by Yr - MASTER'!$B26,'Public Buildings'!$A$10:$N$96,J$2,0))+IF(ISNA(VLOOKUP('Project Details by Yr - MASTER'!$B26,Bridges!$A$9:$N$24,J$2,0)),0,VLOOKUP('Project Details by Yr - MASTER'!$B26,Bridges!$A$9:$N$24,J$2,0))+IF(ISNA(VLOOKUP('Project Details by Yr - MASTER'!$B26,'Parking Lots &amp; Playgrounds'!$A$9:$N$33,J$2,0)),0,VLOOKUP('Project Details by Yr - MASTER'!$B26,'Parking Lots &amp; Playgrounds'!$A$9:$N$33,J$2,0))+IF(ISNA(VLOOKUP($B26,Vehicles!$B$9:$O$50,J$2,0)),0,VLOOKUP($B26,Vehicles!$B$9:$O$50,J$2,0))</f>
        <v>0</v>
      </c>
      <c r="K26" s="8">
        <f>IF(ISNA(VLOOKUP($B26,'Other Capital Needs'!$C$51:$P$95,K$2,0)),0,VLOOKUP($B26,'Other Capital Needs'!$C$51:$P$95,K$2,0))+IF(ISNA(VLOOKUP('Project Details by Yr - MASTER'!$B26,'Public Grounds'!$A$11:$N$49,K$2,0)),0,VLOOKUP('Project Details by Yr - MASTER'!$B26,'Public Grounds'!$A$11:$N$49,K$2,0))+IF(ISNA(VLOOKUP('Project Details by Yr - MASTER'!$B26,'Public Buildings'!$A$10:$N$96,K$2,0)),0,VLOOKUP('Project Details by Yr - MASTER'!$B26,'Public Buildings'!$A$10:$N$96,K$2,0))+IF(ISNA(VLOOKUP('Project Details by Yr - MASTER'!$B26,Bridges!$A$9:$N$24,K$2,0)),0,VLOOKUP('Project Details by Yr - MASTER'!$B26,Bridges!$A$9:$N$24,K$2,0))+IF(ISNA(VLOOKUP('Project Details by Yr - MASTER'!$B26,'Parking Lots &amp; Playgrounds'!$A$9:$N$33,K$2,0)),0,VLOOKUP('Project Details by Yr - MASTER'!$B26,'Parking Lots &amp; Playgrounds'!$A$9:$N$33,K$2,0))+IF(ISNA(VLOOKUP($B26,Vehicles!$B$9:$O$50,K$2,0)),0,VLOOKUP($B26,Vehicles!$B$9:$O$50,K$2,0))</f>
        <v>0</v>
      </c>
    </row>
    <row r="27" spans="1:11" x14ac:dyDescent="0.25">
      <c r="A27" s="1">
        <v>32</v>
      </c>
      <c r="B27" t="s">
        <v>162</v>
      </c>
      <c r="C27" t="s">
        <v>101</v>
      </c>
      <c r="D27" t="s">
        <v>271</v>
      </c>
      <c r="E27" s="1" t="s">
        <v>16</v>
      </c>
      <c r="G27" s="8">
        <f>IF(ISNA(VLOOKUP($B27,'Other Capital Needs'!$C$51:$P$95,G$2,0)),0,VLOOKUP($B27,'Other Capital Needs'!$C$51:$P$95,G$2,0))+IF(ISNA(VLOOKUP('Project Details by Yr - MASTER'!$B27,'Public Grounds'!$A$11:$N$49,G$2,0)),0,VLOOKUP('Project Details by Yr - MASTER'!$B27,'Public Grounds'!$A$11:$N$49,G$2,0))+IF(ISNA(VLOOKUP('Project Details by Yr - MASTER'!$B27,'Public Buildings'!$A$10:$N$96,G$2,0)),0,VLOOKUP('Project Details by Yr - MASTER'!$B27,'Public Buildings'!$A$10:$N$96,G$2,0))+IF(ISNA(VLOOKUP('Project Details by Yr - MASTER'!$B27,Bridges!$A$9:$N$24,G$2,0)),0,VLOOKUP('Project Details by Yr - MASTER'!$B27,Bridges!$A$9:$N$24,G$2,0))+IF(ISNA(VLOOKUP('Project Details by Yr - MASTER'!$B27,'Parking Lots &amp; Playgrounds'!$A$9:$N$33,G$2,0)),0,VLOOKUP('Project Details by Yr - MASTER'!$B27,'Parking Lots &amp; Playgrounds'!$A$9:$N$33,G$2,0))+IF(ISNA(VLOOKUP($B27,Vehicles!$B$9:$O$50,G$2,0)),0,VLOOKUP($B27,Vehicles!$B$9:$O$50,G$2,0))</f>
        <v>0</v>
      </c>
      <c r="H27" s="8">
        <f>IF(ISNA(VLOOKUP($B27,'Other Capital Needs'!$C$51:$P$95,H$2,0)),0,VLOOKUP($B27,'Other Capital Needs'!$C$51:$P$95,H$2,0))+IF(ISNA(VLOOKUP('Project Details by Yr - MASTER'!$B27,'Public Grounds'!$A$11:$N$49,H$2,0)),0,VLOOKUP('Project Details by Yr - MASTER'!$B27,'Public Grounds'!$A$11:$N$49,H$2,0))+IF(ISNA(VLOOKUP('Project Details by Yr - MASTER'!$B27,'Public Buildings'!$A$10:$N$96,H$2,0)),0,VLOOKUP('Project Details by Yr - MASTER'!$B27,'Public Buildings'!$A$10:$N$96,H$2,0))+IF(ISNA(VLOOKUP('Project Details by Yr - MASTER'!$B27,Bridges!$A$9:$N$24,H$2,0)),0,VLOOKUP('Project Details by Yr - MASTER'!$B27,Bridges!$A$9:$N$24,H$2,0))+IF(ISNA(VLOOKUP('Project Details by Yr - MASTER'!$B27,'Parking Lots &amp; Playgrounds'!$A$9:$N$33,H$2,0)),0,VLOOKUP('Project Details by Yr - MASTER'!$B27,'Parking Lots &amp; Playgrounds'!$A$9:$N$33,H$2,0))+IF(ISNA(VLOOKUP($B27,Vehicles!$B$9:$O$50,H$2,0)),0,VLOOKUP($B27,Vehicles!$B$9:$O$50,H$2,0))</f>
        <v>0</v>
      </c>
      <c r="I27" s="8">
        <f>IF(ISNA(VLOOKUP($B27,'Other Capital Needs'!$C$51:$P$95,I$2,0)),0,VLOOKUP($B27,'Other Capital Needs'!$C$51:$P$95,I$2,0))+IF(ISNA(VLOOKUP('Project Details by Yr - MASTER'!$B27,'Public Grounds'!$A$11:$N$49,I$2,0)),0,VLOOKUP('Project Details by Yr - MASTER'!$B27,'Public Grounds'!$A$11:$N$49,I$2,0))+IF(ISNA(VLOOKUP('Project Details by Yr - MASTER'!$B27,'Public Buildings'!$A$10:$N$96,I$2,0)),0,VLOOKUP('Project Details by Yr - MASTER'!$B27,'Public Buildings'!$A$10:$N$96,I$2,0))+IF(ISNA(VLOOKUP('Project Details by Yr - MASTER'!$B27,Bridges!$A$9:$N$24,I$2,0)),0,VLOOKUP('Project Details by Yr - MASTER'!$B27,Bridges!$A$9:$N$24,I$2,0))+IF(ISNA(VLOOKUP('Project Details by Yr - MASTER'!$B27,'Parking Lots &amp; Playgrounds'!$A$9:$N$33,I$2,0)),0,VLOOKUP('Project Details by Yr - MASTER'!$B27,'Parking Lots &amp; Playgrounds'!$A$9:$N$33,I$2,0))+IF(ISNA(VLOOKUP($B27,Vehicles!$B$9:$O$50,I$2,0)),0,VLOOKUP($B27,Vehicles!$B$9:$O$50,I$2,0))</f>
        <v>250000</v>
      </c>
      <c r="J27" s="8">
        <f>IF(ISNA(VLOOKUP($B27,'Other Capital Needs'!$C$51:$P$95,J$2,0)),0,VLOOKUP($B27,'Other Capital Needs'!$C$51:$P$95,J$2,0))+IF(ISNA(VLOOKUP('Project Details by Yr - MASTER'!$B27,'Public Grounds'!$A$11:$N$49,J$2,0)),0,VLOOKUP('Project Details by Yr - MASTER'!$B27,'Public Grounds'!$A$11:$N$49,J$2,0))+IF(ISNA(VLOOKUP('Project Details by Yr - MASTER'!$B27,'Public Buildings'!$A$10:$N$96,J$2,0)),0,VLOOKUP('Project Details by Yr - MASTER'!$B27,'Public Buildings'!$A$10:$N$96,J$2,0))+IF(ISNA(VLOOKUP('Project Details by Yr - MASTER'!$B27,Bridges!$A$9:$N$24,J$2,0)),0,VLOOKUP('Project Details by Yr - MASTER'!$B27,Bridges!$A$9:$N$24,J$2,0))+IF(ISNA(VLOOKUP('Project Details by Yr - MASTER'!$B27,'Parking Lots &amp; Playgrounds'!$A$9:$N$33,J$2,0)),0,VLOOKUP('Project Details by Yr - MASTER'!$B27,'Parking Lots &amp; Playgrounds'!$A$9:$N$33,J$2,0))+IF(ISNA(VLOOKUP($B27,Vehicles!$B$9:$O$50,J$2,0)),0,VLOOKUP($B27,Vehicles!$B$9:$O$50,J$2,0))</f>
        <v>0</v>
      </c>
      <c r="K27" s="8">
        <f>IF(ISNA(VLOOKUP($B27,'Other Capital Needs'!$C$51:$P$95,K$2,0)),0,VLOOKUP($B27,'Other Capital Needs'!$C$51:$P$95,K$2,0))+IF(ISNA(VLOOKUP('Project Details by Yr - MASTER'!$B27,'Public Grounds'!$A$11:$N$49,K$2,0)),0,VLOOKUP('Project Details by Yr - MASTER'!$B27,'Public Grounds'!$A$11:$N$49,K$2,0))+IF(ISNA(VLOOKUP('Project Details by Yr - MASTER'!$B27,'Public Buildings'!$A$10:$N$96,K$2,0)),0,VLOOKUP('Project Details by Yr - MASTER'!$B27,'Public Buildings'!$A$10:$N$96,K$2,0))+IF(ISNA(VLOOKUP('Project Details by Yr - MASTER'!$B27,Bridges!$A$9:$N$24,K$2,0)),0,VLOOKUP('Project Details by Yr - MASTER'!$B27,Bridges!$A$9:$N$24,K$2,0))+IF(ISNA(VLOOKUP('Project Details by Yr - MASTER'!$B27,'Parking Lots &amp; Playgrounds'!$A$9:$N$33,K$2,0)),0,VLOOKUP('Project Details by Yr - MASTER'!$B27,'Parking Lots &amp; Playgrounds'!$A$9:$N$33,K$2,0))+IF(ISNA(VLOOKUP($B27,Vehicles!$B$9:$O$50,K$2,0)),0,VLOOKUP($B27,Vehicles!$B$9:$O$50,K$2,0))</f>
        <v>0</v>
      </c>
    </row>
    <row r="28" spans="1:11" x14ac:dyDescent="0.25">
      <c r="A28" s="1">
        <v>32</v>
      </c>
      <c r="B28" t="s">
        <v>163</v>
      </c>
      <c r="C28" t="s">
        <v>101</v>
      </c>
      <c r="D28" t="s">
        <v>271</v>
      </c>
      <c r="E28" s="1" t="s">
        <v>16</v>
      </c>
      <c r="G28" s="8">
        <f>IF(ISNA(VLOOKUP($B28,'Other Capital Needs'!$C$51:$P$95,G$2,0)),0,VLOOKUP($B28,'Other Capital Needs'!$C$51:$P$95,G$2,0))+IF(ISNA(VLOOKUP('Project Details by Yr - MASTER'!$B28,'Public Grounds'!$A$11:$N$49,G$2,0)),0,VLOOKUP('Project Details by Yr - MASTER'!$B28,'Public Grounds'!$A$11:$N$49,G$2,0))+IF(ISNA(VLOOKUP('Project Details by Yr - MASTER'!$B28,'Public Buildings'!$A$10:$N$96,G$2,0)),0,VLOOKUP('Project Details by Yr - MASTER'!$B28,'Public Buildings'!$A$10:$N$96,G$2,0))+IF(ISNA(VLOOKUP('Project Details by Yr - MASTER'!$B28,Bridges!$A$9:$N$24,G$2,0)),0,VLOOKUP('Project Details by Yr - MASTER'!$B28,Bridges!$A$9:$N$24,G$2,0))+IF(ISNA(VLOOKUP('Project Details by Yr - MASTER'!$B28,'Parking Lots &amp; Playgrounds'!$A$9:$N$33,G$2,0)),0,VLOOKUP('Project Details by Yr - MASTER'!$B28,'Parking Lots &amp; Playgrounds'!$A$9:$N$33,G$2,0))+IF(ISNA(VLOOKUP($B28,Vehicles!$B$9:$O$50,G$2,0)),0,VLOOKUP($B28,Vehicles!$B$9:$O$50,G$2,0))</f>
        <v>0</v>
      </c>
      <c r="H28" s="8">
        <f>IF(ISNA(VLOOKUP($B28,'Other Capital Needs'!$C$51:$P$95,H$2,0)),0,VLOOKUP($B28,'Other Capital Needs'!$C$51:$P$95,H$2,0))+IF(ISNA(VLOOKUP('Project Details by Yr - MASTER'!$B28,'Public Grounds'!$A$11:$N$49,H$2,0)),0,VLOOKUP('Project Details by Yr - MASTER'!$B28,'Public Grounds'!$A$11:$N$49,H$2,0))+IF(ISNA(VLOOKUP('Project Details by Yr - MASTER'!$B28,'Public Buildings'!$A$10:$N$96,H$2,0)),0,VLOOKUP('Project Details by Yr - MASTER'!$B28,'Public Buildings'!$A$10:$N$96,H$2,0))+IF(ISNA(VLOOKUP('Project Details by Yr - MASTER'!$B28,Bridges!$A$9:$N$24,H$2,0)),0,VLOOKUP('Project Details by Yr - MASTER'!$B28,Bridges!$A$9:$N$24,H$2,0))+IF(ISNA(VLOOKUP('Project Details by Yr - MASTER'!$B28,'Parking Lots &amp; Playgrounds'!$A$9:$N$33,H$2,0)),0,VLOOKUP('Project Details by Yr - MASTER'!$B28,'Parking Lots &amp; Playgrounds'!$A$9:$N$33,H$2,0))+IF(ISNA(VLOOKUP($B28,Vehicles!$B$9:$O$50,H$2,0)),0,VLOOKUP($B28,Vehicles!$B$9:$O$50,H$2,0))</f>
        <v>0</v>
      </c>
      <c r="I28" s="8">
        <f>IF(ISNA(VLOOKUP($B28,'Other Capital Needs'!$C$51:$P$95,I$2,0)),0,VLOOKUP($B28,'Other Capital Needs'!$C$51:$P$95,I$2,0))+IF(ISNA(VLOOKUP('Project Details by Yr - MASTER'!$B28,'Public Grounds'!$A$11:$N$49,I$2,0)),0,VLOOKUP('Project Details by Yr - MASTER'!$B28,'Public Grounds'!$A$11:$N$49,I$2,0))+IF(ISNA(VLOOKUP('Project Details by Yr - MASTER'!$B28,'Public Buildings'!$A$10:$N$96,I$2,0)),0,VLOOKUP('Project Details by Yr - MASTER'!$B28,'Public Buildings'!$A$10:$N$96,I$2,0))+IF(ISNA(VLOOKUP('Project Details by Yr - MASTER'!$B28,Bridges!$A$9:$N$24,I$2,0)),0,VLOOKUP('Project Details by Yr - MASTER'!$B28,Bridges!$A$9:$N$24,I$2,0))+IF(ISNA(VLOOKUP('Project Details by Yr - MASTER'!$B28,'Parking Lots &amp; Playgrounds'!$A$9:$N$33,I$2,0)),0,VLOOKUP('Project Details by Yr - MASTER'!$B28,'Parking Lots &amp; Playgrounds'!$A$9:$N$33,I$2,0))+IF(ISNA(VLOOKUP($B28,Vehicles!$B$9:$O$50,I$2,0)),0,VLOOKUP($B28,Vehicles!$B$9:$O$50,I$2,0))</f>
        <v>0</v>
      </c>
      <c r="J28" s="8">
        <f>IF(ISNA(VLOOKUP($B28,'Other Capital Needs'!$C$51:$P$95,J$2,0)),0,VLOOKUP($B28,'Other Capital Needs'!$C$51:$P$95,J$2,0))+IF(ISNA(VLOOKUP('Project Details by Yr - MASTER'!$B28,'Public Grounds'!$A$11:$N$49,J$2,0)),0,VLOOKUP('Project Details by Yr - MASTER'!$B28,'Public Grounds'!$A$11:$N$49,J$2,0))+IF(ISNA(VLOOKUP('Project Details by Yr - MASTER'!$B28,'Public Buildings'!$A$10:$N$96,J$2,0)),0,VLOOKUP('Project Details by Yr - MASTER'!$B28,'Public Buildings'!$A$10:$N$96,J$2,0))+IF(ISNA(VLOOKUP('Project Details by Yr - MASTER'!$B28,Bridges!$A$9:$N$24,J$2,0)),0,VLOOKUP('Project Details by Yr - MASTER'!$B28,Bridges!$A$9:$N$24,J$2,0))+IF(ISNA(VLOOKUP('Project Details by Yr - MASTER'!$B28,'Parking Lots &amp; Playgrounds'!$A$9:$N$33,J$2,0)),0,VLOOKUP('Project Details by Yr - MASTER'!$B28,'Parking Lots &amp; Playgrounds'!$A$9:$N$33,J$2,0))+IF(ISNA(VLOOKUP($B28,Vehicles!$B$9:$O$50,J$2,0)),0,VLOOKUP($B28,Vehicles!$B$9:$O$50,J$2,0))</f>
        <v>0</v>
      </c>
      <c r="K28" s="8">
        <f>IF(ISNA(VLOOKUP($B28,'Other Capital Needs'!$C$51:$P$95,K$2,0)),0,VLOOKUP($B28,'Other Capital Needs'!$C$51:$P$95,K$2,0))+IF(ISNA(VLOOKUP('Project Details by Yr - MASTER'!$B28,'Public Grounds'!$A$11:$N$49,K$2,0)),0,VLOOKUP('Project Details by Yr - MASTER'!$B28,'Public Grounds'!$A$11:$N$49,K$2,0))+IF(ISNA(VLOOKUP('Project Details by Yr - MASTER'!$B28,'Public Buildings'!$A$10:$N$96,K$2,0)),0,VLOOKUP('Project Details by Yr - MASTER'!$B28,'Public Buildings'!$A$10:$N$96,K$2,0))+IF(ISNA(VLOOKUP('Project Details by Yr - MASTER'!$B28,Bridges!$A$9:$N$24,K$2,0)),0,VLOOKUP('Project Details by Yr - MASTER'!$B28,Bridges!$A$9:$N$24,K$2,0))+IF(ISNA(VLOOKUP('Project Details by Yr - MASTER'!$B28,'Parking Lots &amp; Playgrounds'!$A$9:$N$33,K$2,0)),0,VLOOKUP('Project Details by Yr - MASTER'!$B28,'Parking Lots &amp; Playgrounds'!$A$9:$N$33,K$2,0))+IF(ISNA(VLOOKUP($B28,Vehicles!$B$9:$O$50,K$2,0)),0,VLOOKUP($B28,Vehicles!$B$9:$O$50,K$2,0))</f>
        <v>0</v>
      </c>
    </row>
    <row r="29" spans="1:11" x14ac:dyDescent="0.25">
      <c r="A29" s="31">
        <v>32</v>
      </c>
      <c r="B29" s="26" t="s">
        <v>164</v>
      </c>
      <c r="C29" t="s">
        <v>101</v>
      </c>
      <c r="D29" t="s">
        <v>271</v>
      </c>
      <c r="E29" s="31" t="s">
        <v>16</v>
      </c>
      <c r="G29" s="8">
        <f>IF(ISNA(VLOOKUP($B29,'Other Capital Needs'!$C$51:$P$95,G$2,0)),0,VLOOKUP($B29,'Other Capital Needs'!$C$51:$P$95,G$2,0))+IF(ISNA(VLOOKUP('Project Details by Yr - MASTER'!$B29,'Public Grounds'!$A$11:$N$49,G$2,0)),0,VLOOKUP('Project Details by Yr - MASTER'!$B29,'Public Grounds'!$A$11:$N$49,G$2,0))+IF(ISNA(VLOOKUP('Project Details by Yr - MASTER'!$B29,'Public Buildings'!$A$10:$N$96,G$2,0)),0,VLOOKUP('Project Details by Yr - MASTER'!$B29,'Public Buildings'!$A$10:$N$96,G$2,0))+IF(ISNA(VLOOKUP('Project Details by Yr - MASTER'!$B29,Bridges!$A$9:$N$24,G$2,0)),0,VLOOKUP('Project Details by Yr - MASTER'!$B29,Bridges!$A$9:$N$24,G$2,0))+IF(ISNA(VLOOKUP('Project Details by Yr - MASTER'!$B29,'Parking Lots &amp; Playgrounds'!$A$9:$N$33,G$2,0)),0,VLOOKUP('Project Details by Yr - MASTER'!$B29,'Parking Lots &amp; Playgrounds'!$A$9:$N$33,G$2,0))+IF(ISNA(VLOOKUP($B29,Vehicles!$B$9:$O$50,G$2,0)),0,VLOOKUP($B29,Vehicles!$B$9:$O$50,G$2,0))</f>
        <v>0</v>
      </c>
      <c r="H29" s="8">
        <f>IF(ISNA(VLOOKUP($B29,'Other Capital Needs'!$C$51:$P$95,H$2,0)),0,VLOOKUP($B29,'Other Capital Needs'!$C$51:$P$95,H$2,0))+IF(ISNA(VLOOKUP('Project Details by Yr - MASTER'!$B29,'Public Grounds'!$A$11:$N$49,H$2,0)),0,VLOOKUP('Project Details by Yr - MASTER'!$B29,'Public Grounds'!$A$11:$N$49,H$2,0))+IF(ISNA(VLOOKUP('Project Details by Yr - MASTER'!$B29,'Public Buildings'!$A$10:$N$96,H$2,0)),0,VLOOKUP('Project Details by Yr - MASTER'!$B29,'Public Buildings'!$A$10:$N$96,H$2,0))+IF(ISNA(VLOOKUP('Project Details by Yr - MASTER'!$B29,Bridges!$A$9:$N$24,H$2,0)),0,VLOOKUP('Project Details by Yr - MASTER'!$B29,Bridges!$A$9:$N$24,H$2,0))+IF(ISNA(VLOOKUP('Project Details by Yr - MASTER'!$B29,'Parking Lots &amp; Playgrounds'!$A$9:$N$33,H$2,0)),0,VLOOKUP('Project Details by Yr - MASTER'!$B29,'Parking Lots &amp; Playgrounds'!$A$9:$N$33,H$2,0))+IF(ISNA(VLOOKUP($B29,Vehicles!$B$9:$O$50,H$2,0)),0,VLOOKUP($B29,Vehicles!$B$9:$O$50,H$2,0))</f>
        <v>0</v>
      </c>
      <c r="I29" s="8">
        <f>IF(ISNA(VLOOKUP($B29,'Other Capital Needs'!$C$51:$P$95,I$2,0)),0,VLOOKUP($B29,'Other Capital Needs'!$C$51:$P$95,I$2,0))+IF(ISNA(VLOOKUP('Project Details by Yr - MASTER'!$B29,'Public Grounds'!$A$11:$N$49,I$2,0)),0,VLOOKUP('Project Details by Yr - MASTER'!$B29,'Public Grounds'!$A$11:$N$49,I$2,0))+IF(ISNA(VLOOKUP('Project Details by Yr - MASTER'!$B29,'Public Buildings'!$A$10:$N$96,I$2,0)),0,VLOOKUP('Project Details by Yr - MASTER'!$B29,'Public Buildings'!$A$10:$N$96,I$2,0))+IF(ISNA(VLOOKUP('Project Details by Yr - MASTER'!$B29,Bridges!$A$9:$N$24,I$2,0)),0,VLOOKUP('Project Details by Yr - MASTER'!$B29,Bridges!$A$9:$N$24,I$2,0))+IF(ISNA(VLOOKUP('Project Details by Yr - MASTER'!$B29,'Parking Lots &amp; Playgrounds'!$A$9:$N$33,I$2,0)),0,VLOOKUP('Project Details by Yr - MASTER'!$B29,'Parking Lots &amp; Playgrounds'!$A$9:$N$33,I$2,0))+IF(ISNA(VLOOKUP($B29,Vehicles!$B$9:$O$50,I$2,0)),0,VLOOKUP($B29,Vehicles!$B$9:$O$50,I$2,0))</f>
        <v>0</v>
      </c>
      <c r="J29" s="8">
        <f>IF(ISNA(VLOOKUP($B29,'Other Capital Needs'!$C$51:$P$95,J$2,0)),0,VLOOKUP($B29,'Other Capital Needs'!$C$51:$P$95,J$2,0))+IF(ISNA(VLOOKUP('Project Details by Yr - MASTER'!$B29,'Public Grounds'!$A$11:$N$49,J$2,0)),0,VLOOKUP('Project Details by Yr - MASTER'!$B29,'Public Grounds'!$A$11:$N$49,J$2,0))+IF(ISNA(VLOOKUP('Project Details by Yr - MASTER'!$B29,'Public Buildings'!$A$10:$N$96,J$2,0)),0,VLOOKUP('Project Details by Yr - MASTER'!$B29,'Public Buildings'!$A$10:$N$96,J$2,0))+IF(ISNA(VLOOKUP('Project Details by Yr - MASTER'!$B29,Bridges!$A$9:$N$24,J$2,0)),0,VLOOKUP('Project Details by Yr - MASTER'!$B29,Bridges!$A$9:$N$24,J$2,0))+IF(ISNA(VLOOKUP('Project Details by Yr - MASTER'!$B29,'Parking Lots &amp; Playgrounds'!$A$9:$N$33,J$2,0)),0,VLOOKUP('Project Details by Yr - MASTER'!$B29,'Parking Lots &amp; Playgrounds'!$A$9:$N$33,J$2,0))+IF(ISNA(VLOOKUP($B29,Vehicles!$B$9:$O$50,J$2,0)),0,VLOOKUP($B29,Vehicles!$B$9:$O$50,J$2,0))</f>
        <v>0</v>
      </c>
      <c r="K29" s="8">
        <f>IF(ISNA(VLOOKUP($B29,'Other Capital Needs'!$C$51:$P$95,K$2,0)),0,VLOOKUP($B29,'Other Capital Needs'!$C$51:$P$95,K$2,0))+IF(ISNA(VLOOKUP('Project Details by Yr - MASTER'!$B29,'Public Grounds'!$A$11:$N$49,K$2,0)),0,VLOOKUP('Project Details by Yr - MASTER'!$B29,'Public Grounds'!$A$11:$N$49,K$2,0))+IF(ISNA(VLOOKUP('Project Details by Yr - MASTER'!$B29,'Public Buildings'!$A$10:$N$96,K$2,0)),0,VLOOKUP('Project Details by Yr - MASTER'!$B29,'Public Buildings'!$A$10:$N$96,K$2,0))+IF(ISNA(VLOOKUP('Project Details by Yr - MASTER'!$B29,Bridges!$A$9:$N$24,K$2,0)),0,VLOOKUP('Project Details by Yr - MASTER'!$B29,Bridges!$A$9:$N$24,K$2,0))+IF(ISNA(VLOOKUP('Project Details by Yr - MASTER'!$B29,'Parking Lots &amp; Playgrounds'!$A$9:$N$33,K$2,0)),0,VLOOKUP('Project Details by Yr - MASTER'!$B29,'Parking Lots &amp; Playgrounds'!$A$9:$N$33,K$2,0))+IF(ISNA(VLOOKUP($B29,Vehicles!$B$9:$O$50,K$2,0)),0,VLOOKUP($B29,Vehicles!$B$9:$O$50,K$2,0))</f>
        <v>0</v>
      </c>
    </row>
    <row r="30" spans="1:11" x14ac:dyDescent="0.25">
      <c r="A30" s="31">
        <v>32</v>
      </c>
      <c r="B30" s="26" t="s">
        <v>165</v>
      </c>
      <c r="C30" t="s">
        <v>101</v>
      </c>
      <c r="D30" t="s">
        <v>271</v>
      </c>
      <c r="E30" s="31" t="s">
        <v>16</v>
      </c>
      <c r="G30" s="8">
        <f>IF(ISNA(VLOOKUP($B30,'Other Capital Needs'!$C$51:$P$95,G$2,0)),0,VLOOKUP($B30,'Other Capital Needs'!$C$51:$P$95,G$2,0))+IF(ISNA(VLOOKUP('Project Details by Yr - MASTER'!$B30,'Public Grounds'!$A$11:$N$49,G$2,0)),0,VLOOKUP('Project Details by Yr - MASTER'!$B30,'Public Grounds'!$A$11:$N$49,G$2,0))+IF(ISNA(VLOOKUP('Project Details by Yr - MASTER'!$B30,'Public Buildings'!$A$10:$N$96,G$2,0)),0,VLOOKUP('Project Details by Yr - MASTER'!$B30,'Public Buildings'!$A$10:$N$96,G$2,0))+IF(ISNA(VLOOKUP('Project Details by Yr - MASTER'!$B30,Bridges!$A$9:$N$24,G$2,0)),0,VLOOKUP('Project Details by Yr - MASTER'!$B30,Bridges!$A$9:$N$24,G$2,0))+IF(ISNA(VLOOKUP('Project Details by Yr - MASTER'!$B30,'Parking Lots &amp; Playgrounds'!$A$9:$N$33,G$2,0)),0,VLOOKUP('Project Details by Yr - MASTER'!$B30,'Parking Lots &amp; Playgrounds'!$A$9:$N$33,G$2,0))+IF(ISNA(VLOOKUP($B30,Vehicles!$B$9:$O$50,G$2,0)),0,VLOOKUP($B30,Vehicles!$B$9:$O$50,G$2,0))</f>
        <v>0</v>
      </c>
      <c r="H30" s="8">
        <f>IF(ISNA(VLOOKUP($B30,'Other Capital Needs'!$C$51:$P$95,H$2,0)),0,VLOOKUP($B30,'Other Capital Needs'!$C$51:$P$95,H$2,0))+IF(ISNA(VLOOKUP('Project Details by Yr - MASTER'!$B30,'Public Grounds'!$A$11:$N$49,H$2,0)),0,VLOOKUP('Project Details by Yr - MASTER'!$B30,'Public Grounds'!$A$11:$N$49,H$2,0))+IF(ISNA(VLOOKUP('Project Details by Yr - MASTER'!$B30,'Public Buildings'!$A$10:$N$96,H$2,0)),0,VLOOKUP('Project Details by Yr - MASTER'!$B30,'Public Buildings'!$A$10:$N$96,H$2,0))+IF(ISNA(VLOOKUP('Project Details by Yr - MASTER'!$B30,Bridges!$A$9:$N$24,H$2,0)),0,VLOOKUP('Project Details by Yr - MASTER'!$B30,Bridges!$A$9:$N$24,H$2,0))+IF(ISNA(VLOOKUP('Project Details by Yr - MASTER'!$B30,'Parking Lots &amp; Playgrounds'!$A$9:$N$33,H$2,0)),0,VLOOKUP('Project Details by Yr - MASTER'!$B30,'Parking Lots &amp; Playgrounds'!$A$9:$N$33,H$2,0))+IF(ISNA(VLOOKUP($B30,Vehicles!$B$9:$O$50,H$2,0)),0,VLOOKUP($B30,Vehicles!$B$9:$O$50,H$2,0))</f>
        <v>0</v>
      </c>
      <c r="I30" s="8">
        <f>IF(ISNA(VLOOKUP($B30,'Other Capital Needs'!$C$51:$P$95,I$2,0)),0,VLOOKUP($B30,'Other Capital Needs'!$C$51:$P$95,I$2,0))+IF(ISNA(VLOOKUP('Project Details by Yr - MASTER'!$B30,'Public Grounds'!$A$11:$N$49,I$2,0)),0,VLOOKUP('Project Details by Yr - MASTER'!$B30,'Public Grounds'!$A$11:$N$49,I$2,0))+IF(ISNA(VLOOKUP('Project Details by Yr - MASTER'!$B30,'Public Buildings'!$A$10:$N$96,I$2,0)),0,VLOOKUP('Project Details by Yr - MASTER'!$B30,'Public Buildings'!$A$10:$N$96,I$2,0))+IF(ISNA(VLOOKUP('Project Details by Yr - MASTER'!$B30,Bridges!$A$9:$N$24,I$2,0)),0,VLOOKUP('Project Details by Yr - MASTER'!$B30,Bridges!$A$9:$N$24,I$2,0))+IF(ISNA(VLOOKUP('Project Details by Yr - MASTER'!$B30,'Parking Lots &amp; Playgrounds'!$A$9:$N$33,I$2,0)),0,VLOOKUP('Project Details by Yr - MASTER'!$B30,'Parking Lots &amp; Playgrounds'!$A$9:$N$33,I$2,0))+IF(ISNA(VLOOKUP($B30,Vehicles!$B$9:$O$50,I$2,0)),0,VLOOKUP($B30,Vehicles!$B$9:$O$50,I$2,0))</f>
        <v>0</v>
      </c>
      <c r="J30" s="8">
        <f>IF(ISNA(VLOOKUP($B30,'Other Capital Needs'!$C$51:$P$95,J$2,0)),0,VLOOKUP($B30,'Other Capital Needs'!$C$51:$P$95,J$2,0))+IF(ISNA(VLOOKUP('Project Details by Yr - MASTER'!$B30,'Public Grounds'!$A$11:$N$49,J$2,0)),0,VLOOKUP('Project Details by Yr - MASTER'!$B30,'Public Grounds'!$A$11:$N$49,J$2,0))+IF(ISNA(VLOOKUP('Project Details by Yr - MASTER'!$B30,'Public Buildings'!$A$10:$N$96,J$2,0)),0,VLOOKUP('Project Details by Yr - MASTER'!$B30,'Public Buildings'!$A$10:$N$96,J$2,0))+IF(ISNA(VLOOKUP('Project Details by Yr - MASTER'!$B30,Bridges!$A$9:$N$24,J$2,0)),0,VLOOKUP('Project Details by Yr - MASTER'!$B30,Bridges!$A$9:$N$24,J$2,0))+IF(ISNA(VLOOKUP('Project Details by Yr - MASTER'!$B30,'Parking Lots &amp; Playgrounds'!$A$9:$N$33,J$2,0)),0,VLOOKUP('Project Details by Yr - MASTER'!$B30,'Parking Lots &amp; Playgrounds'!$A$9:$N$33,J$2,0))+IF(ISNA(VLOOKUP($B30,Vehicles!$B$9:$O$50,J$2,0)),0,VLOOKUP($B30,Vehicles!$B$9:$O$50,J$2,0))</f>
        <v>0</v>
      </c>
      <c r="K30" s="8">
        <f>IF(ISNA(VLOOKUP($B30,'Other Capital Needs'!$C$51:$P$95,K$2,0)),0,VLOOKUP($B30,'Other Capital Needs'!$C$51:$P$95,K$2,0))+IF(ISNA(VLOOKUP('Project Details by Yr - MASTER'!$B30,'Public Grounds'!$A$11:$N$49,K$2,0)),0,VLOOKUP('Project Details by Yr - MASTER'!$B30,'Public Grounds'!$A$11:$N$49,K$2,0))+IF(ISNA(VLOOKUP('Project Details by Yr - MASTER'!$B30,'Public Buildings'!$A$10:$N$96,K$2,0)),0,VLOOKUP('Project Details by Yr - MASTER'!$B30,'Public Buildings'!$A$10:$N$96,K$2,0))+IF(ISNA(VLOOKUP('Project Details by Yr - MASTER'!$B30,Bridges!$A$9:$N$24,K$2,0)),0,VLOOKUP('Project Details by Yr - MASTER'!$B30,Bridges!$A$9:$N$24,K$2,0))+IF(ISNA(VLOOKUP('Project Details by Yr - MASTER'!$B30,'Parking Lots &amp; Playgrounds'!$A$9:$N$33,K$2,0)),0,VLOOKUP('Project Details by Yr - MASTER'!$B30,'Parking Lots &amp; Playgrounds'!$A$9:$N$33,K$2,0))+IF(ISNA(VLOOKUP($B30,Vehicles!$B$9:$O$50,K$2,0)),0,VLOOKUP($B30,Vehicles!$B$9:$O$50,K$2,0))</f>
        <v>0</v>
      </c>
    </row>
    <row r="31" spans="1:11" x14ac:dyDescent="0.25">
      <c r="A31" s="31">
        <v>32</v>
      </c>
      <c r="B31" s="26" t="s">
        <v>166</v>
      </c>
      <c r="C31" t="s">
        <v>101</v>
      </c>
      <c r="D31" t="s">
        <v>271</v>
      </c>
      <c r="E31" s="31" t="s">
        <v>16</v>
      </c>
      <c r="G31" s="8">
        <f>IF(ISNA(VLOOKUP($B31,'Other Capital Needs'!$C$51:$P$95,G$2,0)),0,VLOOKUP($B31,'Other Capital Needs'!$C$51:$P$95,G$2,0))+IF(ISNA(VLOOKUP('Project Details by Yr - MASTER'!$B31,'Public Grounds'!$A$11:$N$49,G$2,0)),0,VLOOKUP('Project Details by Yr - MASTER'!$B31,'Public Grounds'!$A$11:$N$49,G$2,0))+IF(ISNA(VLOOKUP('Project Details by Yr - MASTER'!$B31,'Public Buildings'!$A$10:$N$96,G$2,0)),0,VLOOKUP('Project Details by Yr - MASTER'!$B31,'Public Buildings'!$A$10:$N$96,G$2,0))+IF(ISNA(VLOOKUP('Project Details by Yr - MASTER'!$B31,Bridges!$A$9:$N$24,G$2,0)),0,VLOOKUP('Project Details by Yr - MASTER'!$B31,Bridges!$A$9:$N$24,G$2,0))+IF(ISNA(VLOOKUP('Project Details by Yr - MASTER'!$B31,'Parking Lots &amp; Playgrounds'!$A$9:$N$33,G$2,0)),0,VLOOKUP('Project Details by Yr - MASTER'!$B31,'Parking Lots &amp; Playgrounds'!$A$9:$N$33,G$2,0))+IF(ISNA(VLOOKUP($B31,Vehicles!$B$9:$O$50,G$2,0)),0,VLOOKUP($B31,Vehicles!$B$9:$O$50,G$2,0))</f>
        <v>0</v>
      </c>
      <c r="H31" s="8">
        <f>IF(ISNA(VLOOKUP($B31,'Other Capital Needs'!$C$51:$P$95,H$2,0)),0,VLOOKUP($B31,'Other Capital Needs'!$C$51:$P$95,H$2,0))+IF(ISNA(VLOOKUP('Project Details by Yr - MASTER'!$B31,'Public Grounds'!$A$11:$N$49,H$2,0)),0,VLOOKUP('Project Details by Yr - MASTER'!$B31,'Public Grounds'!$A$11:$N$49,H$2,0))+IF(ISNA(VLOOKUP('Project Details by Yr - MASTER'!$B31,'Public Buildings'!$A$10:$N$96,H$2,0)),0,VLOOKUP('Project Details by Yr - MASTER'!$B31,'Public Buildings'!$A$10:$N$96,H$2,0))+IF(ISNA(VLOOKUP('Project Details by Yr - MASTER'!$B31,Bridges!$A$9:$N$24,H$2,0)),0,VLOOKUP('Project Details by Yr - MASTER'!$B31,Bridges!$A$9:$N$24,H$2,0))+IF(ISNA(VLOOKUP('Project Details by Yr - MASTER'!$B31,'Parking Lots &amp; Playgrounds'!$A$9:$N$33,H$2,0)),0,VLOOKUP('Project Details by Yr - MASTER'!$B31,'Parking Lots &amp; Playgrounds'!$A$9:$N$33,H$2,0))+IF(ISNA(VLOOKUP($B31,Vehicles!$B$9:$O$50,H$2,0)),0,VLOOKUP($B31,Vehicles!$B$9:$O$50,H$2,0))</f>
        <v>0</v>
      </c>
      <c r="I31" s="8">
        <f>IF(ISNA(VLOOKUP($B31,'Other Capital Needs'!$C$51:$P$95,I$2,0)),0,VLOOKUP($B31,'Other Capital Needs'!$C$51:$P$95,I$2,0))+IF(ISNA(VLOOKUP('Project Details by Yr - MASTER'!$B31,'Public Grounds'!$A$11:$N$49,I$2,0)),0,VLOOKUP('Project Details by Yr - MASTER'!$B31,'Public Grounds'!$A$11:$N$49,I$2,0))+IF(ISNA(VLOOKUP('Project Details by Yr - MASTER'!$B31,'Public Buildings'!$A$10:$N$96,I$2,0)),0,VLOOKUP('Project Details by Yr - MASTER'!$B31,'Public Buildings'!$A$10:$N$96,I$2,0))+IF(ISNA(VLOOKUP('Project Details by Yr - MASTER'!$B31,Bridges!$A$9:$N$24,I$2,0)),0,VLOOKUP('Project Details by Yr - MASTER'!$B31,Bridges!$A$9:$N$24,I$2,0))+IF(ISNA(VLOOKUP('Project Details by Yr - MASTER'!$B31,'Parking Lots &amp; Playgrounds'!$A$9:$N$33,I$2,0)),0,VLOOKUP('Project Details by Yr - MASTER'!$B31,'Parking Lots &amp; Playgrounds'!$A$9:$N$33,I$2,0))+IF(ISNA(VLOOKUP($B31,Vehicles!$B$9:$O$50,I$2,0)),0,VLOOKUP($B31,Vehicles!$B$9:$O$50,I$2,0))</f>
        <v>0</v>
      </c>
      <c r="J31" s="8">
        <f>IF(ISNA(VLOOKUP($B31,'Other Capital Needs'!$C$51:$P$95,J$2,0)),0,VLOOKUP($B31,'Other Capital Needs'!$C$51:$P$95,J$2,0))+IF(ISNA(VLOOKUP('Project Details by Yr - MASTER'!$B31,'Public Grounds'!$A$11:$N$49,J$2,0)),0,VLOOKUP('Project Details by Yr - MASTER'!$B31,'Public Grounds'!$A$11:$N$49,J$2,0))+IF(ISNA(VLOOKUP('Project Details by Yr - MASTER'!$B31,'Public Buildings'!$A$10:$N$96,J$2,0)),0,VLOOKUP('Project Details by Yr - MASTER'!$B31,'Public Buildings'!$A$10:$N$96,J$2,0))+IF(ISNA(VLOOKUP('Project Details by Yr - MASTER'!$B31,Bridges!$A$9:$N$24,J$2,0)),0,VLOOKUP('Project Details by Yr - MASTER'!$B31,Bridges!$A$9:$N$24,J$2,0))+IF(ISNA(VLOOKUP('Project Details by Yr - MASTER'!$B31,'Parking Lots &amp; Playgrounds'!$A$9:$N$33,J$2,0)),0,VLOOKUP('Project Details by Yr - MASTER'!$B31,'Parking Lots &amp; Playgrounds'!$A$9:$N$33,J$2,0))+IF(ISNA(VLOOKUP($B31,Vehicles!$B$9:$O$50,J$2,0)),0,VLOOKUP($B31,Vehicles!$B$9:$O$50,J$2,0))</f>
        <v>0</v>
      </c>
      <c r="K31" s="8">
        <f>IF(ISNA(VLOOKUP($B31,'Other Capital Needs'!$C$51:$P$95,K$2,0)),0,VLOOKUP($B31,'Other Capital Needs'!$C$51:$P$95,K$2,0))+IF(ISNA(VLOOKUP('Project Details by Yr - MASTER'!$B31,'Public Grounds'!$A$11:$N$49,K$2,0)),0,VLOOKUP('Project Details by Yr - MASTER'!$B31,'Public Grounds'!$A$11:$N$49,K$2,0))+IF(ISNA(VLOOKUP('Project Details by Yr - MASTER'!$B31,'Public Buildings'!$A$10:$N$96,K$2,0)),0,VLOOKUP('Project Details by Yr - MASTER'!$B31,'Public Buildings'!$A$10:$N$96,K$2,0))+IF(ISNA(VLOOKUP('Project Details by Yr - MASTER'!$B31,Bridges!$A$9:$N$24,K$2,0)),0,VLOOKUP('Project Details by Yr - MASTER'!$B31,Bridges!$A$9:$N$24,K$2,0))+IF(ISNA(VLOOKUP('Project Details by Yr - MASTER'!$B31,'Parking Lots &amp; Playgrounds'!$A$9:$N$33,K$2,0)),0,VLOOKUP('Project Details by Yr - MASTER'!$B31,'Parking Lots &amp; Playgrounds'!$A$9:$N$33,K$2,0))+IF(ISNA(VLOOKUP($B31,Vehicles!$B$9:$O$50,K$2,0)),0,VLOOKUP($B31,Vehicles!$B$9:$O$50,K$2,0))</f>
        <v>0</v>
      </c>
    </row>
    <row r="32" spans="1:11" x14ac:dyDescent="0.25">
      <c r="A32" s="31">
        <v>32</v>
      </c>
      <c r="B32" s="26" t="s">
        <v>167</v>
      </c>
      <c r="C32" t="s">
        <v>101</v>
      </c>
      <c r="D32" t="s">
        <v>271</v>
      </c>
      <c r="E32" s="31" t="s">
        <v>16</v>
      </c>
      <c r="G32" s="8">
        <f>IF(ISNA(VLOOKUP($B32,'Other Capital Needs'!$C$51:$P$95,G$2,0)),0,VLOOKUP($B32,'Other Capital Needs'!$C$51:$P$95,G$2,0))+IF(ISNA(VLOOKUP('Project Details by Yr - MASTER'!$B32,'Public Grounds'!$A$11:$N$49,G$2,0)),0,VLOOKUP('Project Details by Yr - MASTER'!$B32,'Public Grounds'!$A$11:$N$49,G$2,0))+IF(ISNA(VLOOKUP('Project Details by Yr - MASTER'!$B32,'Public Buildings'!$A$10:$N$96,G$2,0)),0,VLOOKUP('Project Details by Yr - MASTER'!$B32,'Public Buildings'!$A$10:$N$96,G$2,0))+IF(ISNA(VLOOKUP('Project Details by Yr - MASTER'!$B32,Bridges!$A$9:$N$24,G$2,0)),0,VLOOKUP('Project Details by Yr - MASTER'!$B32,Bridges!$A$9:$N$24,G$2,0))+IF(ISNA(VLOOKUP('Project Details by Yr - MASTER'!$B32,'Parking Lots &amp; Playgrounds'!$A$9:$N$33,G$2,0)),0,VLOOKUP('Project Details by Yr - MASTER'!$B32,'Parking Lots &amp; Playgrounds'!$A$9:$N$33,G$2,0))+IF(ISNA(VLOOKUP($B32,Vehicles!$B$9:$O$50,G$2,0)),0,VLOOKUP($B32,Vehicles!$B$9:$O$50,G$2,0))</f>
        <v>0</v>
      </c>
      <c r="H32" s="8">
        <f>IF(ISNA(VLOOKUP($B32,'Other Capital Needs'!$C$51:$P$95,H$2,0)),0,VLOOKUP($B32,'Other Capital Needs'!$C$51:$P$95,H$2,0))+IF(ISNA(VLOOKUP('Project Details by Yr - MASTER'!$B32,'Public Grounds'!$A$11:$N$49,H$2,0)),0,VLOOKUP('Project Details by Yr - MASTER'!$B32,'Public Grounds'!$A$11:$N$49,H$2,0))+IF(ISNA(VLOOKUP('Project Details by Yr - MASTER'!$B32,'Public Buildings'!$A$10:$N$96,H$2,0)),0,VLOOKUP('Project Details by Yr - MASTER'!$B32,'Public Buildings'!$A$10:$N$96,H$2,0))+IF(ISNA(VLOOKUP('Project Details by Yr - MASTER'!$B32,Bridges!$A$9:$N$24,H$2,0)),0,VLOOKUP('Project Details by Yr - MASTER'!$B32,Bridges!$A$9:$N$24,H$2,0))+IF(ISNA(VLOOKUP('Project Details by Yr - MASTER'!$B32,'Parking Lots &amp; Playgrounds'!$A$9:$N$33,H$2,0)),0,VLOOKUP('Project Details by Yr - MASTER'!$B32,'Parking Lots &amp; Playgrounds'!$A$9:$N$33,H$2,0))+IF(ISNA(VLOOKUP($B32,Vehicles!$B$9:$O$50,H$2,0)),0,VLOOKUP($B32,Vehicles!$B$9:$O$50,H$2,0))</f>
        <v>0</v>
      </c>
      <c r="I32" s="8">
        <f>IF(ISNA(VLOOKUP($B32,'Other Capital Needs'!$C$51:$P$95,I$2,0)),0,VLOOKUP($B32,'Other Capital Needs'!$C$51:$P$95,I$2,0))+IF(ISNA(VLOOKUP('Project Details by Yr - MASTER'!$B32,'Public Grounds'!$A$11:$N$49,I$2,0)),0,VLOOKUP('Project Details by Yr - MASTER'!$B32,'Public Grounds'!$A$11:$N$49,I$2,0))+IF(ISNA(VLOOKUP('Project Details by Yr - MASTER'!$B32,'Public Buildings'!$A$10:$N$96,I$2,0)),0,VLOOKUP('Project Details by Yr - MASTER'!$B32,'Public Buildings'!$A$10:$N$96,I$2,0))+IF(ISNA(VLOOKUP('Project Details by Yr - MASTER'!$B32,Bridges!$A$9:$N$24,I$2,0)),0,VLOOKUP('Project Details by Yr - MASTER'!$B32,Bridges!$A$9:$N$24,I$2,0))+IF(ISNA(VLOOKUP('Project Details by Yr - MASTER'!$B32,'Parking Lots &amp; Playgrounds'!$A$9:$N$33,I$2,0)),0,VLOOKUP('Project Details by Yr - MASTER'!$B32,'Parking Lots &amp; Playgrounds'!$A$9:$N$33,I$2,0))+IF(ISNA(VLOOKUP($B32,Vehicles!$B$9:$O$50,I$2,0)),0,VLOOKUP($B32,Vehicles!$B$9:$O$50,I$2,0))</f>
        <v>0</v>
      </c>
      <c r="J32" s="8">
        <f>IF(ISNA(VLOOKUP($B32,'Other Capital Needs'!$C$51:$P$95,J$2,0)),0,VLOOKUP($B32,'Other Capital Needs'!$C$51:$P$95,J$2,0))+IF(ISNA(VLOOKUP('Project Details by Yr - MASTER'!$B32,'Public Grounds'!$A$11:$N$49,J$2,0)),0,VLOOKUP('Project Details by Yr - MASTER'!$B32,'Public Grounds'!$A$11:$N$49,J$2,0))+IF(ISNA(VLOOKUP('Project Details by Yr - MASTER'!$B32,'Public Buildings'!$A$10:$N$96,J$2,0)),0,VLOOKUP('Project Details by Yr - MASTER'!$B32,'Public Buildings'!$A$10:$N$96,J$2,0))+IF(ISNA(VLOOKUP('Project Details by Yr - MASTER'!$B32,Bridges!$A$9:$N$24,J$2,0)),0,VLOOKUP('Project Details by Yr - MASTER'!$B32,Bridges!$A$9:$N$24,J$2,0))+IF(ISNA(VLOOKUP('Project Details by Yr - MASTER'!$B32,'Parking Lots &amp; Playgrounds'!$A$9:$N$33,J$2,0)),0,VLOOKUP('Project Details by Yr - MASTER'!$B32,'Parking Lots &amp; Playgrounds'!$A$9:$N$33,J$2,0))+IF(ISNA(VLOOKUP($B32,Vehicles!$B$9:$O$50,J$2,0)),0,VLOOKUP($B32,Vehicles!$B$9:$O$50,J$2,0))</f>
        <v>0</v>
      </c>
      <c r="K32" s="8">
        <f>IF(ISNA(VLOOKUP($B32,'Other Capital Needs'!$C$51:$P$95,K$2,0)),0,VLOOKUP($B32,'Other Capital Needs'!$C$51:$P$95,K$2,0))+IF(ISNA(VLOOKUP('Project Details by Yr - MASTER'!$B32,'Public Grounds'!$A$11:$N$49,K$2,0)),0,VLOOKUP('Project Details by Yr - MASTER'!$B32,'Public Grounds'!$A$11:$N$49,K$2,0))+IF(ISNA(VLOOKUP('Project Details by Yr - MASTER'!$B32,'Public Buildings'!$A$10:$N$96,K$2,0)),0,VLOOKUP('Project Details by Yr - MASTER'!$B32,'Public Buildings'!$A$10:$N$96,K$2,0))+IF(ISNA(VLOOKUP('Project Details by Yr - MASTER'!$B32,Bridges!$A$9:$N$24,K$2,0)),0,VLOOKUP('Project Details by Yr - MASTER'!$B32,Bridges!$A$9:$N$24,K$2,0))+IF(ISNA(VLOOKUP('Project Details by Yr - MASTER'!$B32,'Parking Lots &amp; Playgrounds'!$A$9:$N$33,K$2,0)),0,VLOOKUP('Project Details by Yr - MASTER'!$B32,'Parking Lots &amp; Playgrounds'!$A$9:$N$33,K$2,0))+IF(ISNA(VLOOKUP($B32,Vehicles!$B$9:$O$50,K$2,0)),0,VLOOKUP($B32,Vehicles!$B$9:$O$50,K$2,0))</f>
        <v>0</v>
      </c>
    </row>
    <row r="33" spans="1:11" x14ac:dyDescent="0.25">
      <c r="A33" s="31">
        <v>32</v>
      </c>
      <c r="B33" s="26" t="s">
        <v>168</v>
      </c>
      <c r="C33" t="s">
        <v>101</v>
      </c>
      <c r="D33" t="s">
        <v>271</v>
      </c>
      <c r="E33" s="31" t="s">
        <v>16</v>
      </c>
      <c r="G33" s="8">
        <f>IF(ISNA(VLOOKUP($B33,'Other Capital Needs'!$C$51:$P$95,G$2,0)),0,VLOOKUP($B33,'Other Capital Needs'!$C$51:$P$95,G$2,0))+IF(ISNA(VLOOKUP('Project Details by Yr - MASTER'!$B33,'Public Grounds'!$A$11:$N$49,G$2,0)),0,VLOOKUP('Project Details by Yr - MASTER'!$B33,'Public Grounds'!$A$11:$N$49,G$2,0))+IF(ISNA(VLOOKUP('Project Details by Yr - MASTER'!$B33,'Public Buildings'!$A$10:$N$96,G$2,0)),0,VLOOKUP('Project Details by Yr - MASTER'!$B33,'Public Buildings'!$A$10:$N$96,G$2,0))+IF(ISNA(VLOOKUP('Project Details by Yr - MASTER'!$B33,Bridges!$A$9:$N$24,G$2,0)),0,VLOOKUP('Project Details by Yr - MASTER'!$B33,Bridges!$A$9:$N$24,G$2,0))+IF(ISNA(VLOOKUP('Project Details by Yr - MASTER'!$B33,'Parking Lots &amp; Playgrounds'!$A$9:$N$33,G$2,0)),0,VLOOKUP('Project Details by Yr - MASTER'!$B33,'Parking Lots &amp; Playgrounds'!$A$9:$N$33,G$2,0))+IF(ISNA(VLOOKUP($B33,Vehicles!$B$9:$O$50,G$2,0)),0,VLOOKUP($B33,Vehicles!$B$9:$O$50,G$2,0))</f>
        <v>0</v>
      </c>
      <c r="H33" s="8">
        <f>IF(ISNA(VLOOKUP($B33,'Other Capital Needs'!$C$51:$P$95,H$2,0)),0,VLOOKUP($B33,'Other Capital Needs'!$C$51:$P$95,H$2,0))+IF(ISNA(VLOOKUP('Project Details by Yr - MASTER'!$B33,'Public Grounds'!$A$11:$N$49,H$2,0)),0,VLOOKUP('Project Details by Yr - MASTER'!$B33,'Public Grounds'!$A$11:$N$49,H$2,0))+IF(ISNA(VLOOKUP('Project Details by Yr - MASTER'!$B33,'Public Buildings'!$A$10:$N$96,H$2,0)),0,VLOOKUP('Project Details by Yr - MASTER'!$B33,'Public Buildings'!$A$10:$N$96,H$2,0))+IF(ISNA(VLOOKUP('Project Details by Yr - MASTER'!$B33,Bridges!$A$9:$N$24,H$2,0)),0,VLOOKUP('Project Details by Yr - MASTER'!$B33,Bridges!$A$9:$N$24,H$2,0))+IF(ISNA(VLOOKUP('Project Details by Yr - MASTER'!$B33,'Parking Lots &amp; Playgrounds'!$A$9:$N$33,H$2,0)),0,VLOOKUP('Project Details by Yr - MASTER'!$B33,'Parking Lots &amp; Playgrounds'!$A$9:$N$33,H$2,0))+IF(ISNA(VLOOKUP($B33,Vehicles!$B$9:$O$50,H$2,0)),0,VLOOKUP($B33,Vehicles!$B$9:$O$50,H$2,0))</f>
        <v>0</v>
      </c>
      <c r="I33" s="8">
        <f>IF(ISNA(VLOOKUP($B33,'Other Capital Needs'!$C$51:$P$95,I$2,0)),0,VLOOKUP($B33,'Other Capital Needs'!$C$51:$P$95,I$2,0))+IF(ISNA(VLOOKUP('Project Details by Yr - MASTER'!$B33,'Public Grounds'!$A$11:$N$49,I$2,0)),0,VLOOKUP('Project Details by Yr - MASTER'!$B33,'Public Grounds'!$A$11:$N$49,I$2,0))+IF(ISNA(VLOOKUP('Project Details by Yr - MASTER'!$B33,'Public Buildings'!$A$10:$N$96,I$2,0)),0,VLOOKUP('Project Details by Yr - MASTER'!$B33,'Public Buildings'!$A$10:$N$96,I$2,0))+IF(ISNA(VLOOKUP('Project Details by Yr - MASTER'!$B33,Bridges!$A$9:$N$24,I$2,0)),0,VLOOKUP('Project Details by Yr - MASTER'!$B33,Bridges!$A$9:$N$24,I$2,0))+IF(ISNA(VLOOKUP('Project Details by Yr - MASTER'!$B33,'Parking Lots &amp; Playgrounds'!$A$9:$N$33,I$2,0)),0,VLOOKUP('Project Details by Yr - MASTER'!$B33,'Parking Lots &amp; Playgrounds'!$A$9:$N$33,I$2,0))+IF(ISNA(VLOOKUP($B33,Vehicles!$B$9:$O$50,I$2,0)),0,VLOOKUP($B33,Vehicles!$B$9:$O$50,I$2,0))</f>
        <v>0</v>
      </c>
      <c r="J33" s="8">
        <f>IF(ISNA(VLOOKUP($B33,'Other Capital Needs'!$C$51:$P$95,J$2,0)),0,VLOOKUP($B33,'Other Capital Needs'!$C$51:$P$95,J$2,0))+IF(ISNA(VLOOKUP('Project Details by Yr - MASTER'!$B33,'Public Grounds'!$A$11:$N$49,J$2,0)),0,VLOOKUP('Project Details by Yr - MASTER'!$B33,'Public Grounds'!$A$11:$N$49,J$2,0))+IF(ISNA(VLOOKUP('Project Details by Yr - MASTER'!$B33,'Public Buildings'!$A$10:$N$96,J$2,0)),0,VLOOKUP('Project Details by Yr - MASTER'!$B33,'Public Buildings'!$A$10:$N$96,J$2,0))+IF(ISNA(VLOOKUP('Project Details by Yr - MASTER'!$B33,Bridges!$A$9:$N$24,J$2,0)),0,VLOOKUP('Project Details by Yr - MASTER'!$B33,Bridges!$A$9:$N$24,J$2,0))+IF(ISNA(VLOOKUP('Project Details by Yr - MASTER'!$B33,'Parking Lots &amp; Playgrounds'!$A$9:$N$33,J$2,0)),0,VLOOKUP('Project Details by Yr - MASTER'!$B33,'Parking Lots &amp; Playgrounds'!$A$9:$N$33,J$2,0))+IF(ISNA(VLOOKUP($B33,Vehicles!$B$9:$O$50,J$2,0)),0,VLOOKUP($B33,Vehicles!$B$9:$O$50,J$2,0))</f>
        <v>0</v>
      </c>
      <c r="K33" s="8">
        <f>IF(ISNA(VLOOKUP($B33,'Other Capital Needs'!$C$51:$P$95,K$2,0)),0,VLOOKUP($B33,'Other Capital Needs'!$C$51:$P$95,K$2,0))+IF(ISNA(VLOOKUP('Project Details by Yr - MASTER'!$B33,'Public Grounds'!$A$11:$N$49,K$2,0)),0,VLOOKUP('Project Details by Yr - MASTER'!$B33,'Public Grounds'!$A$11:$N$49,K$2,0))+IF(ISNA(VLOOKUP('Project Details by Yr - MASTER'!$B33,'Public Buildings'!$A$10:$N$96,K$2,0)),0,VLOOKUP('Project Details by Yr - MASTER'!$B33,'Public Buildings'!$A$10:$N$96,K$2,0))+IF(ISNA(VLOOKUP('Project Details by Yr - MASTER'!$B33,Bridges!$A$9:$N$24,K$2,0)),0,VLOOKUP('Project Details by Yr - MASTER'!$B33,Bridges!$A$9:$N$24,K$2,0))+IF(ISNA(VLOOKUP('Project Details by Yr - MASTER'!$B33,'Parking Lots &amp; Playgrounds'!$A$9:$N$33,K$2,0)),0,VLOOKUP('Project Details by Yr - MASTER'!$B33,'Parking Lots &amp; Playgrounds'!$A$9:$N$33,K$2,0))+IF(ISNA(VLOOKUP($B33,Vehicles!$B$9:$O$50,K$2,0)),0,VLOOKUP($B33,Vehicles!$B$9:$O$50,K$2,0))</f>
        <v>0</v>
      </c>
    </row>
    <row r="34" spans="1:11" x14ac:dyDescent="0.25">
      <c r="A34" s="31">
        <v>32</v>
      </c>
      <c r="B34" s="26" t="s">
        <v>169</v>
      </c>
      <c r="C34" t="s">
        <v>101</v>
      </c>
      <c r="D34" t="s">
        <v>271</v>
      </c>
      <c r="E34" s="31" t="s">
        <v>16</v>
      </c>
      <c r="G34" s="8">
        <f>IF(ISNA(VLOOKUP($B34,'Other Capital Needs'!$C$51:$P$95,G$2,0)),0,VLOOKUP($B34,'Other Capital Needs'!$C$51:$P$95,G$2,0))+IF(ISNA(VLOOKUP('Project Details by Yr - MASTER'!$B34,'Public Grounds'!$A$11:$N$49,G$2,0)),0,VLOOKUP('Project Details by Yr - MASTER'!$B34,'Public Grounds'!$A$11:$N$49,G$2,0))+IF(ISNA(VLOOKUP('Project Details by Yr - MASTER'!$B34,'Public Buildings'!$A$10:$N$96,G$2,0)),0,VLOOKUP('Project Details by Yr - MASTER'!$B34,'Public Buildings'!$A$10:$N$96,G$2,0))+IF(ISNA(VLOOKUP('Project Details by Yr - MASTER'!$B34,Bridges!$A$9:$N$24,G$2,0)),0,VLOOKUP('Project Details by Yr - MASTER'!$B34,Bridges!$A$9:$N$24,G$2,0))+IF(ISNA(VLOOKUP('Project Details by Yr - MASTER'!$B34,'Parking Lots &amp; Playgrounds'!$A$9:$N$33,G$2,0)),0,VLOOKUP('Project Details by Yr - MASTER'!$B34,'Parking Lots &amp; Playgrounds'!$A$9:$N$33,G$2,0))+IF(ISNA(VLOOKUP($B34,Vehicles!$B$9:$O$50,G$2,0)),0,VLOOKUP($B34,Vehicles!$B$9:$O$50,G$2,0))</f>
        <v>0</v>
      </c>
      <c r="H34" s="8">
        <f>IF(ISNA(VLOOKUP($B34,'Other Capital Needs'!$C$51:$P$95,H$2,0)),0,VLOOKUP($B34,'Other Capital Needs'!$C$51:$P$95,H$2,0))+IF(ISNA(VLOOKUP('Project Details by Yr - MASTER'!$B34,'Public Grounds'!$A$11:$N$49,H$2,0)),0,VLOOKUP('Project Details by Yr - MASTER'!$B34,'Public Grounds'!$A$11:$N$49,H$2,0))+IF(ISNA(VLOOKUP('Project Details by Yr - MASTER'!$B34,'Public Buildings'!$A$10:$N$96,H$2,0)),0,VLOOKUP('Project Details by Yr - MASTER'!$B34,'Public Buildings'!$A$10:$N$96,H$2,0))+IF(ISNA(VLOOKUP('Project Details by Yr - MASTER'!$B34,Bridges!$A$9:$N$24,H$2,0)),0,VLOOKUP('Project Details by Yr - MASTER'!$B34,Bridges!$A$9:$N$24,H$2,0))+IF(ISNA(VLOOKUP('Project Details by Yr - MASTER'!$B34,'Parking Lots &amp; Playgrounds'!$A$9:$N$33,H$2,0)),0,VLOOKUP('Project Details by Yr - MASTER'!$B34,'Parking Lots &amp; Playgrounds'!$A$9:$N$33,H$2,0))+IF(ISNA(VLOOKUP($B34,Vehicles!$B$9:$O$50,H$2,0)),0,VLOOKUP($B34,Vehicles!$B$9:$O$50,H$2,0))</f>
        <v>0</v>
      </c>
      <c r="I34" s="8">
        <f>IF(ISNA(VLOOKUP($B34,'Other Capital Needs'!$C$51:$P$95,I$2,0)),0,VLOOKUP($B34,'Other Capital Needs'!$C$51:$P$95,I$2,0))+IF(ISNA(VLOOKUP('Project Details by Yr - MASTER'!$B34,'Public Grounds'!$A$11:$N$49,I$2,0)),0,VLOOKUP('Project Details by Yr - MASTER'!$B34,'Public Grounds'!$A$11:$N$49,I$2,0))+IF(ISNA(VLOOKUP('Project Details by Yr - MASTER'!$B34,'Public Buildings'!$A$10:$N$96,I$2,0)),0,VLOOKUP('Project Details by Yr - MASTER'!$B34,'Public Buildings'!$A$10:$N$96,I$2,0))+IF(ISNA(VLOOKUP('Project Details by Yr - MASTER'!$B34,Bridges!$A$9:$N$24,I$2,0)),0,VLOOKUP('Project Details by Yr - MASTER'!$B34,Bridges!$A$9:$N$24,I$2,0))+IF(ISNA(VLOOKUP('Project Details by Yr - MASTER'!$B34,'Parking Lots &amp; Playgrounds'!$A$9:$N$33,I$2,0)),0,VLOOKUP('Project Details by Yr - MASTER'!$B34,'Parking Lots &amp; Playgrounds'!$A$9:$N$33,I$2,0))+IF(ISNA(VLOOKUP($B34,Vehicles!$B$9:$O$50,I$2,0)),0,VLOOKUP($B34,Vehicles!$B$9:$O$50,I$2,0))</f>
        <v>0</v>
      </c>
      <c r="J34" s="8">
        <f>IF(ISNA(VLOOKUP($B34,'Other Capital Needs'!$C$51:$P$95,J$2,0)),0,VLOOKUP($B34,'Other Capital Needs'!$C$51:$P$95,J$2,0))+IF(ISNA(VLOOKUP('Project Details by Yr - MASTER'!$B34,'Public Grounds'!$A$11:$N$49,J$2,0)),0,VLOOKUP('Project Details by Yr - MASTER'!$B34,'Public Grounds'!$A$11:$N$49,J$2,0))+IF(ISNA(VLOOKUP('Project Details by Yr - MASTER'!$B34,'Public Buildings'!$A$10:$N$96,J$2,0)),0,VLOOKUP('Project Details by Yr - MASTER'!$B34,'Public Buildings'!$A$10:$N$96,J$2,0))+IF(ISNA(VLOOKUP('Project Details by Yr - MASTER'!$B34,Bridges!$A$9:$N$24,J$2,0)),0,VLOOKUP('Project Details by Yr - MASTER'!$B34,Bridges!$A$9:$N$24,J$2,0))+IF(ISNA(VLOOKUP('Project Details by Yr - MASTER'!$B34,'Parking Lots &amp; Playgrounds'!$A$9:$N$33,J$2,0)),0,VLOOKUP('Project Details by Yr - MASTER'!$B34,'Parking Lots &amp; Playgrounds'!$A$9:$N$33,J$2,0))+IF(ISNA(VLOOKUP($B34,Vehicles!$B$9:$O$50,J$2,0)),0,VLOOKUP($B34,Vehicles!$B$9:$O$50,J$2,0))</f>
        <v>0</v>
      </c>
      <c r="K34" s="8">
        <f>IF(ISNA(VLOOKUP($B34,'Other Capital Needs'!$C$51:$P$95,K$2,0)),0,VLOOKUP($B34,'Other Capital Needs'!$C$51:$P$95,K$2,0))+IF(ISNA(VLOOKUP('Project Details by Yr - MASTER'!$B34,'Public Grounds'!$A$11:$N$49,K$2,0)),0,VLOOKUP('Project Details by Yr - MASTER'!$B34,'Public Grounds'!$A$11:$N$49,K$2,0))+IF(ISNA(VLOOKUP('Project Details by Yr - MASTER'!$B34,'Public Buildings'!$A$10:$N$96,K$2,0)),0,VLOOKUP('Project Details by Yr - MASTER'!$B34,'Public Buildings'!$A$10:$N$96,K$2,0))+IF(ISNA(VLOOKUP('Project Details by Yr - MASTER'!$B34,Bridges!$A$9:$N$24,K$2,0)),0,VLOOKUP('Project Details by Yr - MASTER'!$B34,Bridges!$A$9:$N$24,K$2,0))+IF(ISNA(VLOOKUP('Project Details by Yr - MASTER'!$B34,'Parking Lots &amp; Playgrounds'!$A$9:$N$33,K$2,0)),0,VLOOKUP('Project Details by Yr - MASTER'!$B34,'Parking Lots &amp; Playgrounds'!$A$9:$N$33,K$2,0))+IF(ISNA(VLOOKUP($B34,Vehicles!$B$9:$O$50,K$2,0)),0,VLOOKUP($B34,Vehicles!$B$9:$O$50,K$2,0))</f>
        <v>0</v>
      </c>
    </row>
    <row r="35" spans="1:11" x14ac:dyDescent="0.25">
      <c r="A35" s="31">
        <v>32</v>
      </c>
      <c r="B35" s="26" t="s">
        <v>170</v>
      </c>
      <c r="C35" t="s">
        <v>101</v>
      </c>
      <c r="D35" t="s">
        <v>271</v>
      </c>
      <c r="E35" s="31" t="s">
        <v>16</v>
      </c>
      <c r="G35" s="8">
        <f>IF(ISNA(VLOOKUP($B35,'Other Capital Needs'!$C$51:$P$95,G$2,0)),0,VLOOKUP($B35,'Other Capital Needs'!$C$51:$P$95,G$2,0))+IF(ISNA(VLOOKUP('Project Details by Yr - MASTER'!$B35,'Public Grounds'!$A$11:$N$49,G$2,0)),0,VLOOKUP('Project Details by Yr - MASTER'!$B35,'Public Grounds'!$A$11:$N$49,G$2,0))+IF(ISNA(VLOOKUP('Project Details by Yr - MASTER'!$B35,'Public Buildings'!$A$10:$N$96,G$2,0)),0,VLOOKUP('Project Details by Yr - MASTER'!$B35,'Public Buildings'!$A$10:$N$96,G$2,0))+IF(ISNA(VLOOKUP('Project Details by Yr - MASTER'!$B35,Bridges!$A$9:$N$24,G$2,0)),0,VLOOKUP('Project Details by Yr - MASTER'!$B35,Bridges!$A$9:$N$24,G$2,0))+IF(ISNA(VLOOKUP('Project Details by Yr - MASTER'!$B35,'Parking Lots &amp; Playgrounds'!$A$9:$N$33,G$2,0)),0,VLOOKUP('Project Details by Yr - MASTER'!$B35,'Parking Lots &amp; Playgrounds'!$A$9:$N$33,G$2,0))+IF(ISNA(VLOOKUP($B35,Vehicles!$B$9:$O$50,G$2,0)),0,VLOOKUP($B35,Vehicles!$B$9:$O$50,G$2,0))</f>
        <v>0</v>
      </c>
      <c r="H35" s="8">
        <f>IF(ISNA(VLOOKUP($B35,'Other Capital Needs'!$C$51:$P$95,H$2,0)),0,VLOOKUP($B35,'Other Capital Needs'!$C$51:$P$95,H$2,0))+IF(ISNA(VLOOKUP('Project Details by Yr - MASTER'!$B35,'Public Grounds'!$A$11:$N$49,H$2,0)),0,VLOOKUP('Project Details by Yr - MASTER'!$B35,'Public Grounds'!$A$11:$N$49,H$2,0))+IF(ISNA(VLOOKUP('Project Details by Yr - MASTER'!$B35,'Public Buildings'!$A$10:$N$96,H$2,0)),0,VLOOKUP('Project Details by Yr - MASTER'!$B35,'Public Buildings'!$A$10:$N$96,H$2,0))+IF(ISNA(VLOOKUP('Project Details by Yr - MASTER'!$B35,Bridges!$A$9:$N$24,H$2,0)),0,VLOOKUP('Project Details by Yr - MASTER'!$B35,Bridges!$A$9:$N$24,H$2,0))+IF(ISNA(VLOOKUP('Project Details by Yr - MASTER'!$B35,'Parking Lots &amp; Playgrounds'!$A$9:$N$33,H$2,0)),0,VLOOKUP('Project Details by Yr - MASTER'!$B35,'Parking Lots &amp; Playgrounds'!$A$9:$N$33,H$2,0))+IF(ISNA(VLOOKUP($B35,Vehicles!$B$9:$O$50,H$2,0)),0,VLOOKUP($B35,Vehicles!$B$9:$O$50,H$2,0))</f>
        <v>0</v>
      </c>
      <c r="I35" s="8">
        <f>IF(ISNA(VLOOKUP($B35,'Other Capital Needs'!$C$51:$P$95,I$2,0)),0,VLOOKUP($B35,'Other Capital Needs'!$C$51:$P$95,I$2,0))+IF(ISNA(VLOOKUP('Project Details by Yr - MASTER'!$B35,'Public Grounds'!$A$11:$N$49,I$2,0)),0,VLOOKUP('Project Details by Yr - MASTER'!$B35,'Public Grounds'!$A$11:$N$49,I$2,0))+IF(ISNA(VLOOKUP('Project Details by Yr - MASTER'!$B35,'Public Buildings'!$A$10:$N$96,I$2,0)),0,VLOOKUP('Project Details by Yr - MASTER'!$B35,'Public Buildings'!$A$10:$N$96,I$2,0))+IF(ISNA(VLOOKUP('Project Details by Yr - MASTER'!$B35,Bridges!$A$9:$N$24,I$2,0)),0,VLOOKUP('Project Details by Yr - MASTER'!$B35,Bridges!$A$9:$N$24,I$2,0))+IF(ISNA(VLOOKUP('Project Details by Yr - MASTER'!$B35,'Parking Lots &amp; Playgrounds'!$A$9:$N$33,I$2,0)),0,VLOOKUP('Project Details by Yr - MASTER'!$B35,'Parking Lots &amp; Playgrounds'!$A$9:$N$33,I$2,0))+IF(ISNA(VLOOKUP($B35,Vehicles!$B$9:$O$50,I$2,0)),0,VLOOKUP($B35,Vehicles!$B$9:$O$50,I$2,0))</f>
        <v>0</v>
      </c>
      <c r="J35" s="8">
        <f>IF(ISNA(VLOOKUP($B35,'Other Capital Needs'!$C$51:$P$95,J$2,0)),0,VLOOKUP($B35,'Other Capital Needs'!$C$51:$P$95,J$2,0))+IF(ISNA(VLOOKUP('Project Details by Yr - MASTER'!$B35,'Public Grounds'!$A$11:$N$49,J$2,0)),0,VLOOKUP('Project Details by Yr - MASTER'!$B35,'Public Grounds'!$A$11:$N$49,J$2,0))+IF(ISNA(VLOOKUP('Project Details by Yr - MASTER'!$B35,'Public Buildings'!$A$10:$N$96,J$2,0)),0,VLOOKUP('Project Details by Yr - MASTER'!$B35,'Public Buildings'!$A$10:$N$96,J$2,0))+IF(ISNA(VLOOKUP('Project Details by Yr - MASTER'!$B35,Bridges!$A$9:$N$24,J$2,0)),0,VLOOKUP('Project Details by Yr - MASTER'!$B35,Bridges!$A$9:$N$24,J$2,0))+IF(ISNA(VLOOKUP('Project Details by Yr - MASTER'!$B35,'Parking Lots &amp; Playgrounds'!$A$9:$N$33,J$2,0)),0,VLOOKUP('Project Details by Yr - MASTER'!$B35,'Parking Lots &amp; Playgrounds'!$A$9:$N$33,J$2,0))+IF(ISNA(VLOOKUP($B35,Vehicles!$B$9:$O$50,J$2,0)),0,VLOOKUP($B35,Vehicles!$B$9:$O$50,J$2,0))</f>
        <v>85000</v>
      </c>
      <c r="K35" s="8">
        <f>IF(ISNA(VLOOKUP($B35,'Other Capital Needs'!$C$51:$P$95,K$2,0)),0,VLOOKUP($B35,'Other Capital Needs'!$C$51:$P$95,K$2,0))+IF(ISNA(VLOOKUP('Project Details by Yr - MASTER'!$B35,'Public Grounds'!$A$11:$N$49,K$2,0)),0,VLOOKUP('Project Details by Yr - MASTER'!$B35,'Public Grounds'!$A$11:$N$49,K$2,0))+IF(ISNA(VLOOKUP('Project Details by Yr - MASTER'!$B35,'Public Buildings'!$A$10:$N$96,K$2,0)),0,VLOOKUP('Project Details by Yr - MASTER'!$B35,'Public Buildings'!$A$10:$N$96,K$2,0))+IF(ISNA(VLOOKUP('Project Details by Yr - MASTER'!$B35,Bridges!$A$9:$N$24,K$2,0)),0,VLOOKUP('Project Details by Yr - MASTER'!$B35,Bridges!$A$9:$N$24,K$2,0))+IF(ISNA(VLOOKUP('Project Details by Yr - MASTER'!$B35,'Parking Lots &amp; Playgrounds'!$A$9:$N$33,K$2,0)),0,VLOOKUP('Project Details by Yr - MASTER'!$B35,'Parking Lots &amp; Playgrounds'!$A$9:$N$33,K$2,0))+IF(ISNA(VLOOKUP($B35,Vehicles!$B$9:$O$50,K$2,0)),0,VLOOKUP($B35,Vehicles!$B$9:$O$50,K$2,0))</f>
        <v>0</v>
      </c>
    </row>
    <row r="36" spans="1:11" x14ac:dyDescent="0.25">
      <c r="A36" s="31">
        <v>32</v>
      </c>
      <c r="B36" s="26" t="s">
        <v>171</v>
      </c>
      <c r="C36" t="s">
        <v>101</v>
      </c>
      <c r="D36" t="s">
        <v>271</v>
      </c>
      <c r="E36" s="31" t="s">
        <v>16</v>
      </c>
      <c r="G36" s="8">
        <f>IF(ISNA(VLOOKUP($B36,'Other Capital Needs'!$C$51:$P$95,G$2,0)),0,VLOOKUP($B36,'Other Capital Needs'!$C$51:$P$95,G$2,0))+IF(ISNA(VLOOKUP('Project Details by Yr - MASTER'!$B36,'Public Grounds'!$A$11:$N$49,G$2,0)),0,VLOOKUP('Project Details by Yr - MASTER'!$B36,'Public Grounds'!$A$11:$N$49,G$2,0))+IF(ISNA(VLOOKUP('Project Details by Yr - MASTER'!$B36,'Public Buildings'!$A$10:$N$96,G$2,0)),0,VLOOKUP('Project Details by Yr - MASTER'!$B36,'Public Buildings'!$A$10:$N$96,G$2,0))+IF(ISNA(VLOOKUP('Project Details by Yr - MASTER'!$B36,Bridges!$A$9:$N$24,G$2,0)),0,VLOOKUP('Project Details by Yr - MASTER'!$B36,Bridges!$A$9:$N$24,G$2,0))+IF(ISNA(VLOOKUP('Project Details by Yr - MASTER'!$B36,'Parking Lots &amp; Playgrounds'!$A$9:$N$33,G$2,0)),0,VLOOKUP('Project Details by Yr - MASTER'!$B36,'Parking Lots &amp; Playgrounds'!$A$9:$N$33,G$2,0))+IF(ISNA(VLOOKUP($B36,Vehicles!$B$9:$O$50,G$2,0)),0,VLOOKUP($B36,Vehicles!$B$9:$O$50,G$2,0))</f>
        <v>0</v>
      </c>
      <c r="H36" s="8">
        <f>IF(ISNA(VLOOKUP($B36,'Other Capital Needs'!$C$51:$P$95,H$2,0)),0,VLOOKUP($B36,'Other Capital Needs'!$C$51:$P$95,H$2,0))+IF(ISNA(VLOOKUP('Project Details by Yr - MASTER'!$B36,'Public Grounds'!$A$11:$N$49,H$2,0)),0,VLOOKUP('Project Details by Yr - MASTER'!$B36,'Public Grounds'!$A$11:$N$49,H$2,0))+IF(ISNA(VLOOKUP('Project Details by Yr - MASTER'!$B36,'Public Buildings'!$A$10:$N$96,H$2,0)),0,VLOOKUP('Project Details by Yr - MASTER'!$B36,'Public Buildings'!$A$10:$N$96,H$2,0))+IF(ISNA(VLOOKUP('Project Details by Yr - MASTER'!$B36,Bridges!$A$9:$N$24,H$2,0)),0,VLOOKUP('Project Details by Yr - MASTER'!$B36,Bridges!$A$9:$N$24,H$2,0))+IF(ISNA(VLOOKUP('Project Details by Yr - MASTER'!$B36,'Parking Lots &amp; Playgrounds'!$A$9:$N$33,H$2,0)),0,VLOOKUP('Project Details by Yr - MASTER'!$B36,'Parking Lots &amp; Playgrounds'!$A$9:$N$33,H$2,0))+IF(ISNA(VLOOKUP($B36,Vehicles!$B$9:$O$50,H$2,0)),0,VLOOKUP($B36,Vehicles!$B$9:$O$50,H$2,0))</f>
        <v>0</v>
      </c>
      <c r="I36" s="8">
        <f>IF(ISNA(VLOOKUP($B36,'Other Capital Needs'!$C$51:$P$95,I$2,0)),0,VLOOKUP($B36,'Other Capital Needs'!$C$51:$P$95,I$2,0))+IF(ISNA(VLOOKUP('Project Details by Yr - MASTER'!$B36,'Public Grounds'!$A$11:$N$49,I$2,0)),0,VLOOKUP('Project Details by Yr - MASTER'!$B36,'Public Grounds'!$A$11:$N$49,I$2,0))+IF(ISNA(VLOOKUP('Project Details by Yr - MASTER'!$B36,'Public Buildings'!$A$10:$N$96,I$2,0)),0,VLOOKUP('Project Details by Yr - MASTER'!$B36,'Public Buildings'!$A$10:$N$96,I$2,0))+IF(ISNA(VLOOKUP('Project Details by Yr - MASTER'!$B36,Bridges!$A$9:$N$24,I$2,0)),0,VLOOKUP('Project Details by Yr - MASTER'!$B36,Bridges!$A$9:$N$24,I$2,0))+IF(ISNA(VLOOKUP('Project Details by Yr - MASTER'!$B36,'Parking Lots &amp; Playgrounds'!$A$9:$N$33,I$2,0)),0,VLOOKUP('Project Details by Yr - MASTER'!$B36,'Parking Lots &amp; Playgrounds'!$A$9:$N$33,I$2,0))+IF(ISNA(VLOOKUP($B36,Vehicles!$B$9:$O$50,I$2,0)),0,VLOOKUP($B36,Vehicles!$B$9:$O$50,I$2,0))</f>
        <v>0</v>
      </c>
      <c r="J36" s="8">
        <f>IF(ISNA(VLOOKUP($B36,'Other Capital Needs'!$C$51:$P$95,J$2,0)),0,VLOOKUP($B36,'Other Capital Needs'!$C$51:$P$95,J$2,0))+IF(ISNA(VLOOKUP('Project Details by Yr - MASTER'!$B36,'Public Grounds'!$A$11:$N$49,J$2,0)),0,VLOOKUP('Project Details by Yr - MASTER'!$B36,'Public Grounds'!$A$11:$N$49,J$2,0))+IF(ISNA(VLOOKUP('Project Details by Yr - MASTER'!$B36,'Public Buildings'!$A$10:$N$96,J$2,0)),0,VLOOKUP('Project Details by Yr - MASTER'!$B36,'Public Buildings'!$A$10:$N$96,J$2,0))+IF(ISNA(VLOOKUP('Project Details by Yr - MASTER'!$B36,Bridges!$A$9:$N$24,J$2,0)),0,VLOOKUP('Project Details by Yr - MASTER'!$B36,Bridges!$A$9:$N$24,J$2,0))+IF(ISNA(VLOOKUP('Project Details by Yr - MASTER'!$B36,'Parking Lots &amp; Playgrounds'!$A$9:$N$33,J$2,0)),0,VLOOKUP('Project Details by Yr - MASTER'!$B36,'Parking Lots &amp; Playgrounds'!$A$9:$N$33,J$2,0))+IF(ISNA(VLOOKUP($B36,Vehicles!$B$9:$O$50,J$2,0)),0,VLOOKUP($B36,Vehicles!$B$9:$O$50,J$2,0))</f>
        <v>0</v>
      </c>
      <c r="K36" s="8">
        <f>IF(ISNA(VLOOKUP($B36,'Other Capital Needs'!$C$51:$P$95,K$2,0)),0,VLOOKUP($B36,'Other Capital Needs'!$C$51:$P$95,K$2,0))+IF(ISNA(VLOOKUP('Project Details by Yr - MASTER'!$B36,'Public Grounds'!$A$11:$N$49,K$2,0)),0,VLOOKUP('Project Details by Yr - MASTER'!$B36,'Public Grounds'!$A$11:$N$49,K$2,0))+IF(ISNA(VLOOKUP('Project Details by Yr - MASTER'!$B36,'Public Buildings'!$A$10:$N$96,K$2,0)),0,VLOOKUP('Project Details by Yr - MASTER'!$B36,'Public Buildings'!$A$10:$N$96,K$2,0))+IF(ISNA(VLOOKUP('Project Details by Yr - MASTER'!$B36,Bridges!$A$9:$N$24,K$2,0)),0,VLOOKUP('Project Details by Yr - MASTER'!$B36,Bridges!$A$9:$N$24,K$2,0))+IF(ISNA(VLOOKUP('Project Details by Yr - MASTER'!$B36,'Parking Lots &amp; Playgrounds'!$A$9:$N$33,K$2,0)),0,VLOOKUP('Project Details by Yr - MASTER'!$B36,'Parking Lots &amp; Playgrounds'!$A$9:$N$33,K$2,0))+IF(ISNA(VLOOKUP($B36,Vehicles!$B$9:$O$50,K$2,0)),0,VLOOKUP($B36,Vehicles!$B$9:$O$50,K$2,0))</f>
        <v>0</v>
      </c>
    </row>
    <row r="37" spans="1:11" x14ac:dyDescent="0.25">
      <c r="A37" s="31">
        <v>32</v>
      </c>
      <c r="B37" s="26" t="s">
        <v>172</v>
      </c>
      <c r="C37" t="s">
        <v>101</v>
      </c>
      <c r="D37" t="s">
        <v>271</v>
      </c>
      <c r="E37" s="31" t="s">
        <v>16</v>
      </c>
      <c r="G37" s="8">
        <f>IF(ISNA(VLOOKUP($B37,'Other Capital Needs'!$C$51:$P$95,G$2,0)),0,VLOOKUP($B37,'Other Capital Needs'!$C$51:$P$95,G$2,0))+IF(ISNA(VLOOKUP('Project Details by Yr - MASTER'!$B37,'Public Grounds'!$A$11:$N$49,G$2,0)),0,VLOOKUP('Project Details by Yr - MASTER'!$B37,'Public Grounds'!$A$11:$N$49,G$2,0))+IF(ISNA(VLOOKUP('Project Details by Yr - MASTER'!$B37,'Public Buildings'!$A$10:$N$96,G$2,0)),0,VLOOKUP('Project Details by Yr - MASTER'!$B37,'Public Buildings'!$A$10:$N$96,G$2,0))+IF(ISNA(VLOOKUP('Project Details by Yr - MASTER'!$B37,Bridges!$A$9:$N$24,G$2,0)),0,VLOOKUP('Project Details by Yr - MASTER'!$B37,Bridges!$A$9:$N$24,G$2,0))+IF(ISNA(VLOOKUP('Project Details by Yr - MASTER'!$B37,'Parking Lots &amp; Playgrounds'!$A$9:$N$33,G$2,0)),0,VLOOKUP('Project Details by Yr - MASTER'!$B37,'Parking Lots &amp; Playgrounds'!$A$9:$N$33,G$2,0))+IF(ISNA(VLOOKUP($B37,Vehicles!$B$9:$O$50,G$2,0)),0,VLOOKUP($B37,Vehicles!$B$9:$O$50,G$2,0))</f>
        <v>0</v>
      </c>
      <c r="H37" s="8">
        <f>IF(ISNA(VLOOKUP($B37,'Other Capital Needs'!$C$51:$P$95,H$2,0)),0,VLOOKUP($B37,'Other Capital Needs'!$C$51:$P$95,H$2,0))+IF(ISNA(VLOOKUP('Project Details by Yr - MASTER'!$B37,'Public Grounds'!$A$11:$N$49,H$2,0)),0,VLOOKUP('Project Details by Yr - MASTER'!$B37,'Public Grounds'!$A$11:$N$49,H$2,0))+IF(ISNA(VLOOKUP('Project Details by Yr - MASTER'!$B37,'Public Buildings'!$A$10:$N$96,H$2,0)),0,VLOOKUP('Project Details by Yr - MASTER'!$B37,'Public Buildings'!$A$10:$N$96,H$2,0))+IF(ISNA(VLOOKUP('Project Details by Yr - MASTER'!$B37,Bridges!$A$9:$N$24,H$2,0)),0,VLOOKUP('Project Details by Yr - MASTER'!$B37,Bridges!$A$9:$N$24,H$2,0))+IF(ISNA(VLOOKUP('Project Details by Yr - MASTER'!$B37,'Parking Lots &amp; Playgrounds'!$A$9:$N$33,H$2,0)),0,VLOOKUP('Project Details by Yr - MASTER'!$B37,'Parking Lots &amp; Playgrounds'!$A$9:$N$33,H$2,0))+IF(ISNA(VLOOKUP($B37,Vehicles!$B$9:$O$50,H$2,0)),0,VLOOKUP($B37,Vehicles!$B$9:$O$50,H$2,0))</f>
        <v>0</v>
      </c>
      <c r="I37" s="8">
        <f>IF(ISNA(VLOOKUP($B37,'Other Capital Needs'!$C$51:$P$95,I$2,0)),0,VLOOKUP($B37,'Other Capital Needs'!$C$51:$P$95,I$2,0))+IF(ISNA(VLOOKUP('Project Details by Yr - MASTER'!$B37,'Public Grounds'!$A$11:$N$49,I$2,0)),0,VLOOKUP('Project Details by Yr - MASTER'!$B37,'Public Grounds'!$A$11:$N$49,I$2,0))+IF(ISNA(VLOOKUP('Project Details by Yr - MASTER'!$B37,'Public Buildings'!$A$10:$N$96,I$2,0)),0,VLOOKUP('Project Details by Yr - MASTER'!$B37,'Public Buildings'!$A$10:$N$96,I$2,0))+IF(ISNA(VLOOKUP('Project Details by Yr - MASTER'!$B37,Bridges!$A$9:$N$24,I$2,0)),0,VLOOKUP('Project Details by Yr - MASTER'!$B37,Bridges!$A$9:$N$24,I$2,0))+IF(ISNA(VLOOKUP('Project Details by Yr - MASTER'!$B37,'Parking Lots &amp; Playgrounds'!$A$9:$N$33,I$2,0)),0,VLOOKUP('Project Details by Yr - MASTER'!$B37,'Parking Lots &amp; Playgrounds'!$A$9:$N$33,I$2,0))+IF(ISNA(VLOOKUP($B37,Vehicles!$B$9:$O$50,I$2,0)),0,VLOOKUP($B37,Vehicles!$B$9:$O$50,I$2,0))</f>
        <v>0</v>
      </c>
      <c r="J37" s="8">
        <f>IF(ISNA(VLOOKUP($B37,'Other Capital Needs'!$C$51:$P$95,J$2,0)),0,VLOOKUP($B37,'Other Capital Needs'!$C$51:$P$95,J$2,0))+IF(ISNA(VLOOKUP('Project Details by Yr - MASTER'!$B37,'Public Grounds'!$A$11:$N$49,J$2,0)),0,VLOOKUP('Project Details by Yr - MASTER'!$B37,'Public Grounds'!$A$11:$N$49,J$2,0))+IF(ISNA(VLOOKUP('Project Details by Yr - MASTER'!$B37,'Public Buildings'!$A$10:$N$96,J$2,0)),0,VLOOKUP('Project Details by Yr - MASTER'!$B37,'Public Buildings'!$A$10:$N$96,J$2,0))+IF(ISNA(VLOOKUP('Project Details by Yr - MASTER'!$B37,Bridges!$A$9:$N$24,J$2,0)),0,VLOOKUP('Project Details by Yr - MASTER'!$B37,Bridges!$A$9:$N$24,J$2,0))+IF(ISNA(VLOOKUP('Project Details by Yr - MASTER'!$B37,'Parking Lots &amp; Playgrounds'!$A$9:$N$33,J$2,0)),0,VLOOKUP('Project Details by Yr - MASTER'!$B37,'Parking Lots &amp; Playgrounds'!$A$9:$N$33,J$2,0))+IF(ISNA(VLOOKUP($B37,Vehicles!$B$9:$O$50,J$2,0)),0,VLOOKUP($B37,Vehicles!$B$9:$O$50,J$2,0))</f>
        <v>0</v>
      </c>
      <c r="K37" s="8">
        <f>IF(ISNA(VLOOKUP($B37,'Other Capital Needs'!$C$51:$P$95,K$2,0)),0,VLOOKUP($B37,'Other Capital Needs'!$C$51:$P$95,K$2,0))+IF(ISNA(VLOOKUP('Project Details by Yr - MASTER'!$B37,'Public Grounds'!$A$11:$N$49,K$2,0)),0,VLOOKUP('Project Details by Yr - MASTER'!$B37,'Public Grounds'!$A$11:$N$49,K$2,0))+IF(ISNA(VLOOKUP('Project Details by Yr - MASTER'!$B37,'Public Buildings'!$A$10:$N$96,K$2,0)),0,VLOOKUP('Project Details by Yr - MASTER'!$B37,'Public Buildings'!$A$10:$N$96,K$2,0))+IF(ISNA(VLOOKUP('Project Details by Yr - MASTER'!$B37,Bridges!$A$9:$N$24,K$2,0)),0,VLOOKUP('Project Details by Yr - MASTER'!$B37,Bridges!$A$9:$N$24,K$2,0))+IF(ISNA(VLOOKUP('Project Details by Yr - MASTER'!$B37,'Parking Lots &amp; Playgrounds'!$A$9:$N$33,K$2,0)),0,VLOOKUP('Project Details by Yr - MASTER'!$B37,'Parking Lots &amp; Playgrounds'!$A$9:$N$33,K$2,0))+IF(ISNA(VLOOKUP($B37,Vehicles!$B$9:$O$50,K$2,0)),0,VLOOKUP($B37,Vehicles!$B$9:$O$50,K$2,0))</f>
        <v>0</v>
      </c>
    </row>
    <row r="38" spans="1:11" x14ac:dyDescent="0.25">
      <c r="A38" s="31">
        <v>32</v>
      </c>
      <c r="B38" s="26" t="s">
        <v>173</v>
      </c>
      <c r="C38" t="s">
        <v>101</v>
      </c>
      <c r="D38" t="s">
        <v>271</v>
      </c>
      <c r="E38" s="31" t="s">
        <v>16</v>
      </c>
      <c r="G38" s="8">
        <f>IF(ISNA(VLOOKUP($B38,'Other Capital Needs'!$C$51:$P$95,G$2,0)),0,VLOOKUP($B38,'Other Capital Needs'!$C$51:$P$95,G$2,0))+IF(ISNA(VLOOKUP('Project Details by Yr - MASTER'!$B38,'Public Grounds'!$A$11:$N$49,G$2,0)),0,VLOOKUP('Project Details by Yr - MASTER'!$B38,'Public Grounds'!$A$11:$N$49,G$2,0))+IF(ISNA(VLOOKUP('Project Details by Yr - MASTER'!$B38,'Public Buildings'!$A$10:$N$96,G$2,0)),0,VLOOKUP('Project Details by Yr - MASTER'!$B38,'Public Buildings'!$A$10:$N$96,G$2,0))+IF(ISNA(VLOOKUP('Project Details by Yr - MASTER'!$B38,Bridges!$A$9:$N$24,G$2,0)),0,VLOOKUP('Project Details by Yr - MASTER'!$B38,Bridges!$A$9:$N$24,G$2,0))+IF(ISNA(VLOOKUP('Project Details by Yr - MASTER'!$B38,'Parking Lots &amp; Playgrounds'!$A$9:$N$33,G$2,0)),0,VLOOKUP('Project Details by Yr - MASTER'!$B38,'Parking Lots &amp; Playgrounds'!$A$9:$N$33,G$2,0))+IF(ISNA(VLOOKUP($B38,Vehicles!$B$9:$O$50,G$2,0)),0,VLOOKUP($B38,Vehicles!$B$9:$O$50,G$2,0))</f>
        <v>138000</v>
      </c>
      <c r="H38" s="8">
        <f>IF(ISNA(VLOOKUP($B38,'Other Capital Needs'!$C$51:$P$95,H$2,0)),0,VLOOKUP($B38,'Other Capital Needs'!$C$51:$P$95,H$2,0))+IF(ISNA(VLOOKUP('Project Details by Yr - MASTER'!$B38,'Public Grounds'!$A$11:$N$49,H$2,0)),0,VLOOKUP('Project Details by Yr - MASTER'!$B38,'Public Grounds'!$A$11:$N$49,H$2,0))+IF(ISNA(VLOOKUP('Project Details by Yr - MASTER'!$B38,'Public Buildings'!$A$10:$N$96,H$2,0)),0,VLOOKUP('Project Details by Yr - MASTER'!$B38,'Public Buildings'!$A$10:$N$96,H$2,0))+IF(ISNA(VLOOKUP('Project Details by Yr - MASTER'!$B38,Bridges!$A$9:$N$24,H$2,0)),0,VLOOKUP('Project Details by Yr - MASTER'!$B38,Bridges!$A$9:$N$24,H$2,0))+IF(ISNA(VLOOKUP('Project Details by Yr - MASTER'!$B38,'Parking Lots &amp; Playgrounds'!$A$9:$N$33,H$2,0)),0,VLOOKUP('Project Details by Yr - MASTER'!$B38,'Parking Lots &amp; Playgrounds'!$A$9:$N$33,H$2,0))+IF(ISNA(VLOOKUP($B38,Vehicles!$B$9:$O$50,H$2,0)),0,VLOOKUP($B38,Vehicles!$B$9:$O$50,H$2,0))</f>
        <v>0</v>
      </c>
      <c r="I38" s="8">
        <f>IF(ISNA(VLOOKUP($B38,'Other Capital Needs'!$C$51:$P$95,I$2,0)),0,VLOOKUP($B38,'Other Capital Needs'!$C$51:$P$95,I$2,0))+IF(ISNA(VLOOKUP('Project Details by Yr - MASTER'!$B38,'Public Grounds'!$A$11:$N$49,I$2,0)),0,VLOOKUP('Project Details by Yr - MASTER'!$B38,'Public Grounds'!$A$11:$N$49,I$2,0))+IF(ISNA(VLOOKUP('Project Details by Yr - MASTER'!$B38,'Public Buildings'!$A$10:$N$96,I$2,0)),0,VLOOKUP('Project Details by Yr - MASTER'!$B38,'Public Buildings'!$A$10:$N$96,I$2,0))+IF(ISNA(VLOOKUP('Project Details by Yr - MASTER'!$B38,Bridges!$A$9:$N$24,I$2,0)),0,VLOOKUP('Project Details by Yr - MASTER'!$B38,Bridges!$A$9:$N$24,I$2,0))+IF(ISNA(VLOOKUP('Project Details by Yr - MASTER'!$B38,'Parking Lots &amp; Playgrounds'!$A$9:$N$33,I$2,0)),0,VLOOKUP('Project Details by Yr - MASTER'!$B38,'Parking Lots &amp; Playgrounds'!$A$9:$N$33,I$2,0))+IF(ISNA(VLOOKUP($B38,Vehicles!$B$9:$O$50,I$2,0)),0,VLOOKUP($B38,Vehicles!$B$9:$O$50,I$2,0))</f>
        <v>0</v>
      </c>
      <c r="J38" s="8">
        <f>IF(ISNA(VLOOKUP($B38,'Other Capital Needs'!$C$51:$P$95,J$2,0)),0,VLOOKUP($B38,'Other Capital Needs'!$C$51:$P$95,J$2,0))+IF(ISNA(VLOOKUP('Project Details by Yr - MASTER'!$B38,'Public Grounds'!$A$11:$N$49,J$2,0)),0,VLOOKUP('Project Details by Yr - MASTER'!$B38,'Public Grounds'!$A$11:$N$49,J$2,0))+IF(ISNA(VLOOKUP('Project Details by Yr - MASTER'!$B38,'Public Buildings'!$A$10:$N$96,J$2,0)),0,VLOOKUP('Project Details by Yr - MASTER'!$B38,'Public Buildings'!$A$10:$N$96,J$2,0))+IF(ISNA(VLOOKUP('Project Details by Yr - MASTER'!$B38,Bridges!$A$9:$N$24,J$2,0)),0,VLOOKUP('Project Details by Yr - MASTER'!$B38,Bridges!$A$9:$N$24,J$2,0))+IF(ISNA(VLOOKUP('Project Details by Yr - MASTER'!$B38,'Parking Lots &amp; Playgrounds'!$A$9:$N$33,J$2,0)),0,VLOOKUP('Project Details by Yr - MASTER'!$B38,'Parking Lots &amp; Playgrounds'!$A$9:$N$33,J$2,0))+IF(ISNA(VLOOKUP($B38,Vehicles!$B$9:$O$50,J$2,0)),0,VLOOKUP($B38,Vehicles!$B$9:$O$50,J$2,0))</f>
        <v>0</v>
      </c>
      <c r="K38" s="8">
        <f>IF(ISNA(VLOOKUP($B38,'Other Capital Needs'!$C$51:$P$95,K$2,0)),0,VLOOKUP($B38,'Other Capital Needs'!$C$51:$P$95,K$2,0))+IF(ISNA(VLOOKUP('Project Details by Yr - MASTER'!$B38,'Public Grounds'!$A$11:$N$49,K$2,0)),0,VLOOKUP('Project Details by Yr - MASTER'!$B38,'Public Grounds'!$A$11:$N$49,K$2,0))+IF(ISNA(VLOOKUP('Project Details by Yr - MASTER'!$B38,'Public Buildings'!$A$10:$N$96,K$2,0)),0,VLOOKUP('Project Details by Yr - MASTER'!$B38,'Public Buildings'!$A$10:$N$96,K$2,0))+IF(ISNA(VLOOKUP('Project Details by Yr - MASTER'!$B38,Bridges!$A$9:$N$24,K$2,0)),0,VLOOKUP('Project Details by Yr - MASTER'!$B38,Bridges!$A$9:$N$24,K$2,0))+IF(ISNA(VLOOKUP('Project Details by Yr - MASTER'!$B38,'Parking Lots &amp; Playgrounds'!$A$9:$N$33,K$2,0)),0,VLOOKUP('Project Details by Yr - MASTER'!$B38,'Parking Lots &amp; Playgrounds'!$A$9:$N$33,K$2,0))+IF(ISNA(VLOOKUP($B38,Vehicles!$B$9:$O$50,K$2,0)),0,VLOOKUP($B38,Vehicles!$B$9:$O$50,K$2,0))</f>
        <v>0</v>
      </c>
    </row>
    <row r="39" spans="1:11" x14ac:dyDescent="0.25">
      <c r="A39" s="31">
        <v>32</v>
      </c>
      <c r="B39" s="26" t="s">
        <v>174</v>
      </c>
      <c r="C39" t="s">
        <v>101</v>
      </c>
      <c r="D39" t="s">
        <v>271</v>
      </c>
      <c r="E39" s="31" t="s">
        <v>16</v>
      </c>
      <c r="G39" s="8">
        <f>IF(ISNA(VLOOKUP($B39,'Other Capital Needs'!$C$51:$P$95,G$2,0)),0,VLOOKUP($B39,'Other Capital Needs'!$C$51:$P$95,G$2,0))+IF(ISNA(VLOOKUP('Project Details by Yr - MASTER'!$B39,'Public Grounds'!$A$11:$N$49,G$2,0)),0,VLOOKUP('Project Details by Yr - MASTER'!$B39,'Public Grounds'!$A$11:$N$49,G$2,0))+IF(ISNA(VLOOKUP('Project Details by Yr - MASTER'!$B39,'Public Buildings'!$A$10:$N$96,G$2,0)),0,VLOOKUP('Project Details by Yr - MASTER'!$B39,'Public Buildings'!$A$10:$N$96,G$2,0))+IF(ISNA(VLOOKUP('Project Details by Yr - MASTER'!$B39,Bridges!$A$9:$N$24,G$2,0)),0,VLOOKUP('Project Details by Yr - MASTER'!$B39,Bridges!$A$9:$N$24,G$2,0))+IF(ISNA(VLOOKUP('Project Details by Yr - MASTER'!$B39,'Parking Lots &amp; Playgrounds'!$A$9:$N$33,G$2,0)),0,VLOOKUP('Project Details by Yr - MASTER'!$B39,'Parking Lots &amp; Playgrounds'!$A$9:$N$33,G$2,0))+IF(ISNA(VLOOKUP($B39,Vehicles!$B$9:$O$50,G$2,0)),0,VLOOKUP($B39,Vehicles!$B$9:$O$50,G$2,0))</f>
        <v>0</v>
      </c>
      <c r="H39" s="8">
        <f>IF(ISNA(VLOOKUP($B39,'Other Capital Needs'!$C$51:$P$95,H$2,0)),0,VLOOKUP($B39,'Other Capital Needs'!$C$51:$P$95,H$2,0))+IF(ISNA(VLOOKUP('Project Details by Yr - MASTER'!$B39,'Public Grounds'!$A$11:$N$49,H$2,0)),0,VLOOKUP('Project Details by Yr - MASTER'!$B39,'Public Grounds'!$A$11:$N$49,H$2,0))+IF(ISNA(VLOOKUP('Project Details by Yr - MASTER'!$B39,'Public Buildings'!$A$10:$N$96,H$2,0)),0,VLOOKUP('Project Details by Yr - MASTER'!$B39,'Public Buildings'!$A$10:$N$96,H$2,0))+IF(ISNA(VLOOKUP('Project Details by Yr - MASTER'!$B39,Bridges!$A$9:$N$24,H$2,0)),0,VLOOKUP('Project Details by Yr - MASTER'!$B39,Bridges!$A$9:$N$24,H$2,0))+IF(ISNA(VLOOKUP('Project Details by Yr - MASTER'!$B39,'Parking Lots &amp; Playgrounds'!$A$9:$N$33,H$2,0)),0,VLOOKUP('Project Details by Yr - MASTER'!$B39,'Parking Lots &amp; Playgrounds'!$A$9:$N$33,H$2,0))+IF(ISNA(VLOOKUP($B39,Vehicles!$B$9:$O$50,H$2,0)),0,VLOOKUP($B39,Vehicles!$B$9:$O$50,H$2,0))</f>
        <v>0</v>
      </c>
      <c r="I39" s="8">
        <f>IF(ISNA(VLOOKUP($B39,'Other Capital Needs'!$C$51:$P$95,I$2,0)),0,VLOOKUP($B39,'Other Capital Needs'!$C$51:$P$95,I$2,0))+IF(ISNA(VLOOKUP('Project Details by Yr - MASTER'!$B39,'Public Grounds'!$A$11:$N$49,I$2,0)),0,VLOOKUP('Project Details by Yr - MASTER'!$B39,'Public Grounds'!$A$11:$N$49,I$2,0))+IF(ISNA(VLOOKUP('Project Details by Yr - MASTER'!$B39,'Public Buildings'!$A$10:$N$96,I$2,0)),0,VLOOKUP('Project Details by Yr - MASTER'!$B39,'Public Buildings'!$A$10:$N$96,I$2,0))+IF(ISNA(VLOOKUP('Project Details by Yr - MASTER'!$B39,Bridges!$A$9:$N$24,I$2,0)),0,VLOOKUP('Project Details by Yr - MASTER'!$B39,Bridges!$A$9:$N$24,I$2,0))+IF(ISNA(VLOOKUP('Project Details by Yr - MASTER'!$B39,'Parking Lots &amp; Playgrounds'!$A$9:$N$33,I$2,0)),0,VLOOKUP('Project Details by Yr - MASTER'!$B39,'Parking Lots &amp; Playgrounds'!$A$9:$N$33,I$2,0))+IF(ISNA(VLOOKUP($B39,Vehicles!$B$9:$O$50,I$2,0)),0,VLOOKUP($B39,Vehicles!$B$9:$O$50,I$2,0))</f>
        <v>0</v>
      </c>
      <c r="J39" s="8">
        <f>IF(ISNA(VLOOKUP($B39,'Other Capital Needs'!$C$51:$P$95,J$2,0)),0,VLOOKUP($B39,'Other Capital Needs'!$C$51:$P$95,J$2,0))+IF(ISNA(VLOOKUP('Project Details by Yr - MASTER'!$B39,'Public Grounds'!$A$11:$N$49,J$2,0)),0,VLOOKUP('Project Details by Yr - MASTER'!$B39,'Public Grounds'!$A$11:$N$49,J$2,0))+IF(ISNA(VLOOKUP('Project Details by Yr - MASTER'!$B39,'Public Buildings'!$A$10:$N$96,J$2,0)),0,VLOOKUP('Project Details by Yr - MASTER'!$B39,'Public Buildings'!$A$10:$N$96,J$2,0))+IF(ISNA(VLOOKUP('Project Details by Yr - MASTER'!$B39,Bridges!$A$9:$N$24,J$2,0)),0,VLOOKUP('Project Details by Yr - MASTER'!$B39,Bridges!$A$9:$N$24,J$2,0))+IF(ISNA(VLOOKUP('Project Details by Yr - MASTER'!$B39,'Parking Lots &amp; Playgrounds'!$A$9:$N$33,J$2,0)),0,VLOOKUP('Project Details by Yr - MASTER'!$B39,'Parking Lots &amp; Playgrounds'!$A$9:$N$33,J$2,0))+IF(ISNA(VLOOKUP($B39,Vehicles!$B$9:$O$50,J$2,0)),0,VLOOKUP($B39,Vehicles!$B$9:$O$50,J$2,0))</f>
        <v>0</v>
      </c>
      <c r="K39" s="8">
        <f>IF(ISNA(VLOOKUP($B39,'Other Capital Needs'!$C$51:$P$95,K$2,0)),0,VLOOKUP($B39,'Other Capital Needs'!$C$51:$P$95,K$2,0))+IF(ISNA(VLOOKUP('Project Details by Yr - MASTER'!$B39,'Public Grounds'!$A$11:$N$49,K$2,0)),0,VLOOKUP('Project Details by Yr - MASTER'!$B39,'Public Grounds'!$A$11:$N$49,K$2,0))+IF(ISNA(VLOOKUP('Project Details by Yr - MASTER'!$B39,'Public Buildings'!$A$10:$N$96,K$2,0)),0,VLOOKUP('Project Details by Yr - MASTER'!$B39,'Public Buildings'!$A$10:$N$96,K$2,0))+IF(ISNA(VLOOKUP('Project Details by Yr - MASTER'!$B39,Bridges!$A$9:$N$24,K$2,0)),0,VLOOKUP('Project Details by Yr - MASTER'!$B39,Bridges!$A$9:$N$24,K$2,0))+IF(ISNA(VLOOKUP('Project Details by Yr - MASTER'!$B39,'Parking Lots &amp; Playgrounds'!$A$9:$N$33,K$2,0)),0,VLOOKUP('Project Details by Yr - MASTER'!$B39,'Parking Lots &amp; Playgrounds'!$A$9:$N$33,K$2,0))+IF(ISNA(VLOOKUP($B39,Vehicles!$B$9:$O$50,K$2,0)),0,VLOOKUP($B39,Vehicles!$B$9:$O$50,K$2,0))</f>
        <v>0</v>
      </c>
    </row>
    <row r="40" spans="1:11" x14ac:dyDescent="0.25">
      <c r="A40" s="31">
        <v>32</v>
      </c>
      <c r="B40" s="26" t="s">
        <v>175</v>
      </c>
      <c r="C40" s="26" t="s">
        <v>101</v>
      </c>
      <c r="D40" s="26" t="s">
        <v>271</v>
      </c>
      <c r="E40" s="31" t="s">
        <v>16</v>
      </c>
      <c r="F40" s="26"/>
      <c r="G40" s="8">
        <f>IF(ISNA(VLOOKUP($B40,'Other Capital Needs'!$C$51:$P$95,G$2,0)),0,VLOOKUP($B40,'Other Capital Needs'!$C$51:$P$95,G$2,0))+IF(ISNA(VLOOKUP('Project Details by Yr - MASTER'!$B40,'Public Grounds'!$A$11:$N$49,G$2,0)),0,VLOOKUP('Project Details by Yr - MASTER'!$B40,'Public Grounds'!$A$11:$N$49,G$2,0))+IF(ISNA(VLOOKUP('Project Details by Yr - MASTER'!$B40,'Public Buildings'!$A$10:$N$96,G$2,0)),0,VLOOKUP('Project Details by Yr - MASTER'!$B40,'Public Buildings'!$A$10:$N$96,G$2,0))+IF(ISNA(VLOOKUP('Project Details by Yr - MASTER'!$B40,Bridges!$A$9:$N$24,G$2,0)),0,VLOOKUP('Project Details by Yr - MASTER'!$B40,Bridges!$A$9:$N$24,G$2,0))+IF(ISNA(VLOOKUP('Project Details by Yr - MASTER'!$B40,'Parking Lots &amp; Playgrounds'!$A$9:$N$33,G$2,0)),0,VLOOKUP('Project Details by Yr - MASTER'!$B40,'Parking Lots &amp; Playgrounds'!$A$9:$N$33,G$2,0))+IF(ISNA(VLOOKUP($B40,Vehicles!$B$9:$O$50,G$2,0)),0,VLOOKUP($B40,Vehicles!$B$9:$O$50,G$2,0))</f>
        <v>0</v>
      </c>
      <c r="H40" s="8">
        <f>IF(ISNA(VLOOKUP($B40,'Other Capital Needs'!$C$51:$P$95,H$2,0)),0,VLOOKUP($B40,'Other Capital Needs'!$C$51:$P$95,H$2,0))+IF(ISNA(VLOOKUP('Project Details by Yr - MASTER'!$B40,'Public Grounds'!$A$11:$N$49,H$2,0)),0,VLOOKUP('Project Details by Yr - MASTER'!$B40,'Public Grounds'!$A$11:$N$49,H$2,0))+IF(ISNA(VLOOKUP('Project Details by Yr - MASTER'!$B40,'Public Buildings'!$A$10:$N$96,H$2,0)),0,VLOOKUP('Project Details by Yr - MASTER'!$B40,'Public Buildings'!$A$10:$N$96,H$2,0))+IF(ISNA(VLOOKUP('Project Details by Yr - MASTER'!$B40,Bridges!$A$9:$N$24,H$2,0)),0,VLOOKUP('Project Details by Yr - MASTER'!$B40,Bridges!$A$9:$N$24,H$2,0))+IF(ISNA(VLOOKUP('Project Details by Yr - MASTER'!$B40,'Parking Lots &amp; Playgrounds'!$A$9:$N$33,H$2,0)),0,VLOOKUP('Project Details by Yr - MASTER'!$B40,'Parking Lots &amp; Playgrounds'!$A$9:$N$33,H$2,0))+IF(ISNA(VLOOKUP($B40,Vehicles!$B$9:$O$50,H$2,0)),0,VLOOKUP($B40,Vehicles!$B$9:$O$50,H$2,0))</f>
        <v>0</v>
      </c>
      <c r="I40" s="8">
        <f>IF(ISNA(VLOOKUP($B40,'Other Capital Needs'!$C$51:$P$95,I$2,0)),0,VLOOKUP($B40,'Other Capital Needs'!$C$51:$P$95,I$2,0))+IF(ISNA(VLOOKUP('Project Details by Yr - MASTER'!$B40,'Public Grounds'!$A$11:$N$49,I$2,0)),0,VLOOKUP('Project Details by Yr - MASTER'!$B40,'Public Grounds'!$A$11:$N$49,I$2,0))+IF(ISNA(VLOOKUP('Project Details by Yr - MASTER'!$B40,'Public Buildings'!$A$10:$N$96,I$2,0)),0,VLOOKUP('Project Details by Yr - MASTER'!$B40,'Public Buildings'!$A$10:$N$96,I$2,0))+IF(ISNA(VLOOKUP('Project Details by Yr - MASTER'!$B40,Bridges!$A$9:$N$24,I$2,0)),0,VLOOKUP('Project Details by Yr - MASTER'!$B40,Bridges!$A$9:$N$24,I$2,0))+IF(ISNA(VLOOKUP('Project Details by Yr - MASTER'!$B40,'Parking Lots &amp; Playgrounds'!$A$9:$N$33,I$2,0)),0,VLOOKUP('Project Details by Yr - MASTER'!$B40,'Parking Lots &amp; Playgrounds'!$A$9:$N$33,I$2,0))+IF(ISNA(VLOOKUP($B40,Vehicles!$B$9:$O$50,I$2,0)),0,VLOOKUP($B40,Vehicles!$B$9:$O$50,I$2,0))</f>
        <v>0</v>
      </c>
      <c r="J40" s="8">
        <f>IF(ISNA(VLOOKUP($B40,'Other Capital Needs'!$C$51:$P$95,J$2,0)),0,VLOOKUP($B40,'Other Capital Needs'!$C$51:$P$95,J$2,0))+IF(ISNA(VLOOKUP('Project Details by Yr - MASTER'!$B40,'Public Grounds'!$A$11:$N$49,J$2,0)),0,VLOOKUP('Project Details by Yr - MASTER'!$B40,'Public Grounds'!$A$11:$N$49,J$2,0))+IF(ISNA(VLOOKUP('Project Details by Yr - MASTER'!$B40,'Public Buildings'!$A$10:$N$96,J$2,0)),0,VLOOKUP('Project Details by Yr - MASTER'!$B40,'Public Buildings'!$A$10:$N$96,J$2,0))+IF(ISNA(VLOOKUP('Project Details by Yr - MASTER'!$B40,Bridges!$A$9:$N$24,J$2,0)),0,VLOOKUP('Project Details by Yr - MASTER'!$B40,Bridges!$A$9:$N$24,J$2,0))+IF(ISNA(VLOOKUP('Project Details by Yr - MASTER'!$B40,'Parking Lots &amp; Playgrounds'!$A$9:$N$33,J$2,0)),0,VLOOKUP('Project Details by Yr - MASTER'!$B40,'Parking Lots &amp; Playgrounds'!$A$9:$N$33,J$2,0))+IF(ISNA(VLOOKUP($B40,Vehicles!$B$9:$O$50,J$2,0)),0,VLOOKUP($B40,Vehicles!$B$9:$O$50,J$2,0))</f>
        <v>0</v>
      </c>
      <c r="K40" s="8">
        <f>IF(ISNA(VLOOKUP($B40,'Other Capital Needs'!$C$51:$P$95,K$2,0)),0,VLOOKUP($B40,'Other Capital Needs'!$C$51:$P$95,K$2,0))+IF(ISNA(VLOOKUP('Project Details by Yr - MASTER'!$B40,'Public Grounds'!$A$11:$N$49,K$2,0)),0,VLOOKUP('Project Details by Yr - MASTER'!$B40,'Public Grounds'!$A$11:$N$49,K$2,0))+IF(ISNA(VLOOKUP('Project Details by Yr - MASTER'!$B40,'Public Buildings'!$A$10:$N$96,K$2,0)),0,VLOOKUP('Project Details by Yr - MASTER'!$B40,'Public Buildings'!$A$10:$N$96,K$2,0))+IF(ISNA(VLOOKUP('Project Details by Yr - MASTER'!$B40,Bridges!$A$9:$N$24,K$2,0)),0,VLOOKUP('Project Details by Yr - MASTER'!$B40,Bridges!$A$9:$N$24,K$2,0))+IF(ISNA(VLOOKUP('Project Details by Yr - MASTER'!$B40,'Parking Lots &amp; Playgrounds'!$A$9:$N$33,K$2,0)),0,VLOOKUP('Project Details by Yr - MASTER'!$B40,'Parking Lots &amp; Playgrounds'!$A$9:$N$33,K$2,0))+IF(ISNA(VLOOKUP($B40,Vehicles!$B$9:$O$50,K$2,0)),0,VLOOKUP($B40,Vehicles!$B$9:$O$50,K$2,0))</f>
        <v>0</v>
      </c>
    </row>
    <row r="41" spans="1:11" x14ac:dyDescent="0.25">
      <c r="A41" s="31">
        <v>32</v>
      </c>
      <c r="B41" s="26" t="s">
        <v>176</v>
      </c>
      <c r="C41" s="26" t="s">
        <v>101</v>
      </c>
      <c r="D41" s="26" t="s">
        <v>271</v>
      </c>
      <c r="E41" s="31" t="s">
        <v>16</v>
      </c>
      <c r="F41" s="26"/>
      <c r="G41" s="8">
        <f>IF(ISNA(VLOOKUP($B41,'Other Capital Needs'!$C$51:$P$95,G$2,0)),0,VLOOKUP($B41,'Other Capital Needs'!$C$51:$P$95,G$2,0))+IF(ISNA(VLOOKUP('Project Details by Yr - MASTER'!$B41,'Public Grounds'!$A$11:$N$49,G$2,0)),0,VLOOKUP('Project Details by Yr - MASTER'!$B41,'Public Grounds'!$A$11:$N$49,G$2,0))+IF(ISNA(VLOOKUP('Project Details by Yr - MASTER'!$B41,'Public Buildings'!$A$10:$N$96,G$2,0)),0,VLOOKUP('Project Details by Yr - MASTER'!$B41,'Public Buildings'!$A$10:$N$96,G$2,0))+IF(ISNA(VLOOKUP('Project Details by Yr - MASTER'!$B41,Bridges!$A$9:$N$24,G$2,0)),0,VLOOKUP('Project Details by Yr - MASTER'!$B41,Bridges!$A$9:$N$24,G$2,0))+IF(ISNA(VLOOKUP('Project Details by Yr - MASTER'!$B41,'Parking Lots &amp; Playgrounds'!$A$9:$N$33,G$2,0)),0,VLOOKUP('Project Details by Yr - MASTER'!$B41,'Parking Lots &amp; Playgrounds'!$A$9:$N$33,G$2,0))+IF(ISNA(VLOOKUP($B41,Vehicles!$B$9:$O$50,G$2,0)),0,VLOOKUP($B41,Vehicles!$B$9:$O$50,G$2,0))</f>
        <v>0</v>
      </c>
      <c r="H41" s="8">
        <f>IF(ISNA(VLOOKUP($B41,'Other Capital Needs'!$C$51:$P$95,H$2,0)),0,VLOOKUP($B41,'Other Capital Needs'!$C$51:$P$95,H$2,0))+IF(ISNA(VLOOKUP('Project Details by Yr - MASTER'!$B41,'Public Grounds'!$A$11:$N$49,H$2,0)),0,VLOOKUP('Project Details by Yr - MASTER'!$B41,'Public Grounds'!$A$11:$N$49,H$2,0))+IF(ISNA(VLOOKUP('Project Details by Yr - MASTER'!$B41,'Public Buildings'!$A$10:$N$96,H$2,0)),0,VLOOKUP('Project Details by Yr - MASTER'!$B41,'Public Buildings'!$A$10:$N$96,H$2,0))+IF(ISNA(VLOOKUP('Project Details by Yr - MASTER'!$B41,Bridges!$A$9:$N$24,H$2,0)),0,VLOOKUP('Project Details by Yr - MASTER'!$B41,Bridges!$A$9:$N$24,H$2,0))+IF(ISNA(VLOOKUP('Project Details by Yr - MASTER'!$B41,'Parking Lots &amp; Playgrounds'!$A$9:$N$33,H$2,0)),0,VLOOKUP('Project Details by Yr - MASTER'!$B41,'Parking Lots &amp; Playgrounds'!$A$9:$N$33,H$2,0))+IF(ISNA(VLOOKUP($B41,Vehicles!$B$9:$O$50,H$2,0)),0,VLOOKUP($B41,Vehicles!$B$9:$O$50,H$2,0))</f>
        <v>0</v>
      </c>
      <c r="I41" s="8">
        <f>IF(ISNA(VLOOKUP($B41,'Other Capital Needs'!$C$51:$P$95,I$2,0)),0,VLOOKUP($B41,'Other Capital Needs'!$C$51:$P$95,I$2,0))+IF(ISNA(VLOOKUP('Project Details by Yr - MASTER'!$B41,'Public Grounds'!$A$11:$N$49,I$2,0)),0,VLOOKUP('Project Details by Yr - MASTER'!$B41,'Public Grounds'!$A$11:$N$49,I$2,0))+IF(ISNA(VLOOKUP('Project Details by Yr - MASTER'!$B41,'Public Buildings'!$A$10:$N$96,I$2,0)),0,VLOOKUP('Project Details by Yr - MASTER'!$B41,'Public Buildings'!$A$10:$N$96,I$2,0))+IF(ISNA(VLOOKUP('Project Details by Yr - MASTER'!$B41,Bridges!$A$9:$N$24,I$2,0)),0,VLOOKUP('Project Details by Yr - MASTER'!$B41,Bridges!$A$9:$N$24,I$2,0))+IF(ISNA(VLOOKUP('Project Details by Yr - MASTER'!$B41,'Parking Lots &amp; Playgrounds'!$A$9:$N$33,I$2,0)),0,VLOOKUP('Project Details by Yr - MASTER'!$B41,'Parking Lots &amp; Playgrounds'!$A$9:$N$33,I$2,0))+IF(ISNA(VLOOKUP($B41,Vehicles!$B$9:$O$50,I$2,0)),0,VLOOKUP($B41,Vehicles!$B$9:$O$50,I$2,0))</f>
        <v>0</v>
      </c>
      <c r="J41" s="8">
        <f>IF(ISNA(VLOOKUP($B41,'Other Capital Needs'!$C$51:$P$95,J$2,0)),0,VLOOKUP($B41,'Other Capital Needs'!$C$51:$P$95,J$2,0))+IF(ISNA(VLOOKUP('Project Details by Yr - MASTER'!$B41,'Public Grounds'!$A$11:$N$49,J$2,0)),0,VLOOKUP('Project Details by Yr - MASTER'!$B41,'Public Grounds'!$A$11:$N$49,J$2,0))+IF(ISNA(VLOOKUP('Project Details by Yr - MASTER'!$B41,'Public Buildings'!$A$10:$N$96,J$2,0)),0,VLOOKUP('Project Details by Yr - MASTER'!$B41,'Public Buildings'!$A$10:$N$96,J$2,0))+IF(ISNA(VLOOKUP('Project Details by Yr - MASTER'!$B41,Bridges!$A$9:$N$24,J$2,0)),0,VLOOKUP('Project Details by Yr - MASTER'!$B41,Bridges!$A$9:$N$24,J$2,0))+IF(ISNA(VLOOKUP('Project Details by Yr - MASTER'!$B41,'Parking Lots &amp; Playgrounds'!$A$9:$N$33,J$2,0)),0,VLOOKUP('Project Details by Yr - MASTER'!$B41,'Parking Lots &amp; Playgrounds'!$A$9:$N$33,J$2,0))+IF(ISNA(VLOOKUP($B41,Vehicles!$B$9:$O$50,J$2,0)),0,VLOOKUP($B41,Vehicles!$B$9:$O$50,J$2,0))</f>
        <v>0</v>
      </c>
      <c r="K41" s="8">
        <f>IF(ISNA(VLOOKUP($B41,'Other Capital Needs'!$C$51:$P$95,K$2,0)),0,VLOOKUP($B41,'Other Capital Needs'!$C$51:$P$95,K$2,0))+IF(ISNA(VLOOKUP('Project Details by Yr - MASTER'!$B41,'Public Grounds'!$A$11:$N$49,K$2,0)),0,VLOOKUP('Project Details by Yr - MASTER'!$B41,'Public Grounds'!$A$11:$N$49,K$2,0))+IF(ISNA(VLOOKUP('Project Details by Yr - MASTER'!$B41,'Public Buildings'!$A$10:$N$96,K$2,0)),0,VLOOKUP('Project Details by Yr - MASTER'!$B41,'Public Buildings'!$A$10:$N$96,K$2,0))+IF(ISNA(VLOOKUP('Project Details by Yr - MASTER'!$B41,Bridges!$A$9:$N$24,K$2,0)),0,VLOOKUP('Project Details by Yr - MASTER'!$B41,Bridges!$A$9:$N$24,K$2,0))+IF(ISNA(VLOOKUP('Project Details by Yr - MASTER'!$B41,'Parking Lots &amp; Playgrounds'!$A$9:$N$33,K$2,0)),0,VLOOKUP('Project Details by Yr - MASTER'!$B41,'Parking Lots &amp; Playgrounds'!$A$9:$N$33,K$2,0))+IF(ISNA(VLOOKUP($B41,Vehicles!$B$9:$O$50,K$2,0)),0,VLOOKUP($B41,Vehicles!$B$9:$O$50,K$2,0))</f>
        <v>0</v>
      </c>
    </row>
    <row r="42" spans="1:11" x14ac:dyDescent="0.25">
      <c r="A42" s="31">
        <v>36</v>
      </c>
      <c r="B42" s="26" t="s">
        <v>177</v>
      </c>
      <c r="C42" s="26" t="s">
        <v>101</v>
      </c>
      <c r="D42" s="26" t="s">
        <v>271</v>
      </c>
      <c r="E42" s="31" t="s">
        <v>16</v>
      </c>
      <c r="F42" s="26"/>
      <c r="G42" s="8">
        <f>IF(ISNA(VLOOKUP($B42,'Other Capital Needs'!$C$51:$P$95,G$2,0)),0,VLOOKUP($B42,'Other Capital Needs'!$C$51:$P$95,G$2,0))+IF(ISNA(VLOOKUP('Project Details by Yr - MASTER'!$B42,'Public Grounds'!$A$11:$N$49,G$2,0)),0,VLOOKUP('Project Details by Yr - MASTER'!$B42,'Public Grounds'!$A$11:$N$49,G$2,0))+IF(ISNA(VLOOKUP('Project Details by Yr - MASTER'!$B42,'Public Buildings'!$A$10:$N$96,G$2,0)),0,VLOOKUP('Project Details by Yr - MASTER'!$B42,'Public Buildings'!$A$10:$N$96,G$2,0))+IF(ISNA(VLOOKUP('Project Details by Yr - MASTER'!$B42,Bridges!$A$9:$N$24,G$2,0)),0,VLOOKUP('Project Details by Yr - MASTER'!$B42,Bridges!$A$9:$N$24,G$2,0))+IF(ISNA(VLOOKUP('Project Details by Yr - MASTER'!$B42,'Parking Lots &amp; Playgrounds'!$A$9:$N$33,G$2,0)),0,VLOOKUP('Project Details by Yr - MASTER'!$B42,'Parking Lots &amp; Playgrounds'!$A$9:$N$33,G$2,0))+IF(ISNA(VLOOKUP($B42,Vehicles!$B$9:$O$50,G$2,0)),0,VLOOKUP($B42,Vehicles!$B$9:$O$50,G$2,0))</f>
        <v>0</v>
      </c>
      <c r="H42" s="8">
        <f>IF(ISNA(VLOOKUP($B42,'Other Capital Needs'!$C$51:$P$95,H$2,0)),0,VLOOKUP($B42,'Other Capital Needs'!$C$51:$P$95,H$2,0))+IF(ISNA(VLOOKUP('Project Details by Yr - MASTER'!$B42,'Public Grounds'!$A$11:$N$49,H$2,0)),0,VLOOKUP('Project Details by Yr - MASTER'!$B42,'Public Grounds'!$A$11:$N$49,H$2,0))+IF(ISNA(VLOOKUP('Project Details by Yr - MASTER'!$B42,'Public Buildings'!$A$10:$N$96,H$2,0)),0,VLOOKUP('Project Details by Yr - MASTER'!$B42,'Public Buildings'!$A$10:$N$96,H$2,0))+IF(ISNA(VLOOKUP('Project Details by Yr - MASTER'!$B42,Bridges!$A$9:$N$24,H$2,0)),0,VLOOKUP('Project Details by Yr - MASTER'!$B42,Bridges!$A$9:$N$24,H$2,0))+IF(ISNA(VLOOKUP('Project Details by Yr - MASTER'!$B42,'Parking Lots &amp; Playgrounds'!$A$9:$N$33,H$2,0)),0,VLOOKUP('Project Details by Yr - MASTER'!$B42,'Parking Lots &amp; Playgrounds'!$A$9:$N$33,H$2,0))+IF(ISNA(VLOOKUP($B42,Vehicles!$B$9:$O$50,H$2,0)),0,VLOOKUP($B42,Vehicles!$B$9:$O$50,H$2,0))</f>
        <v>0</v>
      </c>
      <c r="I42" s="8">
        <f>IF(ISNA(VLOOKUP($B42,'Other Capital Needs'!$C$51:$P$95,I$2,0)),0,VLOOKUP($B42,'Other Capital Needs'!$C$51:$P$95,I$2,0))+IF(ISNA(VLOOKUP('Project Details by Yr - MASTER'!$B42,'Public Grounds'!$A$11:$N$49,I$2,0)),0,VLOOKUP('Project Details by Yr - MASTER'!$B42,'Public Grounds'!$A$11:$N$49,I$2,0))+IF(ISNA(VLOOKUP('Project Details by Yr - MASTER'!$B42,'Public Buildings'!$A$10:$N$96,I$2,0)),0,VLOOKUP('Project Details by Yr - MASTER'!$B42,'Public Buildings'!$A$10:$N$96,I$2,0))+IF(ISNA(VLOOKUP('Project Details by Yr - MASTER'!$B42,Bridges!$A$9:$N$24,I$2,0)),0,VLOOKUP('Project Details by Yr - MASTER'!$B42,Bridges!$A$9:$N$24,I$2,0))+IF(ISNA(VLOOKUP('Project Details by Yr - MASTER'!$B42,'Parking Lots &amp; Playgrounds'!$A$9:$N$33,I$2,0)),0,VLOOKUP('Project Details by Yr - MASTER'!$B42,'Parking Lots &amp; Playgrounds'!$A$9:$N$33,I$2,0))+IF(ISNA(VLOOKUP($B42,Vehicles!$B$9:$O$50,I$2,0)),0,VLOOKUP($B42,Vehicles!$B$9:$O$50,I$2,0))</f>
        <v>0</v>
      </c>
      <c r="J42" s="8">
        <f>IF(ISNA(VLOOKUP($B42,'Other Capital Needs'!$C$51:$P$95,J$2,0)),0,VLOOKUP($B42,'Other Capital Needs'!$C$51:$P$95,J$2,0))+IF(ISNA(VLOOKUP('Project Details by Yr - MASTER'!$B42,'Public Grounds'!$A$11:$N$49,J$2,0)),0,VLOOKUP('Project Details by Yr - MASTER'!$B42,'Public Grounds'!$A$11:$N$49,J$2,0))+IF(ISNA(VLOOKUP('Project Details by Yr - MASTER'!$B42,'Public Buildings'!$A$10:$N$96,J$2,0)),0,VLOOKUP('Project Details by Yr - MASTER'!$B42,'Public Buildings'!$A$10:$N$96,J$2,0))+IF(ISNA(VLOOKUP('Project Details by Yr - MASTER'!$B42,Bridges!$A$9:$N$24,J$2,0)),0,VLOOKUP('Project Details by Yr - MASTER'!$B42,Bridges!$A$9:$N$24,J$2,0))+IF(ISNA(VLOOKUP('Project Details by Yr - MASTER'!$B42,'Parking Lots &amp; Playgrounds'!$A$9:$N$33,J$2,0)),0,VLOOKUP('Project Details by Yr - MASTER'!$B42,'Parking Lots &amp; Playgrounds'!$A$9:$N$33,J$2,0))+IF(ISNA(VLOOKUP($B42,Vehicles!$B$9:$O$50,J$2,0)),0,VLOOKUP($B42,Vehicles!$B$9:$O$50,J$2,0))</f>
        <v>0</v>
      </c>
      <c r="K42" s="8">
        <f>IF(ISNA(VLOOKUP($B42,'Other Capital Needs'!$C$51:$P$95,K$2,0)),0,VLOOKUP($B42,'Other Capital Needs'!$C$51:$P$95,K$2,0))+IF(ISNA(VLOOKUP('Project Details by Yr - MASTER'!$B42,'Public Grounds'!$A$11:$N$49,K$2,0)),0,VLOOKUP('Project Details by Yr - MASTER'!$B42,'Public Grounds'!$A$11:$N$49,K$2,0))+IF(ISNA(VLOOKUP('Project Details by Yr - MASTER'!$B42,'Public Buildings'!$A$10:$N$96,K$2,0)),0,VLOOKUP('Project Details by Yr - MASTER'!$B42,'Public Buildings'!$A$10:$N$96,K$2,0))+IF(ISNA(VLOOKUP('Project Details by Yr - MASTER'!$B42,Bridges!$A$9:$N$24,K$2,0)),0,VLOOKUP('Project Details by Yr - MASTER'!$B42,Bridges!$A$9:$N$24,K$2,0))+IF(ISNA(VLOOKUP('Project Details by Yr - MASTER'!$B42,'Parking Lots &amp; Playgrounds'!$A$9:$N$33,K$2,0)),0,VLOOKUP('Project Details by Yr - MASTER'!$B42,'Parking Lots &amp; Playgrounds'!$A$9:$N$33,K$2,0))+IF(ISNA(VLOOKUP($B42,Vehicles!$B$9:$O$50,K$2,0)),0,VLOOKUP($B42,Vehicles!$B$9:$O$50,K$2,0))</f>
        <v>0</v>
      </c>
    </row>
    <row r="43" spans="1:11" x14ac:dyDescent="0.25">
      <c r="A43" s="31">
        <v>36</v>
      </c>
      <c r="B43" s="26" t="s">
        <v>178</v>
      </c>
      <c r="C43" s="26" t="s">
        <v>101</v>
      </c>
      <c r="D43" s="26" t="s">
        <v>271</v>
      </c>
      <c r="E43" s="31" t="s">
        <v>16</v>
      </c>
      <c r="F43" s="26"/>
      <c r="G43" s="8">
        <f>IF(ISNA(VLOOKUP($B43,'Other Capital Needs'!$C$51:$P$95,G$2,0)),0,VLOOKUP($B43,'Other Capital Needs'!$C$51:$P$95,G$2,0))+IF(ISNA(VLOOKUP('Project Details by Yr - MASTER'!$B43,'Public Grounds'!$A$11:$N$49,G$2,0)),0,VLOOKUP('Project Details by Yr - MASTER'!$B43,'Public Grounds'!$A$11:$N$49,G$2,0))+IF(ISNA(VLOOKUP('Project Details by Yr - MASTER'!$B43,'Public Buildings'!$A$10:$N$96,G$2,0)),0,VLOOKUP('Project Details by Yr - MASTER'!$B43,'Public Buildings'!$A$10:$N$96,G$2,0))+IF(ISNA(VLOOKUP('Project Details by Yr - MASTER'!$B43,Bridges!$A$9:$N$24,G$2,0)),0,VLOOKUP('Project Details by Yr - MASTER'!$B43,Bridges!$A$9:$N$24,G$2,0))+IF(ISNA(VLOOKUP('Project Details by Yr - MASTER'!$B43,'Parking Lots &amp; Playgrounds'!$A$9:$N$33,G$2,0)),0,VLOOKUP('Project Details by Yr - MASTER'!$B43,'Parking Lots &amp; Playgrounds'!$A$9:$N$33,G$2,0))+IF(ISNA(VLOOKUP($B43,Vehicles!$B$9:$O$50,G$2,0)),0,VLOOKUP($B43,Vehicles!$B$9:$O$50,G$2,0))</f>
        <v>50000</v>
      </c>
      <c r="H43" s="8">
        <f>IF(ISNA(VLOOKUP($B43,'Other Capital Needs'!$C$51:$P$95,H$2,0)),0,VLOOKUP($B43,'Other Capital Needs'!$C$51:$P$95,H$2,0))+IF(ISNA(VLOOKUP('Project Details by Yr - MASTER'!$B43,'Public Grounds'!$A$11:$N$49,H$2,0)),0,VLOOKUP('Project Details by Yr - MASTER'!$B43,'Public Grounds'!$A$11:$N$49,H$2,0))+IF(ISNA(VLOOKUP('Project Details by Yr - MASTER'!$B43,'Public Buildings'!$A$10:$N$96,H$2,0)),0,VLOOKUP('Project Details by Yr - MASTER'!$B43,'Public Buildings'!$A$10:$N$96,H$2,0))+IF(ISNA(VLOOKUP('Project Details by Yr - MASTER'!$B43,Bridges!$A$9:$N$24,H$2,0)),0,VLOOKUP('Project Details by Yr - MASTER'!$B43,Bridges!$A$9:$N$24,H$2,0))+IF(ISNA(VLOOKUP('Project Details by Yr - MASTER'!$B43,'Parking Lots &amp; Playgrounds'!$A$9:$N$33,H$2,0)),0,VLOOKUP('Project Details by Yr - MASTER'!$B43,'Parking Lots &amp; Playgrounds'!$A$9:$N$33,H$2,0))+IF(ISNA(VLOOKUP($B43,Vehicles!$B$9:$O$50,H$2,0)),0,VLOOKUP($B43,Vehicles!$B$9:$O$50,H$2,0))</f>
        <v>0</v>
      </c>
      <c r="I43" s="8">
        <f>IF(ISNA(VLOOKUP($B43,'Other Capital Needs'!$C$51:$P$95,I$2,0)),0,VLOOKUP($B43,'Other Capital Needs'!$C$51:$P$95,I$2,0))+IF(ISNA(VLOOKUP('Project Details by Yr - MASTER'!$B43,'Public Grounds'!$A$11:$N$49,I$2,0)),0,VLOOKUP('Project Details by Yr - MASTER'!$B43,'Public Grounds'!$A$11:$N$49,I$2,0))+IF(ISNA(VLOOKUP('Project Details by Yr - MASTER'!$B43,'Public Buildings'!$A$10:$N$96,I$2,0)),0,VLOOKUP('Project Details by Yr - MASTER'!$B43,'Public Buildings'!$A$10:$N$96,I$2,0))+IF(ISNA(VLOOKUP('Project Details by Yr - MASTER'!$B43,Bridges!$A$9:$N$24,I$2,0)),0,VLOOKUP('Project Details by Yr - MASTER'!$B43,Bridges!$A$9:$N$24,I$2,0))+IF(ISNA(VLOOKUP('Project Details by Yr - MASTER'!$B43,'Parking Lots &amp; Playgrounds'!$A$9:$N$33,I$2,0)),0,VLOOKUP('Project Details by Yr - MASTER'!$B43,'Parking Lots &amp; Playgrounds'!$A$9:$N$33,I$2,0))+IF(ISNA(VLOOKUP($B43,Vehicles!$B$9:$O$50,I$2,0)),0,VLOOKUP($B43,Vehicles!$B$9:$O$50,I$2,0))</f>
        <v>0</v>
      </c>
      <c r="J43" s="8">
        <f>IF(ISNA(VLOOKUP($B43,'Other Capital Needs'!$C$51:$P$95,J$2,0)),0,VLOOKUP($B43,'Other Capital Needs'!$C$51:$P$95,J$2,0))+IF(ISNA(VLOOKUP('Project Details by Yr - MASTER'!$B43,'Public Grounds'!$A$11:$N$49,J$2,0)),0,VLOOKUP('Project Details by Yr - MASTER'!$B43,'Public Grounds'!$A$11:$N$49,J$2,0))+IF(ISNA(VLOOKUP('Project Details by Yr - MASTER'!$B43,'Public Buildings'!$A$10:$N$96,J$2,0)),0,VLOOKUP('Project Details by Yr - MASTER'!$B43,'Public Buildings'!$A$10:$N$96,J$2,0))+IF(ISNA(VLOOKUP('Project Details by Yr - MASTER'!$B43,Bridges!$A$9:$N$24,J$2,0)),0,VLOOKUP('Project Details by Yr - MASTER'!$B43,Bridges!$A$9:$N$24,J$2,0))+IF(ISNA(VLOOKUP('Project Details by Yr - MASTER'!$B43,'Parking Lots &amp; Playgrounds'!$A$9:$N$33,J$2,0)),0,VLOOKUP('Project Details by Yr - MASTER'!$B43,'Parking Lots &amp; Playgrounds'!$A$9:$N$33,J$2,0))+IF(ISNA(VLOOKUP($B43,Vehicles!$B$9:$O$50,J$2,0)),0,VLOOKUP($B43,Vehicles!$B$9:$O$50,J$2,0))</f>
        <v>0</v>
      </c>
      <c r="K43" s="8">
        <f>IF(ISNA(VLOOKUP($B43,'Other Capital Needs'!$C$51:$P$95,K$2,0)),0,VLOOKUP($B43,'Other Capital Needs'!$C$51:$P$95,K$2,0))+IF(ISNA(VLOOKUP('Project Details by Yr - MASTER'!$B43,'Public Grounds'!$A$11:$N$49,K$2,0)),0,VLOOKUP('Project Details by Yr - MASTER'!$B43,'Public Grounds'!$A$11:$N$49,K$2,0))+IF(ISNA(VLOOKUP('Project Details by Yr - MASTER'!$B43,'Public Buildings'!$A$10:$N$96,K$2,0)),0,VLOOKUP('Project Details by Yr - MASTER'!$B43,'Public Buildings'!$A$10:$N$96,K$2,0))+IF(ISNA(VLOOKUP('Project Details by Yr - MASTER'!$B43,Bridges!$A$9:$N$24,K$2,0)),0,VLOOKUP('Project Details by Yr - MASTER'!$B43,Bridges!$A$9:$N$24,K$2,0))+IF(ISNA(VLOOKUP('Project Details by Yr - MASTER'!$B43,'Parking Lots &amp; Playgrounds'!$A$9:$N$33,K$2,0)),0,VLOOKUP('Project Details by Yr - MASTER'!$B43,'Parking Lots &amp; Playgrounds'!$A$9:$N$33,K$2,0))+IF(ISNA(VLOOKUP($B43,Vehicles!$B$9:$O$50,K$2,0)),0,VLOOKUP($B43,Vehicles!$B$9:$O$50,K$2,0))</f>
        <v>0</v>
      </c>
    </row>
    <row r="44" spans="1:11" x14ac:dyDescent="0.25">
      <c r="A44" s="31">
        <v>36</v>
      </c>
      <c r="B44" s="26" t="s">
        <v>179</v>
      </c>
      <c r="C44" s="26" t="s">
        <v>101</v>
      </c>
      <c r="D44" s="26" t="s">
        <v>271</v>
      </c>
      <c r="E44" s="31" t="s">
        <v>38</v>
      </c>
      <c r="F44" s="26"/>
      <c r="G44" s="8">
        <f>IF(ISNA(VLOOKUP($B44,'Other Capital Needs'!$C$51:$P$95,G$2,0)),0,VLOOKUP($B44,'Other Capital Needs'!$C$51:$P$95,G$2,0))+IF(ISNA(VLOOKUP('Project Details by Yr - MASTER'!$B44,'Public Grounds'!$A$11:$N$49,G$2,0)),0,VLOOKUP('Project Details by Yr - MASTER'!$B44,'Public Grounds'!$A$11:$N$49,G$2,0))+IF(ISNA(VLOOKUP('Project Details by Yr - MASTER'!$B44,'Public Buildings'!$A$10:$N$96,G$2,0)),0,VLOOKUP('Project Details by Yr - MASTER'!$B44,'Public Buildings'!$A$10:$N$96,G$2,0))+IF(ISNA(VLOOKUP('Project Details by Yr - MASTER'!$B44,Bridges!$A$9:$N$24,G$2,0)),0,VLOOKUP('Project Details by Yr - MASTER'!$B44,Bridges!$A$9:$N$24,G$2,0))+IF(ISNA(VLOOKUP('Project Details by Yr - MASTER'!$B44,'Parking Lots &amp; Playgrounds'!$A$9:$N$33,G$2,0)),0,VLOOKUP('Project Details by Yr - MASTER'!$B44,'Parking Lots &amp; Playgrounds'!$A$9:$N$33,G$2,0))+IF(ISNA(VLOOKUP($B44,Vehicles!$B$9:$O$50,G$2,0)),0,VLOOKUP($B44,Vehicles!$B$9:$O$50,G$2,0))</f>
        <v>120000</v>
      </c>
      <c r="H44" s="8">
        <f>IF(ISNA(VLOOKUP($B44,'Other Capital Needs'!$C$51:$P$95,H$2,0)),0,VLOOKUP($B44,'Other Capital Needs'!$C$51:$P$95,H$2,0))+IF(ISNA(VLOOKUP('Project Details by Yr - MASTER'!$B44,'Public Grounds'!$A$11:$N$49,H$2,0)),0,VLOOKUP('Project Details by Yr - MASTER'!$B44,'Public Grounds'!$A$11:$N$49,H$2,0))+IF(ISNA(VLOOKUP('Project Details by Yr - MASTER'!$B44,'Public Buildings'!$A$10:$N$96,H$2,0)),0,VLOOKUP('Project Details by Yr - MASTER'!$B44,'Public Buildings'!$A$10:$N$96,H$2,0))+IF(ISNA(VLOOKUP('Project Details by Yr - MASTER'!$B44,Bridges!$A$9:$N$24,H$2,0)),0,VLOOKUP('Project Details by Yr - MASTER'!$B44,Bridges!$A$9:$N$24,H$2,0))+IF(ISNA(VLOOKUP('Project Details by Yr - MASTER'!$B44,'Parking Lots &amp; Playgrounds'!$A$9:$N$33,H$2,0)),0,VLOOKUP('Project Details by Yr - MASTER'!$B44,'Parking Lots &amp; Playgrounds'!$A$9:$N$33,H$2,0))+IF(ISNA(VLOOKUP($B44,Vehicles!$B$9:$O$50,H$2,0)),0,VLOOKUP($B44,Vehicles!$B$9:$O$50,H$2,0))</f>
        <v>120000</v>
      </c>
      <c r="I44" s="8">
        <f>IF(ISNA(VLOOKUP($B44,'Other Capital Needs'!$C$51:$P$95,I$2,0)),0,VLOOKUP($B44,'Other Capital Needs'!$C$51:$P$95,I$2,0))+IF(ISNA(VLOOKUP('Project Details by Yr - MASTER'!$B44,'Public Grounds'!$A$11:$N$49,I$2,0)),0,VLOOKUP('Project Details by Yr - MASTER'!$B44,'Public Grounds'!$A$11:$N$49,I$2,0))+IF(ISNA(VLOOKUP('Project Details by Yr - MASTER'!$B44,'Public Buildings'!$A$10:$N$96,I$2,0)),0,VLOOKUP('Project Details by Yr - MASTER'!$B44,'Public Buildings'!$A$10:$N$96,I$2,0))+IF(ISNA(VLOOKUP('Project Details by Yr - MASTER'!$B44,Bridges!$A$9:$N$24,I$2,0)),0,VLOOKUP('Project Details by Yr - MASTER'!$B44,Bridges!$A$9:$N$24,I$2,0))+IF(ISNA(VLOOKUP('Project Details by Yr - MASTER'!$B44,'Parking Lots &amp; Playgrounds'!$A$9:$N$33,I$2,0)),0,VLOOKUP('Project Details by Yr - MASTER'!$B44,'Parking Lots &amp; Playgrounds'!$A$9:$N$33,I$2,0))+IF(ISNA(VLOOKUP($B44,Vehicles!$B$9:$O$50,I$2,0)),0,VLOOKUP($B44,Vehicles!$B$9:$O$50,I$2,0))</f>
        <v>120000</v>
      </c>
      <c r="J44" s="8">
        <f>IF(ISNA(VLOOKUP($B44,'Other Capital Needs'!$C$51:$P$95,J$2,0)),0,VLOOKUP($B44,'Other Capital Needs'!$C$51:$P$95,J$2,0))+IF(ISNA(VLOOKUP('Project Details by Yr - MASTER'!$B44,'Public Grounds'!$A$11:$N$49,J$2,0)),0,VLOOKUP('Project Details by Yr - MASTER'!$B44,'Public Grounds'!$A$11:$N$49,J$2,0))+IF(ISNA(VLOOKUP('Project Details by Yr - MASTER'!$B44,'Public Buildings'!$A$10:$N$96,J$2,0)),0,VLOOKUP('Project Details by Yr - MASTER'!$B44,'Public Buildings'!$A$10:$N$96,J$2,0))+IF(ISNA(VLOOKUP('Project Details by Yr - MASTER'!$B44,Bridges!$A$9:$N$24,J$2,0)),0,VLOOKUP('Project Details by Yr - MASTER'!$B44,Bridges!$A$9:$N$24,J$2,0))+IF(ISNA(VLOOKUP('Project Details by Yr - MASTER'!$B44,'Parking Lots &amp; Playgrounds'!$A$9:$N$33,J$2,0)),0,VLOOKUP('Project Details by Yr - MASTER'!$B44,'Parking Lots &amp; Playgrounds'!$A$9:$N$33,J$2,0))+IF(ISNA(VLOOKUP($B44,Vehicles!$B$9:$O$50,J$2,0)),0,VLOOKUP($B44,Vehicles!$B$9:$O$50,J$2,0))</f>
        <v>120000</v>
      </c>
      <c r="K44" s="8">
        <f>IF(ISNA(VLOOKUP($B44,'Other Capital Needs'!$C$51:$P$95,K$2,0)),0,VLOOKUP($B44,'Other Capital Needs'!$C$51:$P$95,K$2,0))+IF(ISNA(VLOOKUP('Project Details by Yr - MASTER'!$B44,'Public Grounds'!$A$11:$N$49,K$2,0)),0,VLOOKUP('Project Details by Yr - MASTER'!$B44,'Public Grounds'!$A$11:$N$49,K$2,0))+IF(ISNA(VLOOKUP('Project Details by Yr - MASTER'!$B44,'Public Buildings'!$A$10:$N$96,K$2,0)),0,VLOOKUP('Project Details by Yr - MASTER'!$B44,'Public Buildings'!$A$10:$N$96,K$2,0))+IF(ISNA(VLOOKUP('Project Details by Yr - MASTER'!$B44,Bridges!$A$9:$N$24,K$2,0)),0,VLOOKUP('Project Details by Yr - MASTER'!$B44,Bridges!$A$9:$N$24,K$2,0))+IF(ISNA(VLOOKUP('Project Details by Yr - MASTER'!$B44,'Parking Lots &amp; Playgrounds'!$A$9:$N$33,K$2,0)),0,VLOOKUP('Project Details by Yr - MASTER'!$B44,'Parking Lots &amp; Playgrounds'!$A$9:$N$33,K$2,0))+IF(ISNA(VLOOKUP($B44,Vehicles!$B$9:$O$50,K$2,0)),0,VLOOKUP($B44,Vehicles!$B$9:$O$50,K$2,0))</f>
        <v>120000</v>
      </c>
    </row>
    <row r="45" spans="1:11" x14ac:dyDescent="0.25">
      <c r="A45" s="31">
        <v>36</v>
      </c>
      <c r="B45" s="26" t="s">
        <v>180</v>
      </c>
      <c r="C45" s="26" t="s">
        <v>101</v>
      </c>
      <c r="D45" s="26" t="s">
        <v>271</v>
      </c>
      <c r="E45" s="31" t="s">
        <v>16</v>
      </c>
      <c r="F45" s="26"/>
      <c r="G45" s="8">
        <f>IF(ISNA(VLOOKUP($B45,'Other Capital Needs'!$C$51:$P$95,G$2,0)),0,VLOOKUP($B45,'Other Capital Needs'!$C$51:$P$95,G$2,0))+IF(ISNA(VLOOKUP('Project Details by Yr - MASTER'!$B45,'Public Grounds'!$A$11:$N$49,G$2,0)),0,VLOOKUP('Project Details by Yr - MASTER'!$B45,'Public Grounds'!$A$11:$N$49,G$2,0))+IF(ISNA(VLOOKUP('Project Details by Yr - MASTER'!$B45,'Public Buildings'!$A$10:$N$96,G$2,0)),0,VLOOKUP('Project Details by Yr - MASTER'!$B45,'Public Buildings'!$A$10:$N$96,G$2,0))+IF(ISNA(VLOOKUP('Project Details by Yr - MASTER'!$B45,Bridges!$A$9:$N$24,G$2,0)),0,VLOOKUP('Project Details by Yr - MASTER'!$B45,Bridges!$A$9:$N$24,G$2,0))+IF(ISNA(VLOOKUP('Project Details by Yr - MASTER'!$B45,'Parking Lots &amp; Playgrounds'!$A$9:$N$33,G$2,0)),0,VLOOKUP('Project Details by Yr - MASTER'!$B45,'Parking Lots &amp; Playgrounds'!$A$9:$N$33,G$2,0))+IF(ISNA(VLOOKUP($B45,Vehicles!$B$9:$O$50,G$2,0)),0,VLOOKUP($B45,Vehicles!$B$9:$O$50,G$2,0))</f>
        <v>0</v>
      </c>
      <c r="H45" s="8">
        <f>IF(ISNA(VLOOKUP($B45,'Other Capital Needs'!$C$51:$P$95,H$2,0)),0,VLOOKUP($B45,'Other Capital Needs'!$C$51:$P$95,H$2,0))+IF(ISNA(VLOOKUP('Project Details by Yr - MASTER'!$B45,'Public Grounds'!$A$11:$N$49,H$2,0)),0,VLOOKUP('Project Details by Yr - MASTER'!$B45,'Public Grounds'!$A$11:$N$49,H$2,0))+IF(ISNA(VLOOKUP('Project Details by Yr - MASTER'!$B45,'Public Buildings'!$A$10:$N$96,H$2,0)),0,VLOOKUP('Project Details by Yr - MASTER'!$B45,'Public Buildings'!$A$10:$N$96,H$2,0))+IF(ISNA(VLOOKUP('Project Details by Yr - MASTER'!$B45,Bridges!$A$9:$N$24,H$2,0)),0,VLOOKUP('Project Details by Yr - MASTER'!$B45,Bridges!$A$9:$N$24,H$2,0))+IF(ISNA(VLOOKUP('Project Details by Yr - MASTER'!$B45,'Parking Lots &amp; Playgrounds'!$A$9:$N$33,H$2,0)),0,VLOOKUP('Project Details by Yr - MASTER'!$B45,'Parking Lots &amp; Playgrounds'!$A$9:$N$33,H$2,0))+IF(ISNA(VLOOKUP($B45,Vehicles!$B$9:$O$50,H$2,0)),0,VLOOKUP($B45,Vehicles!$B$9:$O$50,H$2,0))</f>
        <v>0</v>
      </c>
      <c r="I45" s="8">
        <f>IF(ISNA(VLOOKUP($B45,'Other Capital Needs'!$C$51:$P$95,I$2,0)),0,VLOOKUP($B45,'Other Capital Needs'!$C$51:$P$95,I$2,0))+IF(ISNA(VLOOKUP('Project Details by Yr - MASTER'!$B45,'Public Grounds'!$A$11:$N$49,I$2,0)),0,VLOOKUP('Project Details by Yr - MASTER'!$B45,'Public Grounds'!$A$11:$N$49,I$2,0))+IF(ISNA(VLOOKUP('Project Details by Yr - MASTER'!$B45,'Public Buildings'!$A$10:$N$96,I$2,0)),0,VLOOKUP('Project Details by Yr - MASTER'!$B45,'Public Buildings'!$A$10:$N$96,I$2,0))+IF(ISNA(VLOOKUP('Project Details by Yr - MASTER'!$B45,Bridges!$A$9:$N$24,I$2,0)),0,VLOOKUP('Project Details by Yr - MASTER'!$B45,Bridges!$A$9:$N$24,I$2,0))+IF(ISNA(VLOOKUP('Project Details by Yr - MASTER'!$B45,'Parking Lots &amp; Playgrounds'!$A$9:$N$33,I$2,0)),0,VLOOKUP('Project Details by Yr - MASTER'!$B45,'Parking Lots &amp; Playgrounds'!$A$9:$N$33,I$2,0))+IF(ISNA(VLOOKUP($B45,Vehicles!$B$9:$O$50,I$2,0)),0,VLOOKUP($B45,Vehicles!$B$9:$O$50,I$2,0))</f>
        <v>0</v>
      </c>
      <c r="J45" s="8">
        <f>IF(ISNA(VLOOKUP($B45,'Other Capital Needs'!$C$51:$P$95,J$2,0)),0,VLOOKUP($B45,'Other Capital Needs'!$C$51:$P$95,J$2,0))+IF(ISNA(VLOOKUP('Project Details by Yr - MASTER'!$B45,'Public Grounds'!$A$11:$N$49,J$2,0)),0,VLOOKUP('Project Details by Yr - MASTER'!$B45,'Public Grounds'!$A$11:$N$49,J$2,0))+IF(ISNA(VLOOKUP('Project Details by Yr - MASTER'!$B45,'Public Buildings'!$A$10:$N$96,J$2,0)),0,VLOOKUP('Project Details by Yr - MASTER'!$B45,'Public Buildings'!$A$10:$N$96,J$2,0))+IF(ISNA(VLOOKUP('Project Details by Yr - MASTER'!$B45,Bridges!$A$9:$N$24,J$2,0)),0,VLOOKUP('Project Details by Yr - MASTER'!$B45,Bridges!$A$9:$N$24,J$2,0))+IF(ISNA(VLOOKUP('Project Details by Yr - MASTER'!$B45,'Parking Lots &amp; Playgrounds'!$A$9:$N$33,J$2,0)),0,VLOOKUP('Project Details by Yr - MASTER'!$B45,'Parking Lots &amp; Playgrounds'!$A$9:$N$33,J$2,0))+IF(ISNA(VLOOKUP($B45,Vehicles!$B$9:$O$50,J$2,0)),0,VLOOKUP($B45,Vehicles!$B$9:$O$50,J$2,0))</f>
        <v>0</v>
      </c>
      <c r="K45" s="8">
        <f>IF(ISNA(VLOOKUP($B45,'Other Capital Needs'!$C$51:$P$95,K$2,0)),0,VLOOKUP($B45,'Other Capital Needs'!$C$51:$P$95,K$2,0))+IF(ISNA(VLOOKUP('Project Details by Yr - MASTER'!$B45,'Public Grounds'!$A$11:$N$49,K$2,0)),0,VLOOKUP('Project Details by Yr - MASTER'!$B45,'Public Grounds'!$A$11:$N$49,K$2,0))+IF(ISNA(VLOOKUP('Project Details by Yr - MASTER'!$B45,'Public Buildings'!$A$10:$N$96,K$2,0)),0,VLOOKUP('Project Details by Yr - MASTER'!$B45,'Public Buildings'!$A$10:$N$96,K$2,0))+IF(ISNA(VLOOKUP('Project Details by Yr - MASTER'!$B45,Bridges!$A$9:$N$24,K$2,0)),0,VLOOKUP('Project Details by Yr - MASTER'!$B45,Bridges!$A$9:$N$24,K$2,0))+IF(ISNA(VLOOKUP('Project Details by Yr - MASTER'!$B45,'Parking Lots &amp; Playgrounds'!$A$9:$N$33,K$2,0)),0,VLOOKUP('Project Details by Yr - MASTER'!$B45,'Parking Lots &amp; Playgrounds'!$A$9:$N$33,K$2,0))+IF(ISNA(VLOOKUP($B45,Vehicles!$B$9:$O$50,K$2,0)),0,VLOOKUP($B45,Vehicles!$B$9:$O$50,K$2,0))</f>
        <v>0</v>
      </c>
    </row>
    <row r="46" spans="1:11" x14ac:dyDescent="0.25">
      <c r="A46" s="31">
        <v>36</v>
      </c>
      <c r="B46" s="26" t="s">
        <v>110</v>
      </c>
      <c r="C46" s="26" t="s">
        <v>101</v>
      </c>
      <c r="D46" s="26" t="s">
        <v>271</v>
      </c>
      <c r="E46" s="31" t="s">
        <v>19</v>
      </c>
      <c r="F46" s="26"/>
      <c r="G46" s="8">
        <f>IF(ISNA(VLOOKUP($B46,'Other Capital Needs'!$C$51:$P$95,G$2,0)),0,VLOOKUP($B46,'Other Capital Needs'!$C$51:$P$95,G$2,0))+IF(ISNA(VLOOKUP('Project Details by Yr - MASTER'!$B46,'Public Grounds'!$A$11:$N$49,G$2,0)),0,VLOOKUP('Project Details by Yr - MASTER'!$B46,'Public Grounds'!$A$11:$N$49,G$2,0))+IF(ISNA(VLOOKUP('Project Details by Yr - MASTER'!$B46,'Public Buildings'!$A$10:$N$96,G$2,0)),0,VLOOKUP('Project Details by Yr - MASTER'!$B46,'Public Buildings'!$A$10:$N$96,G$2,0))+IF(ISNA(VLOOKUP('Project Details by Yr - MASTER'!$B46,Bridges!$A$9:$N$24,G$2,0)),0,VLOOKUP('Project Details by Yr - MASTER'!$B46,Bridges!$A$9:$N$24,G$2,0))+IF(ISNA(VLOOKUP('Project Details by Yr - MASTER'!$B46,'Parking Lots &amp; Playgrounds'!$A$9:$N$33,G$2,0)),0,VLOOKUP('Project Details by Yr - MASTER'!$B46,'Parking Lots &amp; Playgrounds'!$A$9:$N$33,G$2,0))+IF(ISNA(VLOOKUP($B46,Vehicles!$B$9:$O$50,G$2,0)),0,VLOOKUP($B46,Vehicles!$B$9:$O$50,G$2,0))</f>
        <v>1400000</v>
      </c>
      <c r="H46" s="8">
        <f>IF(ISNA(VLOOKUP($B46,'Other Capital Needs'!$C$51:$P$95,H$2,0)),0,VLOOKUP($B46,'Other Capital Needs'!$C$51:$P$95,H$2,0))+IF(ISNA(VLOOKUP('Project Details by Yr - MASTER'!$B46,'Public Grounds'!$A$11:$N$49,H$2,0)),0,VLOOKUP('Project Details by Yr - MASTER'!$B46,'Public Grounds'!$A$11:$N$49,H$2,0))+IF(ISNA(VLOOKUP('Project Details by Yr - MASTER'!$B46,'Public Buildings'!$A$10:$N$96,H$2,0)),0,VLOOKUP('Project Details by Yr - MASTER'!$B46,'Public Buildings'!$A$10:$N$96,H$2,0))+IF(ISNA(VLOOKUP('Project Details by Yr - MASTER'!$B46,Bridges!$A$9:$N$24,H$2,0)),0,VLOOKUP('Project Details by Yr - MASTER'!$B46,Bridges!$A$9:$N$24,H$2,0))+IF(ISNA(VLOOKUP('Project Details by Yr - MASTER'!$B46,'Parking Lots &amp; Playgrounds'!$A$9:$N$33,H$2,0)),0,VLOOKUP('Project Details by Yr - MASTER'!$B46,'Parking Lots &amp; Playgrounds'!$A$9:$N$33,H$2,0))+IF(ISNA(VLOOKUP($B46,Vehicles!$B$9:$O$50,H$2,0)),0,VLOOKUP($B46,Vehicles!$B$9:$O$50,H$2,0))</f>
        <v>0</v>
      </c>
      <c r="I46" s="8">
        <f>IF(ISNA(VLOOKUP($B46,'Other Capital Needs'!$C$51:$P$95,I$2,0)),0,VLOOKUP($B46,'Other Capital Needs'!$C$51:$P$95,I$2,0))+IF(ISNA(VLOOKUP('Project Details by Yr - MASTER'!$B46,'Public Grounds'!$A$11:$N$49,I$2,0)),0,VLOOKUP('Project Details by Yr - MASTER'!$B46,'Public Grounds'!$A$11:$N$49,I$2,0))+IF(ISNA(VLOOKUP('Project Details by Yr - MASTER'!$B46,'Public Buildings'!$A$10:$N$96,I$2,0)),0,VLOOKUP('Project Details by Yr - MASTER'!$B46,'Public Buildings'!$A$10:$N$96,I$2,0))+IF(ISNA(VLOOKUP('Project Details by Yr - MASTER'!$B46,Bridges!$A$9:$N$24,I$2,0)),0,VLOOKUP('Project Details by Yr - MASTER'!$B46,Bridges!$A$9:$N$24,I$2,0))+IF(ISNA(VLOOKUP('Project Details by Yr - MASTER'!$B46,'Parking Lots &amp; Playgrounds'!$A$9:$N$33,I$2,0)),0,VLOOKUP('Project Details by Yr - MASTER'!$B46,'Parking Lots &amp; Playgrounds'!$A$9:$N$33,I$2,0))+IF(ISNA(VLOOKUP($B46,Vehicles!$B$9:$O$50,I$2,0)),0,VLOOKUP($B46,Vehicles!$B$9:$O$50,I$2,0))</f>
        <v>0</v>
      </c>
      <c r="J46" s="8">
        <f>IF(ISNA(VLOOKUP($B46,'Other Capital Needs'!$C$51:$P$95,J$2,0)),0,VLOOKUP($B46,'Other Capital Needs'!$C$51:$P$95,J$2,0))+IF(ISNA(VLOOKUP('Project Details by Yr - MASTER'!$B46,'Public Grounds'!$A$11:$N$49,J$2,0)),0,VLOOKUP('Project Details by Yr - MASTER'!$B46,'Public Grounds'!$A$11:$N$49,J$2,0))+IF(ISNA(VLOOKUP('Project Details by Yr - MASTER'!$B46,'Public Buildings'!$A$10:$N$96,J$2,0)),0,VLOOKUP('Project Details by Yr - MASTER'!$B46,'Public Buildings'!$A$10:$N$96,J$2,0))+IF(ISNA(VLOOKUP('Project Details by Yr - MASTER'!$B46,Bridges!$A$9:$N$24,J$2,0)),0,VLOOKUP('Project Details by Yr - MASTER'!$B46,Bridges!$A$9:$N$24,J$2,0))+IF(ISNA(VLOOKUP('Project Details by Yr - MASTER'!$B46,'Parking Lots &amp; Playgrounds'!$A$9:$N$33,J$2,0)),0,VLOOKUP('Project Details by Yr - MASTER'!$B46,'Parking Lots &amp; Playgrounds'!$A$9:$N$33,J$2,0))+IF(ISNA(VLOOKUP($B46,Vehicles!$B$9:$O$50,J$2,0)),0,VLOOKUP($B46,Vehicles!$B$9:$O$50,J$2,0))</f>
        <v>0</v>
      </c>
      <c r="K46" s="8">
        <f>IF(ISNA(VLOOKUP($B46,'Other Capital Needs'!$C$51:$P$95,K$2,0)),0,VLOOKUP($B46,'Other Capital Needs'!$C$51:$P$95,K$2,0))+IF(ISNA(VLOOKUP('Project Details by Yr - MASTER'!$B46,'Public Grounds'!$A$11:$N$49,K$2,0)),0,VLOOKUP('Project Details by Yr - MASTER'!$B46,'Public Grounds'!$A$11:$N$49,K$2,0))+IF(ISNA(VLOOKUP('Project Details by Yr - MASTER'!$B46,'Public Buildings'!$A$10:$N$96,K$2,0)),0,VLOOKUP('Project Details by Yr - MASTER'!$B46,'Public Buildings'!$A$10:$N$96,K$2,0))+IF(ISNA(VLOOKUP('Project Details by Yr - MASTER'!$B46,Bridges!$A$9:$N$24,K$2,0)),0,VLOOKUP('Project Details by Yr - MASTER'!$B46,Bridges!$A$9:$N$24,K$2,0))+IF(ISNA(VLOOKUP('Project Details by Yr - MASTER'!$B46,'Parking Lots &amp; Playgrounds'!$A$9:$N$33,K$2,0)),0,VLOOKUP('Project Details by Yr - MASTER'!$B46,'Parking Lots &amp; Playgrounds'!$A$9:$N$33,K$2,0))+IF(ISNA(VLOOKUP($B46,Vehicles!$B$9:$O$50,K$2,0)),0,VLOOKUP($B46,Vehicles!$B$9:$O$50,K$2,0))</f>
        <v>0</v>
      </c>
    </row>
    <row r="47" spans="1:11" x14ac:dyDescent="0.25">
      <c r="A47" s="31">
        <v>42</v>
      </c>
      <c r="B47" s="26" t="s">
        <v>182</v>
      </c>
      <c r="C47" s="26" t="s">
        <v>101</v>
      </c>
      <c r="D47" s="26" t="s">
        <v>271</v>
      </c>
      <c r="E47" s="31" t="s">
        <v>16</v>
      </c>
      <c r="F47" s="26"/>
      <c r="G47" s="8">
        <f>IF(ISNA(VLOOKUP($B47,'Other Capital Needs'!$C$51:$P$95,G$2,0)),0,VLOOKUP($B47,'Other Capital Needs'!$C$51:$P$95,G$2,0))+IF(ISNA(VLOOKUP('Project Details by Yr - MASTER'!$B47,'Public Grounds'!$A$11:$N$49,G$2,0)),0,VLOOKUP('Project Details by Yr - MASTER'!$B47,'Public Grounds'!$A$11:$N$49,G$2,0))+IF(ISNA(VLOOKUP('Project Details by Yr - MASTER'!$B47,'Public Buildings'!$A$10:$N$96,G$2,0)),0,VLOOKUP('Project Details by Yr - MASTER'!$B47,'Public Buildings'!$A$10:$N$96,G$2,0))+IF(ISNA(VLOOKUP('Project Details by Yr - MASTER'!$B47,Bridges!$A$9:$N$24,G$2,0)),0,VLOOKUP('Project Details by Yr - MASTER'!$B47,Bridges!$A$9:$N$24,G$2,0))+IF(ISNA(VLOOKUP('Project Details by Yr - MASTER'!$B47,'Parking Lots &amp; Playgrounds'!$A$9:$N$33,G$2,0)),0,VLOOKUP('Project Details by Yr - MASTER'!$B47,'Parking Lots &amp; Playgrounds'!$A$9:$N$33,G$2,0))+IF(ISNA(VLOOKUP($B47,Vehicles!$B$9:$O$50,G$2,0)),0,VLOOKUP($B47,Vehicles!$B$9:$O$50,G$2,0))</f>
        <v>0</v>
      </c>
      <c r="H47" s="8">
        <f>IF(ISNA(VLOOKUP($B47,'Other Capital Needs'!$C$51:$P$95,H$2,0)),0,VLOOKUP($B47,'Other Capital Needs'!$C$51:$P$95,H$2,0))+IF(ISNA(VLOOKUP('Project Details by Yr - MASTER'!$B47,'Public Grounds'!$A$11:$N$49,H$2,0)),0,VLOOKUP('Project Details by Yr - MASTER'!$B47,'Public Grounds'!$A$11:$N$49,H$2,0))+IF(ISNA(VLOOKUP('Project Details by Yr - MASTER'!$B47,'Public Buildings'!$A$10:$N$96,H$2,0)),0,VLOOKUP('Project Details by Yr - MASTER'!$B47,'Public Buildings'!$A$10:$N$96,H$2,0))+IF(ISNA(VLOOKUP('Project Details by Yr - MASTER'!$B47,Bridges!$A$9:$N$24,H$2,0)),0,VLOOKUP('Project Details by Yr - MASTER'!$B47,Bridges!$A$9:$N$24,H$2,0))+IF(ISNA(VLOOKUP('Project Details by Yr - MASTER'!$B47,'Parking Lots &amp; Playgrounds'!$A$9:$N$33,H$2,0)),0,VLOOKUP('Project Details by Yr - MASTER'!$B47,'Parking Lots &amp; Playgrounds'!$A$9:$N$33,H$2,0))+IF(ISNA(VLOOKUP($B47,Vehicles!$B$9:$O$50,H$2,0)),0,VLOOKUP($B47,Vehicles!$B$9:$O$50,H$2,0))</f>
        <v>0</v>
      </c>
      <c r="I47" s="8">
        <f>IF(ISNA(VLOOKUP($B47,'Other Capital Needs'!$C$51:$P$95,I$2,0)),0,VLOOKUP($B47,'Other Capital Needs'!$C$51:$P$95,I$2,0))+IF(ISNA(VLOOKUP('Project Details by Yr - MASTER'!$B47,'Public Grounds'!$A$11:$N$49,I$2,0)),0,VLOOKUP('Project Details by Yr - MASTER'!$B47,'Public Grounds'!$A$11:$N$49,I$2,0))+IF(ISNA(VLOOKUP('Project Details by Yr - MASTER'!$B47,'Public Buildings'!$A$10:$N$96,I$2,0)),0,VLOOKUP('Project Details by Yr - MASTER'!$B47,'Public Buildings'!$A$10:$N$96,I$2,0))+IF(ISNA(VLOOKUP('Project Details by Yr - MASTER'!$B47,Bridges!$A$9:$N$24,I$2,0)),0,VLOOKUP('Project Details by Yr - MASTER'!$B47,Bridges!$A$9:$N$24,I$2,0))+IF(ISNA(VLOOKUP('Project Details by Yr - MASTER'!$B47,'Parking Lots &amp; Playgrounds'!$A$9:$N$33,I$2,0)),0,VLOOKUP('Project Details by Yr - MASTER'!$B47,'Parking Lots &amp; Playgrounds'!$A$9:$N$33,I$2,0))+IF(ISNA(VLOOKUP($B47,Vehicles!$B$9:$O$50,I$2,0)),0,VLOOKUP($B47,Vehicles!$B$9:$O$50,I$2,0))</f>
        <v>0</v>
      </c>
      <c r="J47" s="8">
        <f>IF(ISNA(VLOOKUP($B47,'Other Capital Needs'!$C$51:$P$95,J$2,0)),0,VLOOKUP($B47,'Other Capital Needs'!$C$51:$P$95,J$2,0))+IF(ISNA(VLOOKUP('Project Details by Yr - MASTER'!$B47,'Public Grounds'!$A$11:$N$49,J$2,0)),0,VLOOKUP('Project Details by Yr - MASTER'!$B47,'Public Grounds'!$A$11:$N$49,J$2,0))+IF(ISNA(VLOOKUP('Project Details by Yr - MASTER'!$B47,'Public Buildings'!$A$10:$N$96,J$2,0)),0,VLOOKUP('Project Details by Yr - MASTER'!$B47,'Public Buildings'!$A$10:$N$96,J$2,0))+IF(ISNA(VLOOKUP('Project Details by Yr - MASTER'!$B47,Bridges!$A$9:$N$24,J$2,0)),0,VLOOKUP('Project Details by Yr - MASTER'!$B47,Bridges!$A$9:$N$24,J$2,0))+IF(ISNA(VLOOKUP('Project Details by Yr - MASTER'!$B47,'Parking Lots &amp; Playgrounds'!$A$9:$N$33,J$2,0)),0,VLOOKUP('Project Details by Yr - MASTER'!$B47,'Parking Lots &amp; Playgrounds'!$A$9:$N$33,J$2,0))+IF(ISNA(VLOOKUP($B47,Vehicles!$B$9:$O$50,J$2,0)),0,VLOOKUP($B47,Vehicles!$B$9:$O$50,J$2,0))</f>
        <v>0</v>
      </c>
      <c r="K47" s="8">
        <f>IF(ISNA(VLOOKUP($B47,'Other Capital Needs'!$C$51:$P$95,K$2,0)),0,VLOOKUP($B47,'Other Capital Needs'!$C$51:$P$95,K$2,0))+IF(ISNA(VLOOKUP('Project Details by Yr - MASTER'!$B47,'Public Grounds'!$A$11:$N$49,K$2,0)),0,VLOOKUP('Project Details by Yr - MASTER'!$B47,'Public Grounds'!$A$11:$N$49,K$2,0))+IF(ISNA(VLOOKUP('Project Details by Yr - MASTER'!$B47,'Public Buildings'!$A$10:$N$96,K$2,0)),0,VLOOKUP('Project Details by Yr - MASTER'!$B47,'Public Buildings'!$A$10:$N$96,K$2,0))+IF(ISNA(VLOOKUP('Project Details by Yr - MASTER'!$B47,Bridges!$A$9:$N$24,K$2,0)),0,VLOOKUP('Project Details by Yr - MASTER'!$B47,Bridges!$A$9:$N$24,K$2,0))+IF(ISNA(VLOOKUP('Project Details by Yr - MASTER'!$B47,'Parking Lots &amp; Playgrounds'!$A$9:$N$33,K$2,0)),0,VLOOKUP('Project Details by Yr - MASTER'!$B47,'Parking Lots &amp; Playgrounds'!$A$9:$N$33,K$2,0))+IF(ISNA(VLOOKUP($B47,Vehicles!$B$9:$O$50,K$2,0)),0,VLOOKUP($B47,Vehicles!$B$9:$O$50,K$2,0))</f>
        <v>0</v>
      </c>
    </row>
    <row r="48" spans="1:11" x14ac:dyDescent="0.25">
      <c r="A48" s="31">
        <v>42</v>
      </c>
      <c r="B48" s="26" t="s">
        <v>183</v>
      </c>
      <c r="C48" s="26" t="s">
        <v>101</v>
      </c>
      <c r="D48" s="26" t="s">
        <v>271</v>
      </c>
      <c r="E48" s="31" t="s">
        <v>16</v>
      </c>
      <c r="F48" s="26"/>
      <c r="G48" s="8">
        <f>IF(ISNA(VLOOKUP($B48,'Other Capital Needs'!$C$51:$P$95,G$2,0)),0,VLOOKUP($B48,'Other Capital Needs'!$C$51:$P$95,G$2,0))+IF(ISNA(VLOOKUP('Project Details by Yr - MASTER'!$B48,'Public Grounds'!$A$11:$N$49,G$2,0)),0,VLOOKUP('Project Details by Yr - MASTER'!$B48,'Public Grounds'!$A$11:$N$49,G$2,0))+IF(ISNA(VLOOKUP('Project Details by Yr - MASTER'!$B48,'Public Buildings'!$A$10:$N$96,G$2,0)),0,VLOOKUP('Project Details by Yr - MASTER'!$B48,'Public Buildings'!$A$10:$N$96,G$2,0))+IF(ISNA(VLOOKUP('Project Details by Yr - MASTER'!$B48,Bridges!$A$9:$N$24,G$2,0)),0,VLOOKUP('Project Details by Yr - MASTER'!$B48,Bridges!$A$9:$N$24,G$2,0))+IF(ISNA(VLOOKUP('Project Details by Yr - MASTER'!$B48,'Parking Lots &amp; Playgrounds'!$A$9:$N$33,G$2,0)),0,VLOOKUP('Project Details by Yr - MASTER'!$B48,'Parking Lots &amp; Playgrounds'!$A$9:$N$33,G$2,0))+IF(ISNA(VLOOKUP($B48,Vehicles!$B$9:$O$50,G$2,0)),0,VLOOKUP($B48,Vehicles!$B$9:$O$50,G$2,0))</f>
        <v>0</v>
      </c>
      <c r="H48" s="8">
        <f>IF(ISNA(VLOOKUP($B48,'Other Capital Needs'!$C$51:$P$95,H$2,0)),0,VLOOKUP($B48,'Other Capital Needs'!$C$51:$P$95,H$2,0))+IF(ISNA(VLOOKUP('Project Details by Yr - MASTER'!$B48,'Public Grounds'!$A$11:$N$49,H$2,0)),0,VLOOKUP('Project Details by Yr - MASTER'!$B48,'Public Grounds'!$A$11:$N$49,H$2,0))+IF(ISNA(VLOOKUP('Project Details by Yr - MASTER'!$B48,'Public Buildings'!$A$10:$N$96,H$2,0)),0,VLOOKUP('Project Details by Yr - MASTER'!$B48,'Public Buildings'!$A$10:$N$96,H$2,0))+IF(ISNA(VLOOKUP('Project Details by Yr - MASTER'!$B48,Bridges!$A$9:$N$24,H$2,0)),0,VLOOKUP('Project Details by Yr - MASTER'!$B48,Bridges!$A$9:$N$24,H$2,0))+IF(ISNA(VLOOKUP('Project Details by Yr - MASTER'!$B48,'Parking Lots &amp; Playgrounds'!$A$9:$N$33,H$2,0)),0,VLOOKUP('Project Details by Yr - MASTER'!$B48,'Parking Lots &amp; Playgrounds'!$A$9:$N$33,H$2,0))+IF(ISNA(VLOOKUP($B48,Vehicles!$B$9:$O$50,H$2,0)),0,VLOOKUP($B48,Vehicles!$B$9:$O$50,H$2,0))</f>
        <v>0</v>
      </c>
      <c r="I48" s="8">
        <f>IF(ISNA(VLOOKUP($B48,'Other Capital Needs'!$C$51:$P$95,I$2,0)),0,VLOOKUP($B48,'Other Capital Needs'!$C$51:$P$95,I$2,0))+IF(ISNA(VLOOKUP('Project Details by Yr - MASTER'!$B48,'Public Grounds'!$A$11:$N$49,I$2,0)),0,VLOOKUP('Project Details by Yr - MASTER'!$B48,'Public Grounds'!$A$11:$N$49,I$2,0))+IF(ISNA(VLOOKUP('Project Details by Yr - MASTER'!$B48,'Public Buildings'!$A$10:$N$96,I$2,0)),0,VLOOKUP('Project Details by Yr - MASTER'!$B48,'Public Buildings'!$A$10:$N$96,I$2,0))+IF(ISNA(VLOOKUP('Project Details by Yr - MASTER'!$B48,Bridges!$A$9:$N$24,I$2,0)),0,VLOOKUP('Project Details by Yr - MASTER'!$B48,Bridges!$A$9:$N$24,I$2,0))+IF(ISNA(VLOOKUP('Project Details by Yr - MASTER'!$B48,'Parking Lots &amp; Playgrounds'!$A$9:$N$33,I$2,0)),0,VLOOKUP('Project Details by Yr - MASTER'!$B48,'Parking Lots &amp; Playgrounds'!$A$9:$N$33,I$2,0))+IF(ISNA(VLOOKUP($B48,Vehicles!$B$9:$O$50,I$2,0)),0,VLOOKUP($B48,Vehicles!$B$9:$O$50,I$2,0))</f>
        <v>0</v>
      </c>
      <c r="J48" s="8">
        <f>IF(ISNA(VLOOKUP($B48,'Other Capital Needs'!$C$51:$P$95,J$2,0)),0,VLOOKUP($B48,'Other Capital Needs'!$C$51:$P$95,J$2,0))+IF(ISNA(VLOOKUP('Project Details by Yr - MASTER'!$B48,'Public Grounds'!$A$11:$N$49,J$2,0)),0,VLOOKUP('Project Details by Yr - MASTER'!$B48,'Public Grounds'!$A$11:$N$49,J$2,0))+IF(ISNA(VLOOKUP('Project Details by Yr - MASTER'!$B48,'Public Buildings'!$A$10:$N$96,J$2,0)),0,VLOOKUP('Project Details by Yr - MASTER'!$B48,'Public Buildings'!$A$10:$N$96,J$2,0))+IF(ISNA(VLOOKUP('Project Details by Yr - MASTER'!$B48,Bridges!$A$9:$N$24,J$2,0)),0,VLOOKUP('Project Details by Yr - MASTER'!$B48,Bridges!$A$9:$N$24,J$2,0))+IF(ISNA(VLOOKUP('Project Details by Yr - MASTER'!$B48,'Parking Lots &amp; Playgrounds'!$A$9:$N$33,J$2,0)),0,VLOOKUP('Project Details by Yr - MASTER'!$B48,'Parking Lots &amp; Playgrounds'!$A$9:$N$33,J$2,0))+IF(ISNA(VLOOKUP($B48,Vehicles!$B$9:$O$50,J$2,0)),0,VLOOKUP($B48,Vehicles!$B$9:$O$50,J$2,0))</f>
        <v>0</v>
      </c>
      <c r="K48" s="8">
        <f>IF(ISNA(VLOOKUP($B48,'Other Capital Needs'!$C$51:$P$95,K$2,0)),0,VLOOKUP($B48,'Other Capital Needs'!$C$51:$P$95,K$2,0))+IF(ISNA(VLOOKUP('Project Details by Yr - MASTER'!$B48,'Public Grounds'!$A$11:$N$49,K$2,0)),0,VLOOKUP('Project Details by Yr - MASTER'!$B48,'Public Grounds'!$A$11:$N$49,K$2,0))+IF(ISNA(VLOOKUP('Project Details by Yr - MASTER'!$B48,'Public Buildings'!$A$10:$N$96,K$2,0)),0,VLOOKUP('Project Details by Yr - MASTER'!$B48,'Public Buildings'!$A$10:$N$96,K$2,0))+IF(ISNA(VLOOKUP('Project Details by Yr - MASTER'!$B48,Bridges!$A$9:$N$24,K$2,0)),0,VLOOKUP('Project Details by Yr - MASTER'!$B48,Bridges!$A$9:$N$24,K$2,0))+IF(ISNA(VLOOKUP('Project Details by Yr - MASTER'!$B48,'Parking Lots &amp; Playgrounds'!$A$9:$N$33,K$2,0)),0,VLOOKUP('Project Details by Yr - MASTER'!$B48,'Parking Lots &amp; Playgrounds'!$A$9:$N$33,K$2,0))+IF(ISNA(VLOOKUP($B48,Vehicles!$B$9:$O$50,K$2,0)),0,VLOOKUP($B48,Vehicles!$B$9:$O$50,K$2,0))</f>
        <v>0</v>
      </c>
    </row>
    <row r="49" spans="1:11" x14ac:dyDescent="0.25">
      <c r="A49" s="1">
        <v>42</v>
      </c>
      <c r="B49" t="s">
        <v>184</v>
      </c>
      <c r="C49" t="s">
        <v>101</v>
      </c>
      <c r="D49" t="s">
        <v>271</v>
      </c>
      <c r="E49" s="1" t="s">
        <v>16</v>
      </c>
      <c r="G49" s="8">
        <f>IF(ISNA(VLOOKUP($B49,'Other Capital Needs'!$C$51:$P$95,G$2,0)),0,VLOOKUP($B49,'Other Capital Needs'!$C$51:$P$95,G$2,0))+IF(ISNA(VLOOKUP('Project Details by Yr - MASTER'!$B49,'Public Grounds'!$A$11:$N$49,G$2,0)),0,VLOOKUP('Project Details by Yr - MASTER'!$B49,'Public Grounds'!$A$11:$N$49,G$2,0))+IF(ISNA(VLOOKUP('Project Details by Yr - MASTER'!$B49,'Public Buildings'!$A$10:$N$96,G$2,0)),0,VLOOKUP('Project Details by Yr - MASTER'!$B49,'Public Buildings'!$A$10:$N$96,G$2,0))+IF(ISNA(VLOOKUP('Project Details by Yr - MASTER'!$B49,Bridges!$A$9:$N$24,G$2,0)),0,VLOOKUP('Project Details by Yr - MASTER'!$B49,Bridges!$A$9:$N$24,G$2,0))+IF(ISNA(VLOOKUP('Project Details by Yr - MASTER'!$B49,'Parking Lots &amp; Playgrounds'!$A$9:$N$33,G$2,0)),0,VLOOKUP('Project Details by Yr - MASTER'!$B49,'Parking Lots &amp; Playgrounds'!$A$9:$N$33,G$2,0))+IF(ISNA(VLOOKUP($B49,Vehicles!$B$9:$O$50,G$2,0)),0,VLOOKUP($B49,Vehicles!$B$9:$O$50,G$2,0))</f>
        <v>0</v>
      </c>
      <c r="H49" s="8">
        <f>IF(ISNA(VLOOKUP($B49,'Other Capital Needs'!$C$51:$P$95,H$2,0)),0,VLOOKUP($B49,'Other Capital Needs'!$C$51:$P$95,H$2,0))+IF(ISNA(VLOOKUP('Project Details by Yr - MASTER'!$B49,'Public Grounds'!$A$11:$N$49,H$2,0)),0,VLOOKUP('Project Details by Yr - MASTER'!$B49,'Public Grounds'!$A$11:$N$49,H$2,0))+IF(ISNA(VLOOKUP('Project Details by Yr - MASTER'!$B49,'Public Buildings'!$A$10:$N$96,H$2,0)),0,VLOOKUP('Project Details by Yr - MASTER'!$B49,'Public Buildings'!$A$10:$N$96,H$2,0))+IF(ISNA(VLOOKUP('Project Details by Yr - MASTER'!$B49,Bridges!$A$9:$N$24,H$2,0)),0,VLOOKUP('Project Details by Yr - MASTER'!$B49,Bridges!$A$9:$N$24,H$2,0))+IF(ISNA(VLOOKUP('Project Details by Yr - MASTER'!$B49,'Parking Lots &amp; Playgrounds'!$A$9:$N$33,H$2,0)),0,VLOOKUP('Project Details by Yr - MASTER'!$B49,'Parking Lots &amp; Playgrounds'!$A$9:$N$33,H$2,0))+IF(ISNA(VLOOKUP($B49,Vehicles!$B$9:$O$50,H$2,0)),0,VLOOKUP($B49,Vehicles!$B$9:$O$50,H$2,0))</f>
        <v>78000</v>
      </c>
      <c r="I49" s="8">
        <f>IF(ISNA(VLOOKUP($B49,'Other Capital Needs'!$C$51:$P$95,I$2,0)),0,VLOOKUP($B49,'Other Capital Needs'!$C$51:$P$95,I$2,0))+IF(ISNA(VLOOKUP('Project Details by Yr - MASTER'!$B49,'Public Grounds'!$A$11:$N$49,I$2,0)),0,VLOOKUP('Project Details by Yr - MASTER'!$B49,'Public Grounds'!$A$11:$N$49,I$2,0))+IF(ISNA(VLOOKUP('Project Details by Yr - MASTER'!$B49,'Public Buildings'!$A$10:$N$96,I$2,0)),0,VLOOKUP('Project Details by Yr - MASTER'!$B49,'Public Buildings'!$A$10:$N$96,I$2,0))+IF(ISNA(VLOOKUP('Project Details by Yr - MASTER'!$B49,Bridges!$A$9:$N$24,I$2,0)),0,VLOOKUP('Project Details by Yr - MASTER'!$B49,Bridges!$A$9:$N$24,I$2,0))+IF(ISNA(VLOOKUP('Project Details by Yr - MASTER'!$B49,'Parking Lots &amp; Playgrounds'!$A$9:$N$33,I$2,0)),0,VLOOKUP('Project Details by Yr - MASTER'!$B49,'Parking Lots &amp; Playgrounds'!$A$9:$N$33,I$2,0))+IF(ISNA(VLOOKUP($B49,Vehicles!$B$9:$O$50,I$2,0)),0,VLOOKUP($B49,Vehicles!$B$9:$O$50,I$2,0))</f>
        <v>0</v>
      </c>
      <c r="J49" s="8">
        <f>IF(ISNA(VLOOKUP($B49,'Other Capital Needs'!$C$51:$P$95,J$2,0)),0,VLOOKUP($B49,'Other Capital Needs'!$C$51:$P$95,J$2,0))+IF(ISNA(VLOOKUP('Project Details by Yr - MASTER'!$B49,'Public Grounds'!$A$11:$N$49,J$2,0)),0,VLOOKUP('Project Details by Yr - MASTER'!$B49,'Public Grounds'!$A$11:$N$49,J$2,0))+IF(ISNA(VLOOKUP('Project Details by Yr - MASTER'!$B49,'Public Buildings'!$A$10:$N$96,J$2,0)),0,VLOOKUP('Project Details by Yr - MASTER'!$B49,'Public Buildings'!$A$10:$N$96,J$2,0))+IF(ISNA(VLOOKUP('Project Details by Yr - MASTER'!$B49,Bridges!$A$9:$N$24,J$2,0)),0,VLOOKUP('Project Details by Yr - MASTER'!$B49,Bridges!$A$9:$N$24,J$2,0))+IF(ISNA(VLOOKUP('Project Details by Yr - MASTER'!$B49,'Parking Lots &amp; Playgrounds'!$A$9:$N$33,J$2,0)),0,VLOOKUP('Project Details by Yr - MASTER'!$B49,'Parking Lots &amp; Playgrounds'!$A$9:$N$33,J$2,0))+IF(ISNA(VLOOKUP($B49,Vehicles!$B$9:$O$50,J$2,0)),0,VLOOKUP($B49,Vehicles!$B$9:$O$50,J$2,0))</f>
        <v>0</v>
      </c>
      <c r="K49" s="8">
        <f>IF(ISNA(VLOOKUP($B49,'Other Capital Needs'!$C$51:$P$95,K$2,0)),0,VLOOKUP($B49,'Other Capital Needs'!$C$51:$P$95,K$2,0))+IF(ISNA(VLOOKUP('Project Details by Yr - MASTER'!$B49,'Public Grounds'!$A$11:$N$49,K$2,0)),0,VLOOKUP('Project Details by Yr - MASTER'!$B49,'Public Grounds'!$A$11:$N$49,K$2,0))+IF(ISNA(VLOOKUP('Project Details by Yr - MASTER'!$B49,'Public Buildings'!$A$10:$N$96,K$2,0)),0,VLOOKUP('Project Details by Yr - MASTER'!$B49,'Public Buildings'!$A$10:$N$96,K$2,0))+IF(ISNA(VLOOKUP('Project Details by Yr - MASTER'!$B49,Bridges!$A$9:$N$24,K$2,0)),0,VLOOKUP('Project Details by Yr - MASTER'!$B49,Bridges!$A$9:$N$24,K$2,0))+IF(ISNA(VLOOKUP('Project Details by Yr - MASTER'!$B49,'Parking Lots &amp; Playgrounds'!$A$9:$N$33,K$2,0)),0,VLOOKUP('Project Details by Yr - MASTER'!$B49,'Parking Lots &amp; Playgrounds'!$A$9:$N$33,K$2,0))+IF(ISNA(VLOOKUP($B49,Vehicles!$B$9:$O$50,K$2,0)),0,VLOOKUP($B49,Vehicles!$B$9:$O$50,K$2,0))</f>
        <v>0</v>
      </c>
    </row>
    <row r="50" spans="1:11" x14ac:dyDescent="0.25">
      <c r="A50" s="1">
        <v>43</v>
      </c>
      <c r="B50" t="s">
        <v>185</v>
      </c>
      <c r="C50" t="s">
        <v>101</v>
      </c>
      <c r="D50" t="s">
        <v>271</v>
      </c>
      <c r="E50" s="1" t="s">
        <v>16</v>
      </c>
      <c r="G50" s="8">
        <f>IF(ISNA(VLOOKUP($B50,'Other Capital Needs'!$C$51:$P$95,G$2,0)),0,VLOOKUP($B50,'Other Capital Needs'!$C$51:$P$95,G$2,0))+IF(ISNA(VLOOKUP('Project Details by Yr - MASTER'!$B50,'Public Grounds'!$A$11:$N$49,G$2,0)),0,VLOOKUP('Project Details by Yr - MASTER'!$B50,'Public Grounds'!$A$11:$N$49,G$2,0))+IF(ISNA(VLOOKUP('Project Details by Yr - MASTER'!$B50,'Public Buildings'!$A$10:$N$96,G$2,0)),0,VLOOKUP('Project Details by Yr - MASTER'!$B50,'Public Buildings'!$A$10:$N$96,G$2,0))+IF(ISNA(VLOOKUP('Project Details by Yr - MASTER'!$B50,Bridges!$A$9:$N$24,G$2,0)),0,VLOOKUP('Project Details by Yr - MASTER'!$B50,Bridges!$A$9:$N$24,G$2,0))+IF(ISNA(VLOOKUP('Project Details by Yr - MASTER'!$B50,'Parking Lots &amp; Playgrounds'!$A$9:$N$33,G$2,0)),0,VLOOKUP('Project Details by Yr - MASTER'!$B50,'Parking Lots &amp; Playgrounds'!$A$9:$N$33,G$2,0))+IF(ISNA(VLOOKUP($B50,Vehicles!$B$9:$O$50,G$2,0)),0,VLOOKUP($B50,Vehicles!$B$9:$O$50,G$2,0))</f>
        <v>0</v>
      </c>
      <c r="H50" s="8">
        <f>IF(ISNA(VLOOKUP($B50,'Other Capital Needs'!$C$51:$P$95,H$2,0)),0,VLOOKUP($B50,'Other Capital Needs'!$C$51:$P$95,H$2,0))+IF(ISNA(VLOOKUP('Project Details by Yr - MASTER'!$B50,'Public Grounds'!$A$11:$N$49,H$2,0)),0,VLOOKUP('Project Details by Yr - MASTER'!$B50,'Public Grounds'!$A$11:$N$49,H$2,0))+IF(ISNA(VLOOKUP('Project Details by Yr - MASTER'!$B50,'Public Buildings'!$A$10:$N$96,H$2,0)),0,VLOOKUP('Project Details by Yr - MASTER'!$B50,'Public Buildings'!$A$10:$N$96,H$2,0))+IF(ISNA(VLOOKUP('Project Details by Yr - MASTER'!$B50,Bridges!$A$9:$N$24,H$2,0)),0,VLOOKUP('Project Details by Yr - MASTER'!$B50,Bridges!$A$9:$N$24,H$2,0))+IF(ISNA(VLOOKUP('Project Details by Yr - MASTER'!$B50,'Parking Lots &amp; Playgrounds'!$A$9:$N$33,H$2,0)),0,VLOOKUP('Project Details by Yr - MASTER'!$B50,'Parking Lots &amp; Playgrounds'!$A$9:$N$33,H$2,0))+IF(ISNA(VLOOKUP($B50,Vehicles!$B$9:$O$50,H$2,0)),0,VLOOKUP($B50,Vehicles!$B$9:$O$50,H$2,0))</f>
        <v>0</v>
      </c>
      <c r="I50" s="8">
        <f>IF(ISNA(VLOOKUP($B50,'Other Capital Needs'!$C$51:$P$95,I$2,0)),0,VLOOKUP($B50,'Other Capital Needs'!$C$51:$P$95,I$2,0))+IF(ISNA(VLOOKUP('Project Details by Yr - MASTER'!$B50,'Public Grounds'!$A$11:$N$49,I$2,0)),0,VLOOKUP('Project Details by Yr - MASTER'!$B50,'Public Grounds'!$A$11:$N$49,I$2,0))+IF(ISNA(VLOOKUP('Project Details by Yr - MASTER'!$B50,'Public Buildings'!$A$10:$N$96,I$2,0)),0,VLOOKUP('Project Details by Yr - MASTER'!$B50,'Public Buildings'!$A$10:$N$96,I$2,0))+IF(ISNA(VLOOKUP('Project Details by Yr - MASTER'!$B50,Bridges!$A$9:$N$24,I$2,0)),0,VLOOKUP('Project Details by Yr - MASTER'!$B50,Bridges!$A$9:$N$24,I$2,0))+IF(ISNA(VLOOKUP('Project Details by Yr - MASTER'!$B50,'Parking Lots &amp; Playgrounds'!$A$9:$N$33,I$2,0)),0,VLOOKUP('Project Details by Yr - MASTER'!$B50,'Parking Lots &amp; Playgrounds'!$A$9:$N$33,I$2,0))+IF(ISNA(VLOOKUP($B50,Vehicles!$B$9:$O$50,I$2,0)),0,VLOOKUP($B50,Vehicles!$B$9:$O$50,I$2,0))</f>
        <v>0</v>
      </c>
      <c r="J50" s="8">
        <f>IF(ISNA(VLOOKUP($B50,'Other Capital Needs'!$C$51:$P$95,J$2,0)),0,VLOOKUP($B50,'Other Capital Needs'!$C$51:$P$95,J$2,0))+IF(ISNA(VLOOKUP('Project Details by Yr - MASTER'!$B50,'Public Grounds'!$A$11:$N$49,J$2,0)),0,VLOOKUP('Project Details by Yr - MASTER'!$B50,'Public Grounds'!$A$11:$N$49,J$2,0))+IF(ISNA(VLOOKUP('Project Details by Yr - MASTER'!$B50,'Public Buildings'!$A$10:$N$96,J$2,0)),0,VLOOKUP('Project Details by Yr - MASTER'!$B50,'Public Buildings'!$A$10:$N$96,J$2,0))+IF(ISNA(VLOOKUP('Project Details by Yr - MASTER'!$B50,Bridges!$A$9:$N$24,J$2,0)),0,VLOOKUP('Project Details by Yr - MASTER'!$B50,Bridges!$A$9:$N$24,J$2,0))+IF(ISNA(VLOOKUP('Project Details by Yr - MASTER'!$B50,'Parking Lots &amp; Playgrounds'!$A$9:$N$33,J$2,0)),0,VLOOKUP('Project Details by Yr - MASTER'!$B50,'Parking Lots &amp; Playgrounds'!$A$9:$N$33,J$2,0))+IF(ISNA(VLOOKUP($B50,Vehicles!$B$9:$O$50,J$2,0)),0,VLOOKUP($B50,Vehicles!$B$9:$O$50,J$2,0))</f>
        <v>0</v>
      </c>
      <c r="K50" s="8">
        <f>IF(ISNA(VLOOKUP($B50,'Other Capital Needs'!$C$51:$P$95,K$2,0)),0,VLOOKUP($B50,'Other Capital Needs'!$C$51:$P$95,K$2,0))+IF(ISNA(VLOOKUP('Project Details by Yr - MASTER'!$B50,'Public Grounds'!$A$11:$N$49,K$2,0)),0,VLOOKUP('Project Details by Yr - MASTER'!$B50,'Public Grounds'!$A$11:$N$49,K$2,0))+IF(ISNA(VLOOKUP('Project Details by Yr - MASTER'!$B50,'Public Buildings'!$A$10:$N$96,K$2,0)),0,VLOOKUP('Project Details by Yr - MASTER'!$B50,'Public Buildings'!$A$10:$N$96,K$2,0))+IF(ISNA(VLOOKUP('Project Details by Yr - MASTER'!$B50,Bridges!$A$9:$N$24,K$2,0)),0,VLOOKUP('Project Details by Yr - MASTER'!$B50,Bridges!$A$9:$N$24,K$2,0))+IF(ISNA(VLOOKUP('Project Details by Yr - MASTER'!$B50,'Parking Lots &amp; Playgrounds'!$A$9:$N$33,K$2,0)),0,VLOOKUP('Project Details by Yr - MASTER'!$B50,'Parking Lots &amp; Playgrounds'!$A$9:$N$33,K$2,0))+IF(ISNA(VLOOKUP($B50,Vehicles!$B$9:$O$50,K$2,0)),0,VLOOKUP($B50,Vehicles!$B$9:$O$50,K$2,0))</f>
        <v>0</v>
      </c>
    </row>
    <row r="51" spans="1:11" x14ac:dyDescent="0.25">
      <c r="A51" s="1">
        <v>43</v>
      </c>
      <c r="B51" t="s">
        <v>186</v>
      </c>
      <c r="C51" t="s">
        <v>101</v>
      </c>
      <c r="D51" t="s">
        <v>271</v>
      </c>
      <c r="E51" s="1" t="s">
        <v>16</v>
      </c>
      <c r="G51" s="8">
        <f>IF(ISNA(VLOOKUP($B51,'Other Capital Needs'!$C$51:$P$95,G$2,0)),0,VLOOKUP($B51,'Other Capital Needs'!$C$51:$P$95,G$2,0))+IF(ISNA(VLOOKUP('Project Details by Yr - MASTER'!$B51,'Public Grounds'!$A$11:$N$49,G$2,0)),0,VLOOKUP('Project Details by Yr - MASTER'!$B51,'Public Grounds'!$A$11:$N$49,G$2,0))+IF(ISNA(VLOOKUP('Project Details by Yr - MASTER'!$B51,'Public Buildings'!$A$10:$N$96,G$2,0)),0,VLOOKUP('Project Details by Yr - MASTER'!$B51,'Public Buildings'!$A$10:$N$96,G$2,0))+IF(ISNA(VLOOKUP('Project Details by Yr - MASTER'!$B51,Bridges!$A$9:$N$24,G$2,0)),0,VLOOKUP('Project Details by Yr - MASTER'!$B51,Bridges!$A$9:$N$24,G$2,0))+IF(ISNA(VLOOKUP('Project Details by Yr - MASTER'!$B51,'Parking Lots &amp; Playgrounds'!$A$9:$N$33,G$2,0)),0,VLOOKUP('Project Details by Yr - MASTER'!$B51,'Parking Lots &amp; Playgrounds'!$A$9:$N$33,G$2,0))+IF(ISNA(VLOOKUP($B51,Vehicles!$B$9:$O$50,G$2,0)),0,VLOOKUP($B51,Vehicles!$B$9:$O$50,G$2,0))</f>
        <v>0</v>
      </c>
      <c r="H51" s="8">
        <f>IF(ISNA(VLOOKUP($B51,'Other Capital Needs'!$C$51:$P$95,H$2,0)),0,VLOOKUP($B51,'Other Capital Needs'!$C$51:$P$95,H$2,0))+IF(ISNA(VLOOKUP('Project Details by Yr - MASTER'!$B51,'Public Grounds'!$A$11:$N$49,H$2,0)),0,VLOOKUP('Project Details by Yr - MASTER'!$B51,'Public Grounds'!$A$11:$N$49,H$2,0))+IF(ISNA(VLOOKUP('Project Details by Yr - MASTER'!$B51,'Public Buildings'!$A$10:$N$96,H$2,0)),0,VLOOKUP('Project Details by Yr - MASTER'!$B51,'Public Buildings'!$A$10:$N$96,H$2,0))+IF(ISNA(VLOOKUP('Project Details by Yr - MASTER'!$B51,Bridges!$A$9:$N$24,H$2,0)),0,VLOOKUP('Project Details by Yr - MASTER'!$B51,Bridges!$A$9:$N$24,H$2,0))+IF(ISNA(VLOOKUP('Project Details by Yr - MASTER'!$B51,'Parking Lots &amp; Playgrounds'!$A$9:$N$33,H$2,0)),0,VLOOKUP('Project Details by Yr - MASTER'!$B51,'Parking Lots &amp; Playgrounds'!$A$9:$N$33,H$2,0))+IF(ISNA(VLOOKUP($B51,Vehicles!$B$9:$O$50,H$2,0)),0,VLOOKUP($B51,Vehicles!$B$9:$O$50,H$2,0))</f>
        <v>0</v>
      </c>
      <c r="I51" s="8">
        <f>IF(ISNA(VLOOKUP($B51,'Other Capital Needs'!$C$51:$P$95,I$2,0)),0,VLOOKUP($B51,'Other Capital Needs'!$C$51:$P$95,I$2,0))+IF(ISNA(VLOOKUP('Project Details by Yr - MASTER'!$B51,'Public Grounds'!$A$11:$N$49,I$2,0)),0,VLOOKUP('Project Details by Yr - MASTER'!$B51,'Public Grounds'!$A$11:$N$49,I$2,0))+IF(ISNA(VLOOKUP('Project Details by Yr - MASTER'!$B51,'Public Buildings'!$A$10:$N$96,I$2,0)),0,VLOOKUP('Project Details by Yr - MASTER'!$B51,'Public Buildings'!$A$10:$N$96,I$2,0))+IF(ISNA(VLOOKUP('Project Details by Yr - MASTER'!$B51,Bridges!$A$9:$N$24,I$2,0)),0,VLOOKUP('Project Details by Yr - MASTER'!$B51,Bridges!$A$9:$N$24,I$2,0))+IF(ISNA(VLOOKUP('Project Details by Yr - MASTER'!$B51,'Parking Lots &amp; Playgrounds'!$A$9:$N$33,I$2,0)),0,VLOOKUP('Project Details by Yr - MASTER'!$B51,'Parking Lots &amp; Playgrounds'!$A$9:$N$33,I$2,0))+IF(ISNA(VLOOKUP($B51,Vehicles!$B$9:$O$50,I$2,0)),0,VLOOKUP($B51,Vehicles!$B$9:$O$50,I$2,0))</f>
        <v>0</v>
      </c>
      <c r="J51" s="8">
        <f>IF(ISNA(VLOOKUP($B51,'Other Capital Needs'!$C$51:$P$95,J$2,0)),0,VLOOKUP($B51,'Other Capital Needs'!$C$51:$P$95,J$2,0))+IF(ISNA(VLOOKUP('Project Details by Yr - MASTER'!$B51,'Public Grounds'!$A$11:$N$49,J$2,0)),0,VLOOKUP('Project Details by Yr - MASTER'!$B51,'Public Grounds'!$A$11:$N$49,J$2,0))+IF(ISNA(VLOOKUP('Project Details by Yr - MASTER'!$B51,'Public Buildings'!$A$10:$N$96,J$2,0)),0,VLOOKUP('Project Details by Yr - MASTER'!$B51,'Public Buildings'!$A$10:$N$96,J$2,0))+IF(ISNA(VLOOKUP('Project Details by Yr - MASTER'!$B51,Bridges!$A$9:$N$24,J$2,0)),0,VLOOKUP('Project Details by Yr - MASTER'!$B51,Bridges!$A$9:$N$24,J$2,0))+IF(ISNA(VLOOKUP('Project Details by Yr - MASTER'!$B51,'Parking Lots &amp; Playgrounds'!$A$9:$N$33,J$2,0)),0,VLOOKUP('Project Details by Yr - MASTER'!$B51,'Parking Lots &amp; Playgrounds'!$A$9:$N$33,J$2,0))+IF(ISNA(VLOOKUP($B51,Vehicles!$B$9:$O$50,J$2,0)),0,VLOOKUP($B51,Vehicles!$B$9:$O$50,J$2,0))</f>
        <v>0</v>
      </c>
      <c r="K51" s="8">
        <f>IF(ISNA(VLOOKUP($B51,'Other Capital Needs'!$C$51:$P$95,K$2,0)),0,VLOOKUP($B51,'Other Capital Needs'!$C$51:$P$95,K$2,0))+IF(ISNA(VLOOKUP('Project Details by Yr - MASTER'!$B51,'Public Grounds'!$A$11:$N$49,K$2,0)),0,VLOOKUP('Project Details by Yr - MASTER'!$B51,'Public Grounds'!$A$11:$N$49,K$2,0))+IF(ISNA(VLOOKUP('Project Details by Yr - MASTER'!$B51,'Public Buildings'!$A$10:$N$96,K$2,0)),0,VLOOKUP('Project Details by Yr - MASTER'!$B51,'Public Buildings'!$A$10:$N$96,K$2,0))+IF(ISNA(VLOOKUP('Project Details by Yr - MASTER'!$B51,Bridges!$A$9:$N$24,K$2,0)),0,VLOOKUP('Project Details by Yr - MASTER'!$B51,Bridges!$A$9:$N$24,K$2,0))+IF(ISNA(VLOOKUP('Project Details by Yr - MASTER'!$B51,'Parking Lots &amp; Playgrounds'!$A$9:$N$33,K$2,0)),0,VLOOKUP('Project Details by Yr - MASTER'!$B51,'Parking Lots &amp; Playgrounds'!$A$9:$N$33,K$2,0))+IF(ISNA(VLOOKUP($B51,Vehicles!$B$9:$O$50,K$2,0)),0,VLOOKUP($B51,Vehicles!$B$9:$O$50,K$2,0))</f>
        <v>0</v>
      </c>
    </row>
    <row r="52" spans="1:11" x14ac:dyDescent="0.25">
      <c r="A52" s="1">
        <v>43</v>
      </c>
      <c r="B52" t="s">
        <v>187</v>
      </c>
      <c r="C52" t="s">
        <v>101</v>
      </c>
      <c r="D52" t="s">
        <v>271</v>
      </c>
      <c r="E52" s="1" t="s">
        <v>16</v>
      </c>
      <c r="G52" s="8">
        <f>IF(ISNA(VLOOKUP($B52,'Other Capital Needs'!$C$51:$P$95,G$2,0)),0,VLOOKUP($B52,'Other Capital Needs'!$C$51:$P$95,G$2,0))+IF(ISNA(VLOOKUP('Project Details by Yr - MASTER'!$B52,'Public Grounds'!$A$11:$N$49,G$2,0)),0,VLOOKUP('Project Details by Yr - MASTER'!$B52,'Public Grounds'!$A$11:$N$49,G$2,0))+IF(ISNA(VLOOKUP('Project Details by Yr - MASTER'!$B52,'Public Buildings'!$A$10:$N$96,G$2,0)),0,VLOOKUP('Project Details by Yr - MASTER'!$B52,'Public Buildings'!$A$10:$N$96,G$2,0))+IF(ISNA(VLOOKUP('Project Details by Yr - MASTER'!$B52,Bridges!$A$9:$N$24,G$2,0)),0,VLOOKUP('Project Details by Yr - MASTER'!$B52,Bridges!$A$9:$N$24,G$2,0))+IF(ISNA(VLOOKUP('Project Details by Yr - MASTER'!$B52,'Parking Lots &amp; Playgrounds'!$A$9:$N$33,G$2,0)),0,VLOOKUP('Project Details by Yr - MASTER'!$B52,'Parking Lots &amp; Playgrounds'!$A$9:$N$33,G$2,0))+IF(ISNA(VLOOKUP($B52,Vehicles!$B$9:$O$50,G$2,0)),0,VLOOKUP($B52,Vehicles!$B$9:$O$50,G$2,0))</f>
        <v>0</v>
      </c>
      <c r="H52" s="8">
        <f>IF(ISNA(VLOOKUP($B52,'Other Capital Needs'!$C$51:$P$95,H$2,0)),0,VLOOKUP($B52,'Other Capital Needs'!$C$51:$P$95,H$2,0))+IF(ISNA(VLOOKUP('Project Details by Yr - MASTER'!$B52,'Public Grounds'!$A$11:$N$49,H$2,0)),0,VLOOKUP('Project Details by Yr - MASTER'!$B52,'Public Grounds'!$A$11:$N$49,H$2,0))+IF(ISNA(VLOOKUP('Project Details by Yr - MASTER'!$B52,'Public Buildings'!$A$10:$N$96,H$2,0)),0,VLOOKUP('Project Details by Yr - MASTER'!$B52,'Public Buildings'!$A$10:$N$96,H$2,0))+IF(ISNA(VLOOKUP('Project Details by Yr - MASTER'!$B52,Bridges!$A$9:$N$24,H$2,0)),0,VLOOKUP('Project Details by Yr - MASTER'!$B52,Bridges!$A$9:$N$24,H$2,0))+IF(ISNA(VLOOKUP('Project Details by Yr - MASTER'!$B52,'Parking Lots &amp; Playgrounds'!$A$9:$N$33,H$2,0)),0,VLOOKUP('Project Details by Yr - MASTER'!$B52,'Parking Lots &amp; Playgrounds'!$A$9:$N$33,H$2,0))+IF(ISNA(VLOOKUP($B52,Vehicles!$B$9:$O$50,H$2,0)),0,VLOOKUP($B52,Vehicles!$B$9:$O$50,H$2,0))</f>
        <v>0</v>
      </c>
      <c r="I52" s="8">
        <f>IF(ISNA(VLOOKUP($B52,'Other Capital Needs'!$C$51:$P$95,I$2,0)),0,VLOOKUP($B52,'Other Capital Needs'!$C$51:$P$95,I$2,0))+IF(ISNA(VLOOKUP('Project Details by Yr - MASTER'!$B52,'Public Grounds'!$A$11:$N$49,I$2,0)),0,VLOOKUP('Project Details by Yr - MASTER'!$B52,'Public Grounds'!$A$11:$N$49,I$2,0))+IF(ISNA(VLOOKUP('Project Details by Yr - MASTER'!$B52,'Public Buildings'!$A$10:$N$96,I$2,0)),0,VLOOKUP('Project Details by Yr - MASTER'!$B52,'Public Buildings'!$A$10:$N$96,I$2,0))+IF(ISNA(VLOOKUP('Project Details by Yr - MASTER'!$B52,Bridges!$A$9:$N$24,I$2,0)),0,VLOOKUP('Project Details by Yr - MASTER'!$B52,Bridges!$A$9:$N$24,I$2,0))+IF(ISNA(VLOOKUP('Project Details by Yr - MASTER'!$B52,'Parking Lots &amp; Playgrounds'!$A$9:$N$33,I$2,0)),0,VLOOKUP('Project Details by Yr - MASTER'!$B52,'Parking Lots &amp; Playgrounds'!$A$9:$N$33,I$2,0))+IF(ISNA(VLOOKUP($B52,Vehicles!$B$9:$O$50,I$2,0)),0,VLOOKUP($B52,Vehicles!$B$9:$O$50,I$2,0))</f>
        <v>0</v>
      </c>
      <c r="J52" s="8">
        <f>IF(ISNA(VLOOKUP($B52,'Other Capital Needs'!$C$51:$P$95,J$2,0)),0,VLOOKUP($B52,'Other Capital Needs'!$C$51:$P$95,J$2,0))+IF(ISNA(VLOOKUP('Project Details by Yr - MASTER'!$B52,'Public Grounds'!$A$11:$N$49,J$2,0)),0,VLOOKUP('Project Details by Yr - MASTER'!$B52,'Public Grounds'!$A$11:$N$49,J$2,0))+IF(ISNA(VLOOKUP('Project Details by Yr - MASTER'!$B52,'Public Buildings'!$A$10:$N$96,J$2,0)),0,VLOOKUP('Project Details by Yr - MASTER'!$B52,'Public Buildings'!$A$10:$N$96,J$2,0))+IF(ISNA(VLOOKUP('Project Details by Yr - MASTER'!$B52,Bridges!$A$9:$N$24,J$2,0)),0,VLOOKUP('Project Details by Yr - MASTER'!$B52,Bridges!$A$9:$N$24,J$2,0))+IF(ISNA(VLOOKUP('Project Details by Yr - MASTER'!$B52,'Parking Lots &amp; Playgrounds'!$A$9:$N$33,J$2,0)),0,VLOOKUP('Project Details by Yr - MASTER'!$B52,'Parking Lots &amp; Playgrounds'!$A$9:$N$33,J$2,0))+IF(ISNA(VLOOKUP($B52,Vehicles!$B$9:$O$50,J$2,0)),0,VLOOKUP($B52,Vehicles!$B$9:$O$50,J$2,0))</f>
        <v>0</v>
      </c>
      <c r="K52" s="8">
        <f>IF(ISNA(VLOOKUP($B52,'Other Capital Needs'!$C$51:$P$95,K$2,0)),0,VLOOKUP($B52,'Other Capital Needs'!$C$51:$P$95,K$2,0))+IF(ISNA(VLOOKUP('Project Details by Yr - MASTER'!$B52,'Public Grounds'!$A$11:$N$49,K$2,0)),0,VLOOKUP('Project Details by Yr - MASTER'!$B52,'Public Grounds'!$A$11:$N$49,K$2,0))+IF(ISNA(VLOOKUP('Project Details by Yr - MASTER'!$B52,'Public Buildings'!$A$10:$N$96,K$2,0)),0,VLOOKUP('Project Details by Yr - MASTER'!$B52,'Public Buildings'!$A$10:$N$96,K$2,0))+IF(ISNA(VLOOKUP('Project Details by Yr - MASTER'!$B52,Bridges!$A$9:$N$24,K$2,0)),0,VLOOKUP('Project Details by Yr - MASTER'!$B52,Bridges!$A$9:$N$24,K$2,0))+IF(ISNA(VLOOKUP('Project Details by Yr - MASTER'!$B52,'Parking Lots &amp; Playgrounds'!$A$9:$N$33,K$2,0)),0,VLOOKUP('Project Details by Yr - MASTER'!$B52,'Parking Lots &amp; Playgrounds'!$A$9:$N$33,K$2,0))+IF(ISNA(VLOOKUP($B52,Vehicles!$B$9:$O$50,K$2,0)),0,VLOOKUP($B52,Vehicles!$B$9:$O$50,K$2,0))</f>
        <v>0</v>
      </c>
    </row>
    <row r="53" spans="1:11" x14ac:dyDescent="0.25">
      <c r="A53" s="1">
        <v>44</v>
      </c>
      <c r="B53" t="s">
        <v>188</v>
      </c>
      <c r="C53" t="s">
        <v>101</v>
      </c>
      <c r="D53" t="s">
        <v>271</v>
      </c>
      <c r="E53" s="1" t="s">
        <v>16</v>
      </c>
      <c r="G53" s="8">
        <f>IF(ISNA(VLOOKUP($B53,'Other Capital Needs'!$C$51:$P$95,G$2,0)),0,VLOOKUP($B53,'Other Capital Needs'!$C$51:$P$95,G$2,0))+IF(ISNA(VLOOKUP('Project Details by Yr - MASTER'!$B53,'Public Grounds'!$A$11:$N$49,G$2,0)),0,VLOOKUP('Project Details by Yr - MASTER'!$B53,'Public Grounds'!$A$11:$N$49,G$2,0))+IF(ISNA(VLOOKUP('Project Details by Yr - MASTER'!$B53,'Public Buildings'!$A$10:$N$96,G$2,0)),0,VLOOKUP('Project Details by Yr - MASTER'!$B53,'Public Buildings'!$A$10:$N$96,G$2,0))+IF(ISNA(VLOOKUP('Project Details by Yr - MASTER'!$B53,Bridges!$A$9:$N$24,G$2,0)),0,VLOOKUP('Project Details by Yr - MASTER'!$B53,Bridges!$A$9:$N$24,G$2,0))+IF(ISNA(VLOOKUP('Project Details by Yr - MASTER'!$B53,'Parking Lots &amp; Playgrounds'!$A$9:$N$33,G$2,0)),0,VLOOKUP('Project Details by Yr - MASTER'!$B53,'Parking Lots &amp; Playgrounds'!$A$9:$N$33,G$2,0))+IF(ISNA(VLOOKUP($B53,Vehicles!$B$9:$O$50,G$2,0)),0,VLOOKUP($B53,Vehicles!$B$9:$O$50,G$2,0))</f>
        <v>0</v>
      </c>
      <c r="H53" s="8">
        <f>IF(ISNA(VLOOKUP($B53,'Other Capital Needs'!$C$51:$P$95,H$2,0)),0,VLOOKUP($B53,'Other Capital Needs'!$C$51:$P$95,H$2,0))+IF(ISNA(VLOOKUP('Project Details by Yr - MASTER'!$B53,'Public Grounds'!$A$11:$N$49,H$2,0)),0,VLOOKUP('Project Details by Yr - MASTER'!$B53,'Public Grounds'!$A$11:$N$49,H$2,0))+IF(ISNA(VLOOKUP('Project Details by Yr - MASTER'!$B53,'Public Buildings'!$A$10:$N$96,H$2,0)),0,VLOOKUP('Project Details by Yr - MASTER'!$B53,'Public Buildings'!$A$10:$N$96,H$2,0))+IF(ISNA(VLOOKUP('Project Details by Yr - MASTER'!$B53,Bridges!$A$9:$N$24,H$2,0)),0,VLOOKUP('Project Details by Yr - MASTER'!$B53,Bridges!$A$9:$N$24,H$2,0))+IF(ISNA(VLOOKUP('Project Details by Yr - MASTER'!$B53,'Parking Lots &amp; Playgrounds'!$A$9:$N$33,H$2,0)),0,VLOOKUP('Project Details by Yr - MASTER'!$B53,'Parking Lots &amp; Playgrounds'!$A$9:$N$33,H$2,0))+IF(ISNA(VLOOKUP($B53,Vehicles!$B$9:$O$50,H$2,0)),0,VLOOKUP($B53,Vehicles!$B$9:$O$50,H$2,0))</f>
        <v>0</v>
      </c>
      <c r="I53" s="8">
        <f>IF(ISNA(VLOOKUP($B53,'Other Capital Needs'!$C$51:$P$95,I$2,0)),0,VLOOKUP($B53,'Other Capital Needs'!$C$51:$P$95,I$2,0))+IF(ISNA(VLOOKUP('Project Details by Yr - MASTER'!$B53,'Public Grounds'!$A$11:$N$49,I$2,0)),0,VLOOKUP('Project Details by Yr - MASTER'!$B53,'Public Grounds'!$A$11:$N$49,I$2,0))+IF(ISNA(VLOOKUP('Project Details by Yr - MASTER'!$B53,'Public Buildings'!$A$10:$N$96,I$2,0)),0,VLOOKUP('Project Details by Yr - MASTER'!$B53,'Public Buildings'!$A$10:$N$96,I$2,0))+IF(ISNA(VLOOKUP('Project Details by Yr - MASTER'!$B53,Bridges!$A$9:$N$24,I$2,0)),0,VLOOKUP('Project Details by Yr - MASTER'!$B53,Bridges!$A$9:$N$24,I$2,0))+IF(ISNA(VLOOKUP('Project Details by Yr - MASTER'!$B53,'Parking Lots &amp; Playgrounds'!$A$9:$N$33,I$2,0)),0,VLOOKUP('Project Details by Yr - MASTER'!$B53,'Parking Lots &amp; Playgrounds'!$A$9:$N$33,I$2,0))+IF(ISNA(VLOOKUP($B53,Vehicles!$B$9:$O$50,I$2,0)),0,VLOOKUP($B53,Vehicles!$B$9:$O$50,I$2,0))</f>
        <v>0</v>
      </c>
      <c r="J53" s="8">
        <f>IF(ISNA(VLOOKUP($B53,'Other Capital Needs'!$C$51:$P$95,J$2,0)),0,VLOOKUP($B53,'Other Capital Needs'!$C$51:$P$95,J$2,0))+IF(ISNA(VLOOKUP('Project Details by Yr - MASTER'!$B53,'Public Grounds'!$A$11:$N$49,J$2,0)),0,VLOOKUP('Project Details by Yr - MASTER'!$B53,'Public Grounds'!$A$11:$N$49,J$2,0))+IF(ISNA(VLOOKUP('Project Details by Yr - MASTER'!$B53,'Public Buildings'!$A$10:$N$96,J$2,0)),0,VLOOKUP('Project Details by Yr - MASTER'!$B53,'Public Buildings'!$A$10:$N$96,J$2,0))+IF(ISNA(VLOOKUP('Project Details by Yr - MASTER'!$B53,Bridges!$A$9:$N$24,J$2,0)),0,VLOOKUP('Project Details by Yr - MASTER'!$B53,Bridges!$A$9:$N$24,J$2,0))+IF(ISNA(VLOOKUP('Project Details by Yr - MASTER'!$B53,'Parking Lots &amp; Playgrounds'!$A$9:$N$33,J$2,0)),0,VLOOKUP('Project Details by Yr - MASTER'!$B53,'Parking Lots &amp; Playgrounds'!$A$9:$N$33,J$2,0))+IF(ISNA(VLOOKUP($B53,Vehicles!$B$9:$O$50,J$2,0)),0,VLOOKUP($B53,Vehicles!$B$9:$O$50,J$2,0))</f>
        <v>0</v>
      </c>
      <c r="K53" s="8">
        <f>IF(ISNA(VLOOKUP($B53,'Other Capital Needs'!$C$51:$P$95,K$2,0)),0,VLOOKUP($B53,'Other Capital Needs'!$C$51:$P$95,K$2,0))+IF(ISNA(VLOOKUP('Project Details by Yr - MASTER'!$B53,'Public Grounds'!$A$11:$N$49,K$2,0)),0,VLOOKUP('Project Details by Yr - MASTER'!$B53,'Public Grounds'!$A$11:$N$49,K$2,0))+IF(ISNA(VLOOKUP('Project Details by Yr - MASTER'!$B53,'Public Buildings'!$A$10:$N$96,K$2,0)),0,VLOOKUP('Project Details by Yr - MASTER'!$B53,'Public Buildings'!$A$10:$N$96,K$2,0))+IF(ISNA(VLOOKUP('Project Details by Yr - MASTER'!$B53,Bridges!$A$9:$N$24,K$2,0)),0,VLOOKUP('Project Details by Yr - MASTER'!$B53,Bridges!$A$9:$N$24,K$2,0))+IF(ISNA(VLOOKUP('Project Details by Yr - MASTER'!$B53,'Parking Lots &amp; Playgrounds'!$A$9:$N$33,K$2,0)),0,VLOOKUP('Project Details by Yr - MASTER'!$B53,'Parking Lots &amp; Playgrounds'!$A$9:$N$33,K$2,0))+IF(ISNA(VLOOKUP($B53,Vehicles!$B$9:$O$50,K$2,0)),0,VLOOKUP($B53,Vehicles!$B$9:$O$50,K$2,0))</f>
        <v>0</v>
      </c>
    </row>
    <row r="54" spans="1:11" x14ac:dyDescent="0.25">
      <c r="A54" s="1">
        <v>53</v>
      </c>
      <c r="B54" t="s">
        <v>189</v>
      </c>
      <c r="C54" t="s">
        <v>101</v>
      </c>
      <c r="D54" t="s">
        <v>271</v>
      </c>
      <c r="E54" s="1" t="s">
        <v>16</v>
      </c>
      <c r="G54" s="8">
        <f>IF(ISNA(VLOOKUP($B54,'Other Capital Needs'!$C$51:$P$95,G$2,0)),0,VLOOKUP($B54,'Other Capital Needs'!$C$51:$P$95,G$2,0))+IF(ISNA(VLOOKUP('Project Details by Yr - MASTER'!$B54,'Public Grounds'!$A$11:$N$49,G$2,0)),0,VLOOKUP('Project Details by Yr - MASTER'!$B54,'Public Grounds'!$A$11:$N$49,G$2,0))+IF(ISNA(VLOOKUP('Project Details by Yr - MASTER'!$B54,'Public Buildings'!$A$10:$N$96,G$2,0)),0,VLOOKUP('Project Details by Yr - MASTER'!$B54,'Public Buildings'!$A$10:$N$96,G$2,0))+IF(ISNA(VLOOKUP('Project Details by Yr - MASTER'!$B54,Bridges!$A$9:$N$24,G$2,0)),0,VLOOKUP('Project Details by Yr - MASTER'!$B54,Bridges!$A$9:$N$24,G$2,0))+IF(ISNA(VLOOKUP('Project Details by Yr - MASTER'!$B54,'Parking Lots &amp; Playgrounds'!$A$9:$N$33,G$2,0)),0,VLOOKUP('Project Details by Yr - MASTER'!$B54,'Parking Lots &amp; Playgrounds'!$A$9:$N$33,G$2,0))+IF(ISNA(VLOOKUP($B54,Vehicles!$B$9:$O$50,G$2,0)),0,VLOOKUP($B54,Vehicles!$B$9:$O$50,G$2,0))</f>
        <v>0</v>
      </c>
      <c r="H54" s="8">
        <f>IF(ISNA(VLOOKUP($B54,'Other Capital Needs'!$C$51:$P$95,H$2,0)),0,VLOOKUP($B54,'Other Capital Needs'!$C$51:$P$95,H$2,0))+IF(ISNA(VLOOKUP('Project Details by Yr - MASTER'!$B54,'Public Grounds'!$A$11:$N$49,H$2,0)),0,VLOOKUP('Project Details by Yr - MASTER'!$B54,'Public Grounds'!$A$11:$N$49,H$2,0))+IF(ISNA(VLOOKUP('Project Details by Yr - MASTER'!$B54,'Public Buildings'!$A$10:$N$96,H$2,0)),0,VLOOKUP('Project Details by Yr - MASTER'!$B54,'Public Buildings'!$A$10:$N$96,H$2,0))+IF(ISNA(VLOOKUP('Project Details by Yr - MASTER'!$B54,Bridges!$A$9:$N$24,H$2,0)),0,VLOOKUP('Project Details by Yr - MASTER'!$B54,Bridges!$A$9:$N$24,H$2,0))+IF(ISNA(VLOOKUP('Project Details by Yr - MASTER'!$B54,'Parking Lots &amp; Playgrounds'!$A$9:$N$33,H$2,0)),0,VLOOKUP('Project Details by Yr - MASTER'!$B54,'Parking Lots &amp; Playgrounds'!$A$9:$N$33,H$2,0))+IF(ISNA(VLOOKUP($B54,Vehicles!$B$9:$O$50,H$2,0)),0,VLOOKUP($B54,Vehicles!$B$9:$O$50,H$2,0))</f>
        <v>0</v>
      </c>
      <c r="I54" s="8">
        <f>IF(ISNA(VLOOKUP($B54,'Other Capital Needs'!$C$51:$P$95,I$2,0)),0,VLOOKUP($B54,'Other Capital Needs'!$C$51:$P$95,I$2,0))+IF(ISNA(VLOOKUP('Project Details by Yr - MASTER'!$B54,'Public Grounds'!$A$11:$N$49,I$2,0)),0,VLOOKUP('Project Details by Yr - MASTER'!$B54,'Public Grounds'!$A$11:$N$49,I$2,0))+IF(ISNA(VLOOKUP('Project Details by Yr - MASTER'!$B54,'Public Buildings'!$A$10:$N$96,I$2,0)),0,VLOOKUP('Project Details by Yr - MASTER'!$B54,'Public Buildings'!$A$10:$N$96,I$2,0))+IF(ISNA(VLOOKUP('Project Details by Yr - MASTER'!$B54,Bridges!$A$9:$N$24,I$2,0)),0,VLOOKUP('Project Details by Yr - MASTER'!$B54,Bridges!$A$9:$N$24,I$2,0))+IF(ISNA(VLOOKUP('Project Details by Yr - MASTER'!$B54,'Parking Lots &amp; Playgrounds'!$A$9:$N$33,I$2,0)),0,VLOOKUP('Project Details by Yr - MASTER'!$B54,'Parking Lots &amp; Playgrounds'!$A$9:$N$33,I$2,0))+IF(ISNA(VLOOKUP($B54,Vehicles!$B$9:$O$50,I$2,0)),0,VLOOKUP($B54,Vehicles!$B$9:$O$50,I$2,0))</f>
        <v>0</v>
      </c>
      <c r="J54" s="8">
        <f>IF(ISNA(VLOOKUP($B54,'Other Capital Needs'!$C$51:$P$95,J$2,0)),0,VLOOKUP($B54,'Other Capital Needs'!$C$51:$P$95,J$2,0))+IF(ISNA(VLOOKUP('Project Details by Yr - MASTER'!$B54,'Public Grounds'!$A$11:$N$49,J$2,0)),0,VLOOKUP('Project Details by Yr - MASTER'!$B54,'Public Grounds'!$A$11:$N$49,J$2,0))+IF(ISNA(VLOOKUP('Project Details by Yr - MASTER'!$B54,'Public Buildings'!$A$10:$N$96,J$2,0)),0,VLOOKUP('Project Details by Yr - MASTER'!$B54,'Public Buildings'!$A$10:$N$96,J$2,0))+IF(ISNA(VLOOKUP('Project Details by Yr - MASTER'!$B54,Bridges!$A$9:$N$24,J$2,0)),0,VLOOKUP('Project Details by Yr - MASTER'!$B54,Bridges!$A$9:$N$24,J$2,0))+IF(ISNA(VLOOKUP('Project Details by Yr - MASTER'!$B54,'Parking Lots &amp; Playgrounds'!$A$9:$N$33,J$2,0)),0,VLOOKUP('Project Details by Yr - MASTER'!$B54,'Parking Lots &amp; Playgrounds'!$A$9:$N$33,J$2,0))+IF(ISNA(VLOOKUP($B54,Vehicles!$B$9:$O$50,J$2,0)),0,VLOOKUP($B54,Vehicles!$B$9:$O$50,J$2,0))</f>
        <v>0</v>
      </c>
      <c r="K54" s="8">
        <f>IF(ISNA(VLOOKUP($B54,'Other Capital Needs'!$C$51:$P$95,K$2,0)),0,VLOOKUP($B54,'Other Capital Needs'!$C$51:$P$95,K$2,0))+IF(ISNA(VLOOKUP('Project Details by Yr - MASTER'!$B54,'Public Grounds'!$A$11:$N$49,K$2,0)),0,VLOOKUP('Project Details by Yr - MASTER'!$B54,'Public Grounds'!$A$11:$N$49,K$2,0))+IF(ISNA(VLOOKUP('Project Details by Yr - MASTER'!$B54,'Public Buildings'!$A$10:$N$96,K$2,0)),0,VLOOKUP('Project Details by Yr - MASTER'!$B54,'Public Buildings'!$A$10:$N$96,K$2,0))+IF(ISNA(VLOOKUP('Project Details by Yr - MASTER'!$B54,Bridges!$A$9:$N$24,K$2,0)),0,VLOOKUP('Project Details by Yr - MASTER'!$B54,Bridges!$A$9:$N$24,K$2,0))+IF(ISNA(VLOOKUP('Project Details by Yr - MASTER'!$B54,'Parking Lots &amp; Playgrounds'!$A$9:$N$33,K$2,0)),0,VLOOKUP('Project Details by Yr - MASTER'!$B54,'Parking Lots &amp; Playgrounds'!$A$9:$N$33,K$2,0))+IF(ISNA(VLOOKUP($B54,Vehicles!$B$9:$O$50,K$2,0)),0,VLOOKUP($B54,Vehicles!$B$9:$O$50,K$2,0))</f>
        <v>0</v>
      </c>
    </row>
    <row r="55" spans="1:11" x14ac:dyDescent="0.25">
      <c r="A55" s="1">
        <v>53</v>
      </c>
      <c r="B55" t="s">
        <v>190</v>
      </c>
      <c r="C55" t="s">
        <v>101</v>
      </c>
      <c r="D55" t="s">
        <v>271</v>
      </c>
      <c r="E55" s="1" t="s">
        <v>16</v>
      </c>
      <c r="G55" s="8">
        <f>IF(ISNA(VLOOKUP($B55,'Other Capital Needs'!$C$51:$P$95,G$2,0)),0,VLOOKUP($B55,'Other Capital Needs'!$C$51:$P$95,G$2,0))+IF(ISNA(VLOOKUP('Project Details by Yr - MASTER'!$B55,'Public Grounds'!$A$11:$N$49,G$2,0)),0,VLOOKUP('Project Details by Yr - MASTER'!$B55,'Public Grounds'!$A$11:$N$49,G$2,0))+IF(ISNA(VLOOKUP('Project Details by Yr - MASTER'!$B55,'Public Buildings'!$A$10:$N$96,G$2,0)),0,VLOOKUP('Project Details by Yr - MASTER'!$B55,'Public Buildings'!$A$10:$N$96,G$2,0))+IF(ISNA(VLOOKUP('Project Details by Yr - MASTER'!$B55,Bridges!$A$9:$N$24,G$2,0)),0,VLOOKUP('Project Details by Yr - MASTER'!$B55,Bridges!$A$9:$N$24,G$2,0))+IF(ISNA(VLOOKUP('Project Details by Yr - MASTER'!$B55,'Parking Lots &amp; Playgrounds'!$A$9:$N$33,G$2,0)),0,VLOOKUP('Project Details by Yr - MASTER'!$B55,'Parking Lots &amp; Playgrounds'!$A$9:$N$33,G$2,0))+IF(ISNA(VLOOKUP($B55,Vehicles!$B$9:$O$50,G$2,0)),0,VLOOKUP($B55,Vehicles!$B$9:$O$50,G$2,0))</f>
        <v>0</v>
      </c>
      <c r="H55" s="8">
        <f>IF(ISNA(VLOOKUP($B55,'Other Capital Needs'!$C$51:$P$95,H$2,0)),0,VLOOKUP($B55,'Other Capital Needs'!$C$51:$P$95,H$2,0))+IF(ISNA(VLOOKUP('Project Details by Yr - MASTER'!$B55,'Public Grounds'!$A$11:$N$49,H$2,0)),0,VLOOKUP('Project Details by Yr - MASTER'!$B55,'Public Grounds'!$A$11:$N$49,H$2,0))+IF(ISNA(VLOOKUP('Project Details by Yr - MASTER'!$B55,'Public Buildings'!$A$10:$N$96,H$2,0)),0,VLOOKUP('Project Details by Yr - MASTER'!$B55,'Public Buildings'!$A$10:$N$96,H$2,0))+IF(ISNA(VLOOKUP('Project Details by Yr - MASTER'!$B55,Bridges!$A$9:$N$24,H$2,0)),0,VLOOKUP('Project Details by Yr - MASTER'!$B55,Bridges!$A$9:$N$24,H$2,0))+IF(ISNA(VLOOKUP('Project Details by Yr - MASTER'!$B55,'Parking Lots &amp; Playgrounds'!$A$9:$N$33,H$2,0)),0,VLOOKUP('Project Details by Yr - MASTER'!$B55,'Parking Lots &amp; Playgrounds'!$A$9:$N$33,H$2,0))+IF(ISNA(VLOOKUP($B55,Vehicles!$B$9:$O$50,H$2,0)),0,VLOOKUP($B55,Vehicles!$B$9:$O$50,H$2,0))</f>
        <v>0</v>
      </c>
      <c r="I55" s="8">
        <f>IF(ISNA(VLOOKUP($B55,'Other Capital Needs'!$C$51:$P$95,I$2,0)),0,VLOOKUP($B55,'Other Capital Needs'!$C$51:$P$95,I$2,0))+IF(ISNA(VLOOKUP('Project Details by Yr - MASTER'!$B55,'Public Grounds'!$A$11:$N$49,I$2,0)),0,VLOOKUP('Project Details by Yr - MASTER'!$B55,'Public Grounds'!$A$11:$N$49,I$2,0))+IF(ISNA(VLOOKUP('Project Details by Yr - MASTER'!$B55,'Public Buildings'!$A$10:$N$96,I$2,0)),0,VLOOKUP('Project Details by Yr - MASTER'!$B55,'Public Buildings'!$A$10:$N$96,I$2,0))+IF(ISNA(VLOOKUP('Project Details by Yr - MASTER'!$B55,Bridges!$A$9:$N$24,I$2,0)),0,VLOOKUP('Project Details by Yr - MASTER'!$B55,Bridges!$A$9:$N$24,I$2,0))+IF(ISNA(VLOOKUP('Project Details by Yr - MASTER'!$B55,'Parking Lots &amp; Playgrounds'!$A$9:$N$33,I$2,0)),0,VLOOKUP('Project Details by Yr - MASTER'!$B55,'Parking Lots &amp; Playgrounds'!$A$9:$N$33,I$2,0))+IF(ISNA(VLOOKUP($B55,Vehicles!$B$9:$O$50,I$2,0)),0,VLOOKUP($B55,Vehicles!$B$9:$O$50,I$2,0))</f>
        <v>0</v>
      </c>
      <c r="J55" s="8">
        <f>IF(ISNA(VLOOKUP($B55,'Other Capital Needs'!$C$51:$P$95,J$2,0)),0,VLOOKUP($B55,'Other Capital Needs'!$C$51:$P$95,J$2,0))+IF(ISNA(VLOOKUP('Project Details by Yr - MASTER'!$B55,'Public Grounds'!$A$11:$N$49,J$2,0)),0,VLOOKUP('Project Details by Yr - MASTER'!$B55,'Public Grounds'!$A$11:$N$49,J$2,0))+IF(ISNA(VLOOKUP('Project Details by Yr - MASTER'!$B55,'Public Buildings'!$A$10:$N$96,J$2,0)),0,VLOOKUP('Project Details by Yr - MASTER'!$B55,'Public Buildings'!$A$10:$N$96,J$2,0))+IF(ISNA(VLOOKUP('Project Details by Yr - MASTER'!$B55,Bridges!$A$9:$N$24,J$2,0)),0,VLOOKUP('Project Details by Yr - MASTER'!$B55,Bridges!$A$9:$N$24,J$2,0))+IF(ISNA(VLOOKUP('Project Details by Yr - MASTER'!$B55,'Parking Lots &amp; Playgrounds'!$A$9:$N$33,J$2,0)),0,VLOOKUP('Project Details by Yr - MASTER'!$B55,'Parking Lots &amp; Playgrounds'!$A$9:$N$33,J$2,0))+IF(ISNA(VLOOKUP($B55,Vehicles!$B$9:$O$50,J$2,0)),0,VLOOKUP($B55,Vehicles!$B$9:$O$50,J$2,0))</f>
        <v>0</v>
      </c>
      <c r="K55" s="8">
        <f>IF(ISNA(VLOOKUP($B55,'Other Capital Needs'!$C$51:$P$95,K$2,0)),0,VLOOKUP($B55,'Other Capital Needs'!$C$51:$P$95,K$2,0))+IF(ISNA(VLOOKUP('Project Details by Yr - MASTER'!$B55,'Public Grounds'!$A$11:$N$49,K$2,0)),0,VLOOKUP('Project Details by Yr - MASTER'!$B55,'Public Grounds'!$A$11:$N$49,K$2,0))+IF(ISNA(VLOOKUP('Project Details by Yr - MASTER'!$B55,'Public Buildings'!$A$10:$N$96,K$2,0)),0,VLOOKUP('Project Details by Yr - MASTER'!$B55,'Public Buildings'!$A$10:$N$96,K$2,0))+IF(ISNA(VLOOKUP('Project Details by Yr - MASTER'!$B55,Bridges!$A$9:$N$24,K$2,0)),0,VLOOKUP('Project Details by Yr - MASTER'!$B55,Bridges!$A$9:$N$24,K$2,0))+IF(ISNA(VLOOKUP('Project Details by Yr - MASTER'!$B55,'Parking Lots &amp; Playgrounds'!$A$9:$N$33,K$2,0)),0,VLOOKUP('Project Details by Yr - MASTER'!$B55,'Parking Lots &amp; Playgrounds'!$A$9:$N$33,K$2,0))+IF(ISNA(VLOOKUP($B55,Vehicles!$B$9:$O$50,K$2,0)),0,VLOOKUP($B55,Vehicles!$B$9:$O$50,K$2,0))</f>
        <v>0</v>
      </c>
    </row>
    <row r="56" spans="1:11" x14ac:dyDescent="0.25">
      <c r="B56" t="s">
        <v>12</v>
      </c>
      <c r="C56" s="26" t="s">
        <v>46</v>
      </c>
      <c r="D56" s="26" t="s">
        <v>271</v>
      </c>
      <c r="E56" s="1" t="s">
        <v>16</v>
      </c>
      <c r="G56" s="8">
        <f>IF(ISNA(VLOOKUP($B56,'Other Capital Needs'!$C$51:$P$95,G$2,0)),0,VLOOKUP($B56,'Other Capital Needs'!$C$51:$P$95,G$2,0))+IF(ISNA(VLOOKUP('Project Details by Yr - MASTER'!$B56,'Public Grounds'!$A$11:$N$49,G$2,0)),0,VLOOKUP('Project Details by Yr - MASTER'!$B56,'Public Grounds'!$A$11:$N$49,G$2,0))+IF(ISNA(VLOOKUP('Project Details by Yr - MASTER'!$B56,'Public Buildings'!$A$10:$N$96,G$2,0)),0,VLOOKUP('Project Details by Yr - MASTER'!$B56,'Public Buildings'!$A$10:$N$96,G$2,0))+IF(ISNA(VLOOKUP('Project Details by Yr - MASTER'!$B56,Bridges!$A$9:$N$24,G$2,0)),0,VLOOKUP('Project Details by Yr - MASTER'!$B56,Bridges!$A$9:$N$24,G$2,0))+IF(ISNA(VLOOKUP('Project Details by Yr - MASTER'!$B56,'Parking Lots &amp; Playgrounds'!$A$9:$N$33,G$2,0)),0,VLOOKUP('Project Details by Yr - MASTER'!$B56,'Parking Lots &amp; Playgrounds'!$A$9:$N$33,G$2,0))+IF(ISNA(VLOOKUP($B56,Vehicles!$B$9:$O$50,G$2,0)),0,VLOOKUP($B56,Vehicles!$B$9:$O$50,G$2,0))</f>
        <v>892000</v>
      </c>
      <c r="H56" s="8">
        <f>IF(ISNA(VLOOKUP($B56,'Other Capital Needs'!$C$51:$P$95,H$2,0)),0,VLOOKUP($B56,'Other Capital Needs'!$C$51:$P$95,H$2,0))+IF(ISNA(VLOOKUP('Project Details by Yr - MASTER'!$B56,'Public Grounds'!$A$11:$N$49,H$2,0)),0,VLOOKUP('Project Details by Yr - MASTER'!$B56,'Public Grounds'!$A$11:$N$49,H$2,0))+IF(ISNA(VLOOKUP('Project Details by Yr - MASTER'!$B56,'Public Buildings'!$A$10:$N$96,H$2,0)),0,VLOOKUP('Project Details by Yr - MASTER'!$B56,'Public Buildings'!$A$10:$N$96,H$2,0))+IF(ISNA(VLOOKUP('Project Details by Yr - MASTER'!$B56,Bridges!$A$9:$N$24,H$2,0)),0,VLOOKUP('Project Details by Yr - MASTER'!$B56,Bridges!$A$9:$N$24,H$2,0))+IF(ISNA(VLOOKUP('Project Details by Yr - MASTER'!$B56,'Parking Lots &amp; Playgrounds'!$A$9:$N$33,H$2,0)),0,VLOOKUP('Project Details by Yr - MASTER'!$B56,'Parking Lots &amp; Playgrounds'!$A$9:$N$33,H$2,0))+IF(ISNA(VLOOKUP($B56,Vehicles!$B$9:$O$50,H$2,0)),0,VLOOKUP($B56,Vehicles!$B$9:$O$50,H$2,0))</f>
        <v>0</v>
      </c>
      <c r="I56" s="8">
        <f>IF(ISNA(VLOOKUP($B56,'Other Capital Needs'!$C$51:$P$95,I$2,0)),0,VLOOKUP($B56,'Other Capital Needs'!$C$51:$P$95,I$2,0))+IF(ISNA(VLOOKUP('Project Details by Yr - MASTER'!$B56,'Public Grounds'!$A$11:$N$49,I$2,0)),0,VLOOKUP('Project Details by Yr - MASTER'!$B56,'Public Grounds'!$A$11:$N$49,I$2,0))+IF(ISNA(VLOOKUP('Project Details by Yr - MASTER'!$B56,'Public Buildings'!$A$10:$N$96,I$2,0)),0,VLOOKUP('Project Details by Yr - MASTER'!$B56,'Public Buildings'!$A$10:$N$96,I$2,0))+IF(ISNA(VLOOKUP('Project Details by Yr - MASTER'!$B56,Bridges!$A$9:$N$24,I$2,0)),0,VLOOKUP('Project Details by Yr - MASTER'!$B56,Bridges!$A$9:$N$24,I$2,0))+IF(ISNA(VLOOKUP('Project Details by Yr - MASTER'!$B56,'Parking Lots &amp; Playgrounds'!$A$9:$N$33,I$2,0)),0,VLOOKUP('Project Details by Yr - MASTER'!$B56,'Parking Lots &amp; Playgrounds'!$A$9:$N$33,I$2,0))+IF(ISNA(VLOOKUP($B56,Vehicles!$B$9:$O$50,I$2,0)),0,VLOOKUP($B56,Vehicles!$B$9:$O$50,I$2,0))</f>
        <v>0</v>
      </c>
      <c r="J56" s="8">
        <f>IF(ISNA(VLOOKUP($B56,'Other Capital Needs'!$C$51:$P$95,J$2,0)),0,VLOOKUP($B56,'Other Capital Needs'!$C$51:$P$95,J$2,0))+IF(ISNA(VLOOKUP('Project Details by Yr - MASTER'!$B56,'Public Grounds'!$A$11:$N$49,J$2,0)),0,VLOOKUP('Project Details by Yr - MASTER'!$B56,'Public Grounds'!$A$11:$N$49,J$2,0))+IF(ISNA(VLOOKUP('Project Details by Yr - MASTER'!$B56,'Public Buildings'!$A$10:$N$96,J$2,0)),0,VLOOKUP('Project Details by Yr - MASTER'!$B56,'Public Buildings'!$A$10:$N$96,J$2,0))+IF(ISNA(VLOOKUP('Project Details by Yr - MASTER'!$B56,Bridges!$A$9:$N$24,J$2,0)),0,VLOOKUP('Project Details by Yr - MASTER'!$B56,Bridges!$A$9:$N$24,J$2,0))+IF(ISNA(VLOOKUP('Project Details by Yr - MASTER'!$B56,'Parking Lots &amp; Playgrounds'!$A$9:$N$33,J$2,0)),0,VLOOKUP('Project Details by Yr - MASTER'!$B56,'Parking Lots &amp; Playgrounds'!$A$9:$N$33,J$2,0))+IF(ISNA(VLOOKUP($B56,Vehicles!$B$9:$O$50,J$2,0)),0,VLOOKUP($B56,Vehicles!$B$9:$O$50,J$2,0))</f>
        <v>0</v>
      </c>
      <c r="K56" s="8">
        <f>IF(ISNA(VLOOKUP($B56,'Other Capital Needs'!$C$51:$P$95,K$2,0)),0,VLOOKUP($B56,'Other Capital Needs'!$C$51:$P$95,K$2,0))+IF(ISNA(VLOOKUP('Project Details by Yr - MASTER'!$B56,'Public Grounds'!$A$11:$N$49,K$2,0)),0,VLOOKUP('Project Details by Yr - MASTER'!$B56,'Public Grounds'!$A$11:$N$49,K$2,0))+IF(ISNA(VLOOKUP('Project Details by Yr - MASTER'!$B56,'Public Buildings'!$A$10:$N$96,K$2,0)),0,VLOOKUP('Project Details by Yr - MASTER'!$B56,'Public Buildings'!$A$10:$N$96,K$2,0))+IF(ISNA(VLOOKUP('Project Details by Yr - MASTER'!$B56,Bridges!$A$9:$N$24,K$2,0)),0,VLOOKUP('Project Details by Yr - MASTER'!$B56,Bridges!$A$9:$N$24,K$2,0))+IF(ISNA(VLOOKUP('Project Details by Yr - MASTER'!$B56,'Parking Lots &amp; Playgrounds'!$A$9:$N$33,K$2,0)),0,VLOOKUP('Project Details by Yr - MASTER'!$B56,'Parking Lots &amp; Playgrounds'!$A$9:$N$33,K$2,0))+IF(ISNA(VLOOKUP($B56,Vehicles!$B$9:$O$50,K$2,0)),0,VLOOKUP($B56,Vehicles!$B$9:$O$50,K$2,0))</f>
        <v>0</v>
      </c>
    </row>
    <row r="57" spans="1:11" x14ac:dyDescent="0.25">
      <c r="B57" t="s">
        <v>282</v>
      </c>
      <c r="C57" s="26" t="s">
        <v>46</v>
      </c>
      <c r="D57" s="26" t="s">
        <v>271</v>
      </c>
      <c r="E57" s="1" t="s">
        <v>16</v>
      </c>
      <c r="G57" s="8">
        <f>IF(ISNA(VLOOKUP($B57,'Other Capital Needs'!$C$51:$P$95,G$2,0)),0,VLOOKUP($B57,'Other Capital Needs'!$C$51:$P$95,G$2,0))+IF(ISNA(VLOOKUP('Project Details by Yr - MASTER'!$B57,'Public Grounds'!$A$11:$N$49,G$2,0)),0,VLOOKUP('Project Details by Yr - MASTER'!$B57,'Public Grounds'!$A$11:$N$49,G$2,0))+IF(ISNA(VLOOKUP('Project Details by Yr - MASTER'!$B57,'Public Buildings'!$A$10:$N$96,G$2,0)),0,VLOOKUP('Project Details by Yr - MASTER'!$B57,'Public Buildings'!$A$10:$N$96,G$2,0))+IF(ISNA(VLOOKUP('Project Details by Yr - MASTER'!$B57,Bridges!$A$9:$N$24,G$2,0)),0,VLOOKUP('Project Details by Yr - MASTER'!$B57,Bridges!$A$9:$N$24,G$2,0))+IF(ISNA(VLOOKUP('Project Details by Yr - MASTER'!$B57,'Parking Lots &amp; Playgrounds'!$A$9:$N$33,G$2,0)),0,VLOOKUP('Project Details by Yr - MASTER'!$B57,'Parking Lots &amp; Playgrounds'!$A$9:$N$33,G$2,0))+IF(ISNA(VLOOKUP($B57,Vehicles!$B$9:$O$50,G$2,0)),0,VLOOKUP($B57,Vehicles!$B$9:$O$50,G$2,0))</f>
        <v>0</v>
      </c>
      <c r="H57" s="8">
        <f>IF(ISNA(VLOOKUP($B57,'Other Capital Needs'!$C$51:$P$95,H$2,0)),0,VLOOKUP($B57,'Other Capital Needs'!$C$51:$P$95,H$2,0))+IF(ISNA(VLOOKUP('Project Details by Yr - MASTER'!$B57,'Public Grounds'!$A$11:$N$49,H$2,0)),0,VLOOKUP('Project Details by Yr - MASTER'!$B57,'Public Grounds'!$A$11:$N$49,H$2,0))+IF(ISNA(VLOOKUP('Project Details by Yr - MASTER'!$B57,'Public Buildings'!$A$10:$N$96,H$2,0)),0,VLOOKUP('Project Details by Yr - MASTER'!$B57,'Public Buildings'!$A$10:$N$96,H$2,0))+IF(ISNA(VLOOKUP('Project Details by Yr - MASTER'!$B57,Bridges!$A$9:$N$24,H$2,0)),0,VLOOKUP('Project Details by Yr - MASTER'!$B57,Bridges!$A$9:$N$24,H$2,0))+IF(ISNA(VLOOKUP('Project Details by Yr - MASTER'!$B57,'Parking Lots &amp; Playgrounds'!$A$9:$N$33,H$2,0)),0,VLOOKUP('Project Details by Yr - MASTER'!$B57,'Parking Lots &amp; Playgrounds'!$A$9:$N$33,H$2,0))+IF(ISNA(VLOOKUP($B57,Vehicles!$B$9:$O$50,H$2,0)),0,VLOOKUP($B57,Vehicles!$B$9:$O$50,H$2,0))</f>
        <v>30000</v>
      </c>
      <c r="I57" s="8">
        <f>IF(ISNA(VLOOKUP($B57,'Other Capital Needs'!$C$51:$P$95,I$2,0)),0,VLOOKUP($B57,'Other Capital Needs'!$C$51:$P$95,I$2,0))+IF(ISNA(VLOOKUP('Project Details by Yr - MASTER'!$B57,'Public Grounds'!$A$11:$N$49,I$2,0)),0,VLOOKUP('Project Details by Yr - MASTER'!$B57,'Public Grounds'!$A$11:$N$49,I$2,0))+IF(ISNA(VLOOKUP('Project Details by Yr - MASTER'!$B57,'Public Buildings'!$A$10:$N$96,I$2,0)),0,VLOOKUP('Project Details by Yr - MASTER'!$B57,'Public Buildings'!$A$10:$N$96,I$2,0))+IF(ISNA(VLOOKUP('Project Details by Yr - MASTER'!$B57,Bridges!$A$9:$N$24,I$2,0)),0,VLOOKUP('Project Details by Yr - MASTER'!$B57,Bridges!$A$9:$N$24,I$2,0))+IF(ISNA(VLOOKUP('Project Details by Yr - MASTER'!$B57,'Parking Lots &amp; Playgrounds'!$A$9:$N$33,I$2,0)),0,VLOOKUP('Project Details by Yr - MASTER'!$B57,'Parking Lots &amp; Playgrounds'!$A$9:$N$33,I$2,0))+IF(ISNA(VLOOKUP($B57,Vehicles!$B$9:$O$50,I$2,0)),0,VLOOKUP($B57,Vehicles!$B$9:$O$50,I$2,0))</f>
        <v>0</v>
      </c>
      <c r="J57" s="8">
        <f>IF(ISNA(VLOOKUP($B57,'Other Capital Needs'!$C$51:$P$95,J$2,0)),0,VLOOKUP($B57,'Other Capital Needs'!$C$51:$P$95,J$2,0))+IF(ISNA(VLOOKUP('Project Details by Yr - MASTER'!$B57,'Public Grounds'!$A$11:$N$49,J$2,0)),0,VLOOKUP('Project Details by Yr - MASTER'!$B57,'Public Grounds'!$A$11:$N$49,J$2,0))+IF(ISNA(VLOOKUP('Project Details by Yr - MASTER'!$B57,'Public Buildings'!$A$10:$N$96,J$2,0)),0,VLOOKUP('Project Details by Yr - MASTER'!$B57,'Public Buildings'!$A$10:$N$96,J$2,0))+IF(ISNA(VLOOKUP('Project Details by Yr - MASTER'!$B57,Bridges!$A$9:$N$24,J$2,0)),0,VLOOKUP('Project Details by Yr - MASTER'!$B57,Bridges!$A$9:$N$24,J$2,0))+IF(ISNA(VLOOKUP('Project Details by Yr - MASTER'!$B57,'Parking Lots &amp; Playgrounds'!$A$9:$N$33,J$2,0)),0,VLOOKUP('Project Details by Yr - MASTER'!$B57,'Parking Lots &amp; Playgrounds'!$A$9:$N$33,J$2,0))+IF(ISNA(VLOOKUP($B57,Vehicles!$B$9:$O$50,J$2,0)),0,VLOOKUP($B57,Vehicles!$B$9:$O$50,J$2,0))</f>
        <v>0</v>
      </c>
      <c r="K57" s="8">
        <f>IF(ISNA(VLOOKUP($B57,'Other Capital Needs'!$C$51:$P$95,K$2,0)),0,VLOOKUP($B57,'Other Capital Needs'!$C$51:$P$95,K$2,0))+IF(ISNA(VLOOKUP('Project Details by Yr - MASTER'!$B57,'Public Grounds'!$A$11:$N$49,K$2,0)),0,VLOOKUP('Project Details by Yr - MASTER'!$B57,'Public Grounds'!$A$11:$N$49,K$2,0))+IF(ISNA(VLOOKUP('Project Details by Yr - MASTER'!$B57,'Public Buildings'!$A$10:$N$96,K$2,0)),0,VLOOKUP('Project Details by Yr - MASTER'!$B57,'Public Buildings'!$A$10:$N$96,K$2,0))+IF(ISNA(VLOOKUP('Project Details by Yr - MASTER'!$B57,Bridges!$A$9:$N$24,K$2,0)),0,VLOOKUP('Project Details by Yr - MASTER'!$B57,Bridges!$A$9:$N$24,K$2,0))+IF(ISNA(VLOOKUP('Project Details by Yr - MASTER'!$B57,'Parking Lots &amp; Playgrounds'!$A$9:$N$33,K$2,0)),0,VLOOKUP('Project Details by Yr - MASTER'!$B57,'Parking Lots &amp; Playgrounds'!$A$9:$N$33,K$2,0))+IF(ISNA(VLOOKUP($B57,Vehicles!$B$9:$O$50,K$2,0)),0,VLOOKUP($B57,Vehicles!$B$9:$O$50,K$2,0))</f>
        <v>0</v>
      </c>
    </row>
    <row r="58" spans="1:11" x14ac:dyDescent="0.25">
      <c r="B58" t="s">
        <v>14</v>
      </c>
      <c r="C58" s="26" t="s">
        <v>46</v>
      </c>
      <c r="D58" s="26" t="s">
        <v>271</v>
      </c>
      <c r="E58" s="1" t="s">
        <v>243</v>
      </c>
      <c r="G58" s="8">
        <f>IF(ISNA(VLOOKUP($B58,'Other Capital Needs'!$C$51:$P$95,G$2,0)),0,VLOOKUP($B58,'Other Capital Needs'!$C$51:$P$95,G$2,0))+IF(ISNA(VLOOKUP('Project Details by Yr - MASTER'!$B58,'Public Grounds'!$A$11:$N$49,G$2,0)),0,VLOOKUP('Project Details by Yr - MASTER'!$B58,'Public Grounds'!$A$11:$N$49,G$2,0))+IF(ISNA(VLOOKUP('Project Details by Yr - MASTER'!$B58,'Public Buildings'!$A$10:$N$96,G$2,0)),0,VLOOKUP('Project Details by Yr - MASTER'!$B58,'Public Buildings'!$A$10:$N$96,G$2,0))+IF(ISNA(VLOOKUP('Project Details by Yr - MASTER'!$B58,Bridges!$A$9:$N$24,G$2,0)),0,VLOOKUP('Project Details by Yr - MASTER'!$B58,Bridges!$A$9:$N$24,G$2,0))+IF(ISNA(VLOOKUP('Project Details by Yr - MASTER'!$B58,'Parking Lots &amp; Playgrounds'!$A$9:$N$33,G$2,0)),0,VLOOKUP('Project Details by Yr - MASTER'!$B58,'Parking Lots &amp; Playgrounds'!$A$9:$N$33,G$2,0))+IF(ISNA(VLOOKUP($B58,Vehicles!$B$9:$O$50,G$2,0)),0,VLOOKUP($B58,Vehicles!$B$9:$O$50,G$2,0))</f>
        <v>0</v>
      </c>
      <c r="H58" s="8">
        <f>IF(ISNA(VLOOKUP($B58,'Other Capital Needs'!$C$51:$P$95,H$2,0)),0,VLOOKUP($B58,'Other Capital Needs'!$C$51:$P$95,H$2,0))+IF(ISNA(VLOOKUP('Project Details by Yr - MASTER'!$B58,'Public Grounds'!$A$11:$N$49,H$2,0)),0,VLOOKUP('Project Details by Yr - MASTER'!$B58,'Public Grounds'!$A$11:$N$49,H$2,0))+IF(ISNA(VLOOKUP('Project Details by Yr - MASTER'!$B58,'Public Buildings'!$A$10:$N$96,H$2,0)),0,VLOOKUP('Project Details by Yr - MASTER'!$B58,'Public Buildings'!$A$10:$N$96,H$2,0))+IF(ISNA(VLOOKUP('Project Details by Yr - MASTER'!$B58,Bridges!$A$9:$N$24,H$2,0)),0,VLOOKUP('Project Details by Yr - MASTER'!$B58,Bridges!$A$9:$N$24,H$2,0))+IF(ISNA(VLOOKUP('Project Details by Yr - MASTER'!$B58,'Parking Lots &amp; Playgrounds'!$A$9:$N$33,H$2,0)),0,VLOOKUP('Project Details by Yr - MASTER'!$B58,'Parking Lots &amp; Playgrounds'!$A$9:$N$33,H$2,0))+IF(ISNA(VLOOKUP($B58,Vehicles!$B$9:$O$50,H$2,0)),0,VLOOKUP($B58,Vehicles!$B$9:$O$50,H$2,0))</f>
        <v>0</v>
      </c>
      <c r="I58" s="8">
        <f>IF(ISNA(VLOOKUP($B58,'Other Capital Needs'!$C$51:$P$95,I$2,0)),0,VLOOKUP($B58,'Other Capital Needs'!$C$51:$P$95,I$2,0))+IF(ISNA(VLOOKUP('Project Details by Yr - MASTER'!$B58,'Public Grounds'!$A$11:$N$49,I$2,0)),0,VLOOKUP('Project Details by Yr - MASTER'!$B58,'Public Grounds'!$A$11:$N$49,I$2,0))+IF(ISNA(VLOOKUP('Project Details by Yr - MASTER'!$B58,'Public Buildings'!$A$10:$N$96,I$2,0)),0,VLOOKUP('Project Details by Yr - MASTER'!$B58,'Public Buildings'!$A$10:$N$96,I$2,0))+IF(ISNA(VLOOKUP('Project Details by Yr - MASTER'!$B58,Bridges!$A$9:$N$24,I$2,0)),0,VLOOKUP('Project Details by Yr - MASTER'!$B58,Bridges!$A$9:$N$24,I$2,0))+IF(ISNA(VLOOKUP('Project Details by Yr - MASTER'!$B58,'Parking Lots &amp; Playgrounds'!$A$9:$N$33,I$2,0)),0,VLOOKUP('Project Details by Yr - MASTER'!$B58,'Parking Lots &amp; Playgrounds'!$A$9:$N$33,I$2,0))+IF(ISNA(VLOOKUP($B58,Vehicles!$B$9:$O$50,I$2,0)),0,VLOOKUP($B58,Vehicles!$B$9:$O$50,I$2,0))</f>
        <v>0</v>
      </c>
      <c r="J58" s="8">
        <f>IF(ISNA(VLOOKUP($B58,'Other Capital Needs'!$C$51:$P$95,J$2,0)),0,VLOOKUP($B58,'Other Capital Needs'!$C$51:$P$95,J$2,0))+IF(ISNA(VLOOKUP('Project Details by Yr - MASTER'!$B58,'Public Grounds'!$A$11:$N$49,J$2,0)),0,VLOOKUP('Project Details by Yr - MASTER'!$B58,'Public Grounds'!$A$11:$N$49,J$2,0))+IF(ISNA(VLOOKUP('Project Details by Yr - MASTER'!$B58,'Public Buildings'!$A$10:$N$96,J$2,0)),0,VLOOKUP('Project Details by Yr - MASTER'!$B58,'Public Buildings'!$A$10:$N$96,J$2,0))+IF(ISNA(VLOOKUP('Project Details by Yr - MASTER'!$B58,Bridges!$A$9:$N$24,J$2,0)),0,VLOOKUP('Project Details by Yr - MASTER'!$B58,Bridges!$A$9:$N$24,J$2,0))+IF(ISNA(VLOOKUP('Project Details by Yr - MASTER'!$B58,'Parking Lots &amp; Playgrounds'!$A$9:$N$33,J$2,0)),0,VLOOKUP('Project Details by Yr - MASTER'!$B58,'Parking Lots &amp; Playgrounds'!$A$9:$N$33,J$2,0))+IF(ISNA(VLOOKUP($B58,Vehicles!$B$9:$O$50,J$2,0)),0,VLOOKUP($B58,Vehicles!$B$9:$O$50,J$2,0))</f>
        <v>0</v>
      </c>
      <c r="K58" s="8">
        <f>IF(ISNA(VLOOKUP($B58,'Other Capital Needs'!$C$51:$P$95,K$2,0)),0,VLOOKUP($B58,'Other Capital Needs'!$C$51:$P$95,K$2,0))+IF(ISNA(VLOOKUP('Project Details by Yr - MASTER'!$B58,'Public Grounds'!$A$11:$N$49,K$2,0)),0,VLOOKUP('Project Details by Yr - MASTER'!$B58,'Public Grounds'!$A$11:$N$49,K$2,0))+IF(ISNA(VLOOKUP('Project Details by Yr - MASTER'!$B58,'Public Buildings'!$A$10:$N$96,K$2,0)),0,VLOOKUP('Project Details by Yr - MASTER'!$B58,'Public Buildings'!$A$10:$N$96,K$2,0))+IF(ISNA(VLOOKUP('Project Details by Yr - MASTER'!$B58,Bridges!$A$9:$N$24,K$2,0)),0,VLOOKUP('Project Details by Yr - MASTER'!$B58,Bridges!$A$9:$N$24,K$2,0))+IF(ISNA(VLOOKUP('Project Details by Yr - MASTER'!$B58,'Parking Lots &amp; Playgrounds'!$A$9:$N$33,K$2,0)),0,VLOOKUP('Project Details by Yr - MASTER'!$B58,'Parking Lots &amp; Playgrounds'!$A$9:$N$33,K$2,0))+IF(ISNA(VLOOKUP($B58,Vehicles!$B$9:$O$50,K$2,0)),0,VLOOKUP($B58,Vehicles!$B$9:$O$50,K$2,0))</f>
        <v>0</v>
      </c>
    </row>
    <row r="59" spans="1:11" x14ac:dyDescent="0.25">
      <c r="B59" t="s">
        <v>15</v>
      </c>
      <c r="C59" s="26" t="s">
        <v>46</v>
      </c>
      <c r="D59" s="26" t="s">
        <v>271</v>
      </c>
      <c r="E59" s="1" t="s">
        <v>16</v>
      </c>
      <c r="G59" s="8">
        <f>IF(ISNA(VLOOKUP($B59,'Other Capital Needs'!$C$51:$P$95,G$2,0)),0,VLOOKUP($B59,'Other Capital Needs'!$C$51:$P$95,G$2,0))+IF(ISNA(VLOOKUP('Project Details by Yr - MASTER'!$B59,'Public Grounds'!$A$11:$N$49,G$2,0)),0,VLOOKUP('Project Details by Yr - MASTER'!$B59,'Public Grounds'!$A$11:$N$49,G$2,0))+IF(ISNA(VLOOKUP('Project Details by Yr - MASTER'!$B59,'Public Buildings'!$A$10:$N$96,G$2,0)),0,VLOOKUP('Project Details by Yr - MASTER'!$B59,'Public Buildings'!$A$10:$N$96,G$2,0))+IF(ISNA(VLOOKUP('Project Details by Yr - MASTER'!$B59,Bridges!$A$9:$N$24,G$2,0)),0,VLOOKUP('Project Details by Yr - MASTER'!$B59,Bridges!$A$9:$N$24,G$2,0))+IF(ISNA(VLOOKUP('Project Details by Yr - MASTER'!$B59,'Parking Lots &amp; Playgrounds'!$A$9:$N$33,G$2,0)),0,VLOOKUP('Project Details by Yr - MASTER'!$B59,'Parking Lots &amp; Playgrounds'!$A$9:$N$33,G$2,0))+IF(ISNA(VLOOKUP($B59,Vehicles!$B$9:$O$50,G$2,0)),0,VLOOKUP($B59,Vehicles!$B$9:$O$50,G$2,0))</f>
        <v>0</v>
      </c>
      <c r="H59" s="8">
        <f>IF(ISNA(VLOOKUP($B59,'Other Capital Needs'!$C$51:$P$95,H$2,0)),0,VLOOKUP($B59,'Other Capital Needs'!$C$51:$P$95,H$2,0))+IF(ISNA(VLOOKUP('Project Details by Yr - MASTER'!$B59,'Public Grounds'!$A$11:$N$49,H$2,0)),0,VLOOKUP('Project Details by Yr - MASTER'!$B59,'Public Grounds'!$A$11:$N$49,H$2,0))+IF(ISNA(VLOOKUP('Project Details by Yr - MASTER'!$B59,'Public Buildings'!$A$10:$N$96,H$2,0)),0,VLOOKUP('Project Details by Yr - MASTER'!$B59,'Public Buildings'!$A$10:$N$96,H$2,0))+IF(ISNA(VLOOKUP('Project Details by Yr - MASTER'!$B59,Bridges!$A$9:$N$24,H$2,0)),0,VLOOKUP('Project Details by Yr - MASTER'!$B59,Bridges!$A$9:$N$24,H$2,0))+IF(ISNA(VLOOKUP('Project Details by Yr - MASTER'!$B59,'Parking Lots &amp; Playgrounds'!$A$9:$N$33,H$2,0)),0,VLOOKUP('Project Details by Yr - MASTER'!$B59,'Parking Lots &amp; Playgrounds'!$A$9:$N$33,H$2,0))+IF(ISNA(VLOOKUP($B59,Vehicles!$B$9:$O$50,H$2,0)),0,VLOOKUP($B59,Vehicles!$B$9:$O$50,H$2,0))</f>
        <v>0</v>
      </c>
      <c r="I59" s="8">
        <f>IF(ISNA(VLOOKUP($B59,'Other Capital Needs'!$C$51:$P$95,I$2,0)),0,VLOOKUP($B59,'Other Capital Needs'!$C$51:$P$95,I$2,0))+IF(ISNA(VLOOKUP('Project Details by Yr - MASTER'!$B59,'Public Grounds'!$A$11:$N$49,I$2,0)),0,VLOOKUP('Project Details by Yr - MASTER'!$B59,'Public Grounds'!$A$11:$N$49,I$2,0))+IF(ISNA(VLOOKUP('Project Details by Yr - MASTER'!$B59,'Public Buildings'!$A$10:$N$96,I$2,0)),0,VLOOKUP('Project Details by Yr - MASTER'!$B59,'Public Buildings'!$A$10:$N$96,I$2,0))+IF(ISNA(VLOOKUP('Project Details by Yr - MASTER'!$B59,Bridges!$A$9:$N$24,I$2,0)),0,VLOOKUP('Project Details by Yr - MASTER'!$B59,Bridges!$A$9:$N$24,I$2,0))+IF(ISNA(VLOOKUP('Project Details by Yr - MASTER'!$B59,'Parking Lots &amp; Playgrounds'!$A$9:$N$33,I$2,0)),0,VLOOKUP('Project Details by Yr - MASTER'!$B59,'Parking Lots &amp; Playgrounds'!$A$9:$N$33,I$2,0))+IF(ISNA(VLOOKUP($B59,Vehicles!$B$9:$O$50,I$2,0)),0,VLOOKUP($B59,Vehicles!$B$9:$O$50,I$2,0))</f>
        <v>0</v>
      </c>
      <c r="J59" s="8">
        <f>IF(ISNA(VLOOKUP($B59,'Other Capital Needs'!$C$51:$P$95,J$2,0)),0,VLOOKUP($B59,'Other Capital Needs'!$C$51:$P$95,J$2,0))+IF(ISNA(VLOOKUP('Project Details by Yr - MASTER'!$B59,'Public Grounds'!$A$11:$N$49,J$2,0)),0,VLOOKUP('Project Details by Yr - MASTER'!$B59,'Public Grounds'!$A$11:$N$49,J$2,0))+IF(ISNA(VLOOKUP('Project Details by Yr - MASTER'!$B59,'Public Buildings'!$A$10:$N$96,J$2,0)),0,VLOOKUP('Project Details by Yr - MASTER'!$B59,'Public Buildings'!$A$10:$N$96,J$2,0))+IF(ISNA(VLOOKUP('Project Details by Yr - MASTER'!$B59,Bridges!$A$9:$N$24,J$2,0)),0,VLOOKUP('Project Details by Yr - MASTER'!$B59,Bridges!$A$9:$N$24,J$2,0))+IF(ISNA(VLOOKUP('Project Details by Yr - MASTER'!$B59,'Parking Lots &amp; Playgrounds'!$A$9:$N$33,J$2,0)),0,VLOOKUP('Project Details by Yr - MASTER'!$B59,'Parking Lots &amp; Playgrounds'!$A$9:$N$33,J$2,0))+IF(ISNA(VLOOKUP($B59,Vehicles!$B$9:$O$50,J$2,0)),0,VLOOKUP($B59,Vehicles!$B$9:$O$50,J$2,0))</f>
        <v>0</v>
      </c>
      <c r="K59" s="8">
        <f>IF(ISNA(VLOOKUP($B59,'Other Capital Needs'!$C$51:$P$95,K$2,0)),0,VLOOKUP($B59,'Other Capital Needs'!$C$51:$P$95,K$2,0))+IF(ISNA(VLOOKUP('Project Details by Yr - MASTER'!$B59,'Public Grounds'!$A$11:$N$49,K$2,0)),0,VLOOKUP('Project Details by Yr - MASTER'!$B59,'Public Grounds'!$A$11:$N$49,K$2,0))+IF(ISNA(VLOOKUP('Project Details by Yr - MASTER'!$B59,'Public Buildings'!$A$10:$N$96,K$2,0)),0,VLOOKUP('Project Details by Yr - MASTER'!$B59,'Public Buildings'!$A$10:$N$96,K$2,0))+IF(ISNA(VLOOKUP('Project Details by Yr - MASTER'!$B59,Bridges!$A$9:$N$24,K$2,0)),0,VLOOKUP('Project Details by Yr - MASTER'!$B59,Bridges!$A$9:$N$24,K$2,0))+IF(ISNA(VLOOKUP('Project Details by Yr - MASTER'!$B59,'Parking Lots &amp; Playgrounds'!$A$9:$N$33,K$2,0)),0,VLOOKUP('Project Details by Yr - MASTER'!$B59,'Parking Lots &amp; Playgrounds'!$A$9:$N$33,K$2,0))+IF(ISNA(VLOOKUP($B59,Vehicles!$B$9:$O$50,K$2,0)),0,VLOOKUP($B59,Vehicles!$B$9:$O$50,K$2,0))</f>
        <v>0</v>
      </c>
    </row>
    <row r="60" spans="1:11" x14ac:dyDescent="0.25">
      <c r="B60" t="s">
        <v>20</v>
      </c>
      <c r="C60" s="26" t="s">
        <v>46</v>
      </c>
      <c r="D60" s="26" t="s">
        <v>271</v>
      </c>
      <c r="E60" s="1" t="s">
        <v>16</v>
      </c>
      <c r="G60" s="8">
        <f>IF(ISNA(VLOOKUP($B60,'Other Capital Needs'!$C$51:$P$95,G$2,0)),0,VLOOKUP($B60,'Other Capital Needs'!$C$51:$P$95,G$2,0))+IF(ISNA(VLOOKUP('Project Details by Yr - MASTER'!$B60,'Public Grounds'!$A$11:$N$49,G$2,0)),0,VLOOKUP('Project Details by Yr - MASTER'!$B60,'Public Grounds'!$A$11:$N$49,G$2,0))+IF(ISNA(VLOOKUP('Project Details by Yr - MASTER'!$B60,'Public Buildings'!$A$10:$N$96,G$2,0)),0,VLOOKUP('Project Details by Yr - MASTER'!$B60,'Public Buildings'!$A$10:$N$96,G$2,0))+IF(ISNA(VLOOKUP('Project Details by Yr - MASTER'!$B60,Bridges!$A$9:$N$24,G$2,0)),0,VLOOKUP('Project Details by Yr - MASTER'!$B60,Bridges!$A$9:$N$24,G$2,0))+IF(ISNA(VLOOKUP('Project Details by Yr - MASTER'!$B60,'Parking Lots &amp; Playgrounds'!$A$9:$N$33,G$2,0)),0,VLOOKUP('Project Details by Yr - MASTER'!$B60,'Parking Lots &amp; Playgrounds'!$A$9:$N$33,G$2,0))+IF(ISNA(VLOOKUP($B60,Vehicles!$B$9:$O$50,G$2,0)),0,VLOOKUP($B60,Vehicles!$B$9:$O$50,G$2,0))</f>
        <v>105000</v>
      </c>
      <c r="H60" s="8">
        <f>IF(ISNA(VLOOKUP($B60,'Other Capital Needs'!$C$51:$P$95,H$2,0)),0,VLOOKUP($B60,'Other Capital Needs'!$C$51:$P$95,H$2,0))+IF(ISNA(VLOOKUP('Project Details by Yr - MASTER'!$B60,'Public Grounds'!$A$11:$N$49,H$2,0)),0,VLOOKUP('Project Details by Yr - MASTER'!$B60,'Public Grounds'!$A$11:$N$49,H$2,0))+IF(ISNA(VLOOKUP('Project Details by Yr - MASTER'!$B60,'Public Buildings'!$A$10:$N$96,H$2,0)),0,VLOOKUP('Project Details by Yr - MASTER'!$B60,'Public Buildings'!$A$10:$N$96,H$2,0))+IF(ISNA(VLOOKUP('Project Details by Yr - MASTER'!$B60,Bridges!$A$9:$N$24,H$2,0)),0,VLOOKUP('Project Details by Yr - MASTER'!$B60,Bridges!$A$9:$N$24,H$2,0))+IF(ISNA(VLOOKUP('Project Details by Yr - MASTER'!$B60,'Parking Lots &amp; Playgrounds'!$A$9:$N$33,H$2,0)),0,VLOOKUP('Project Details by Yr - MASTER'!$B60,'Parking Lots &amp; Playgrounds'!$A$9:$N$33,H$2,0))+IF(ISNA(VLOOKUP($B60,Vehicles!$B$9:$O$50,H$2,0)),0,VLOOKUP($B60,Vehicles!$B$9:$O$50,H$2,0))</f>
        <v>0</v>
      </c>
      <c r="I60" s="8">
        <f>IF(ISNA(VLOOKUP($B60,'Other Capital Needs'!$C$51:$P$95,I$2,0)),0,VLOOKUP($B60,'Other Capital Needs'!$C$51:$P$95,I$2,0))+IF(ISNA(VLOOKUP('Project Details by Yr - MASTER'!$B60,'Public Grounds'!$A$11:$N$49,I$2,0)),0,VLOOKUP('Project Details by Yr - MASTER'!$B60,'Public Grounds'!$A$11:$N$49,I$2,0))+IF(ISNA(VLOOKUP('Project Details by Yr - MASTER'!$B60,'Public Buildings'!$A$10:$N$96,I$2,0)),0,VLOOKUP('Project Details by Yr - MASTER'!$B60,'Public Buildings'!$A$10:$N$96,I$2,0))+IF(ISNA(VLOOKUP('Project Details by Yr - MASTER'!$B60,Bridges!$A$9:$N$24,I$2,0)),0,VLOOKUP('Project Details by Yr - MASTER'!$B60,Bridges!$A$9:$N$24,I$2,0))+IF(ISNA(VLOOKUP('Project Details by Yr - MASTER'!$B60,'Parking Lots &amp; Playgrounds'!$A$9:$N$33,I$2,0)),0,VLOOKUP('Project Details by Yr - MASTER'!$B60,'Parking Lots &amp; Playgrounds'!$A$9:$N$33,I$2,0))+IF(ISNA(VLOOKUP($B60,Vehicles!$B$9:$O$50,I$2,0)),0,VLOOKUP($B60,Vehicles!$B$9:$O$50,I$2,0))</f>
        <v>0</v>
      </c>
      <c r="J60" s="8">
        <f>IF(ISNA(VLOOKUP($B60,'Other Capital Needs'!$C$51:$P$95,J$2,0)),0,VLOOKUP($B60,'Other Capital Needs'!$C$51:$P$95,J$2,0))+IF(ISNA(VLOOKUP('Project Details by Yr - MASTER'!$B60,'Public Grounds'!$A$11:$N$49,J$2,0)),0,VLOOKUP('Project Details by Yr - MASTER'!$B60,'Public Grounds'!$A$11:$N$49,J$2,0))+IF(ISNA(VLOOKUP('Project Details by Yr - MASTER'!$B60,'Public Buildings'!$A$10:$N$96,J$2,0)),0,VLOOKUP('Project Details by Yr - MASTER'!$B60,'Public Buildings'!$A$10:$N$96,J$2,0))+IF(ISNA(VLOOKUP('Project Details by Yr - MASTER'!$B60,Bridges!$A$9:$N$24,J$2,0)),0,VLOOKUP('Project Details by Yr - MASTER'!$B60,Bridges!$A$9:$N$24,J$2,0))+IF(ISNA(VLOOKUP('Project Details by Yr - MASTER'!$B60,'Parking Lots &amp; Playgrounds'!$A$9:$N$33,J$2,0)),0,VLOOKUP('Project Details by Yr - MASTER'!$B60,'Parking Lots &amp; Playgrounds'!$A$9:$N$33,J$2,0))+IF(ISNA(VLOOKUP($B60,Vehicles!$B$9:$O$50,J$2,0)),0,VLOOKUP($B60,Vehicles!$B$9:$O$50,J$2,0))</f>
        <v>0</v>
      </c>
      <c r="K60" s="8">
        <f>IF(ISNA(VLOOKUP($B60,'Other Capital Needs'!$C$51:$P$95,K$2,0)),0,VLOOKUP($B60,'Other Capital Needs'!$C$51:$P$95,K$2,0))+IF(ISNA(VLOOKUP('Project Details by Yr - MASTER'!$B60,'Public Grounds'!$A$11:$N$49,K$2,0)),0,VLOOKUP('Project Details by Yr - MASTER'!$B60,'Public Grounds'!$A$11:$N$49,K$2,0))+IF(ISNA(VLOOKUP('Project Details by Yr - MASTER'!$B60,'Public Buildings'!$A$10:$N$96,K$2,0)),0,VLOOKUP('Project Details by Yr - MASTER'!$B60,'Public Buildings'!$A$10:$N$96,K$2,0))+IF(ISNA(VLOOKUP('Project Details by Yr - MASTER'!$B60,Bridges!$A$9:$N$24,K$2,0)),0,VLOOKUP('Project Details by Yr - MASTER'!$B60,Bridges!$A$9:$N$24,K$2,0))+IF(ISNA(VLOOKUP('Project Details by Yr - MASTER'!$B60,'Parking Lots &amp; Playgrounds'!$A$9:$N$33,K$2,0)),0,VLOOKUP('Project Details by Yr - MASTER'!$B60,'Parking Lots &amp; Playgrounds'!$A$9:$N$33,K$2,0))+IF(ISNA(VLOOKUP($B60,Vehicles!$B$9:$O$50,K$2,0)),0,VLOOKUP($B60,Vehicles!$B$9:$O$50,K$2,0))</f>
        <v>0</v>
      </c>
    </row>
    <row r="61" spans="1:11" x14ac:dyDescent="0.25">
      <c r="B61" t="s">
        <v>21</v>
      </c>
      <c r="C61" s="26" t="s">
        <v>46</v>
      </c>
      <c r="D61" s="26" t="s">
        <v>271</v>
      </c>
      <c r="E61" s="1" t="s">
        <v>16</v>
      </c>
      <c r="G61" s="8">
        <f>IF(ISNA(VLOOKUP($B61,'Other Capital Needs'!$C$51:$P$95,G$2,0)),0,VLOOKUP($B61,'Other Capital Needs'!$C$51:$P$95,G$2,0))+IF(ISNA(VLOOKUP('Project Details by Yr - MASTER'!$B61,'Public Grounds'!$A$11:$N$49,G$2,0)),0,VLOOKUP('Project Details by Yr - MASTER'!$B61,'Public Grounds'!$A$11:$N$49,G$2,0))+IF(ISNA(VLOOKUP('Project Details by Yr - MASTER'!$B61,'Public Buildings'!$A$10:$N$96,G$2,0)),0,VLOOKUP('Project Details by Yr - MASTER'!$B61,'Public Buildings'!$A$10:$N$96,G$2,0))+IF(ISNA(VLOOKUP('Project Details by Yr - MASTER'!$B61,Bridges!$A$9:$N$24,G$2,0)),0,VLOOKUP('Project Details by Yr - MASTER'!$B61,Bridges!$A$9:$N$24,G$2,0))+IF(ISNA(VLOOKUP('Project Details by Yr - MASTER'!$B61,'Parking Lots &amp; Playgrounds'!$A$9:$N$33,G$2,0)),0,VLOOKUP('Project Details by Yr - MASTER'!$B61,'Parking Lots &amp; Playgrounds'!$A$9:$N$33,G$2,0))+IF(ISNA(VLOOKUP($B61,Vehicles!$B$9:$O$50,G$2,0)),0,VLOOKUP($B61,Vehicles!$B$9:$O$50,G$2,0))</f>
        <v>0</v>
      </c>
      <c r="H61" s="8">
        <f>IF(ISNA(VLOOKUP($B61,'Other Capital Needs'!$C$51:$P$95,H$2,0)),0,VLOOKUP($B61,'Other Capital Needs'!$C$51:$P$95,H$2,0))+IF(ISNA(VLOOKUP('Project Details by Yr - MASTER'!$B61,'Public Grounds'!$A$11:$N$49,H$2,0)),0,VLOOKUP('Project Details by Yr - MASTER'!$B61,'Public Grounds'!$A$11:$N$49,H$2,0))+IF(ISNA(VLOOKUP('Project Details by Yr - MASTER'!$B61,'Public Buildings'!$A$10:$N$96,H$2,0)),0,VLOOKUP('Project Details by Yr - MASTER'!$B61,'Public Buildings'!$A$10:$N$96,H$2,0))+IF(ISNA(VLOOKUP('Project Details by Yr - MASTER'!$B61,Bridges!$A$9:$N$24,H$2,0)),0,VLOOKUP('Project Details by Yr - MASTER'!$B61,Bridges!$A$9:$N$24,H$2,0))+IF(ISNA(VLOOKUP('Project Details by Yr - MASTER'!$B61,'Parking Lots &amp; Playgrounds'!$A$9:$N$33,H$2,0)),0,VLOOKUP('Project Details by Yr - MASTER'!$B61,'Parking Lots &amp; Playgrounds'!$A$9:$N$33,H$2,0))+IF(ISNA(VLOOKUP($B61,Vehicles!$B$9:$O$50,H$2,0)),0,VLOOKUP($B61,Vehicles!$B$9:$O$50,H$2,0))</f>
        <v>23500</v>
      </c>
      <c r="I61" s="8">
        <f>IF(ISNA(VLOOKUP($B61,'Other Capital Needs'!$C$51:$P$95,I$2,0)),0,VLOOKUP($B61,'Other Capital Needs'!$C$51:$P$95,I$2,0))+IF(ISNA(VLOOKUP('Project Details by Yr - MASTER'!$B61,'Public Grounds'!$A$11:$N$49,I$2,0)),0,VLOOKUP('Project Details by Yr - MASTER'!$B61,'Public Grounds'!$A$11:$N$49,I$2,0))+IF(ISNA(VLOOKUP('Project Details by Yr - MASTER'!$B61,'Public Buildings'!$A$10:$N$96,I$2,0)),0,VLOOKUP('Project Details by Yr - MASTER'!$B61,'Public Buildings'!$A$10:$N$96,I$2,0))+IF(ISNA(VLOOKUP('Project Details by Yr - MASTER'!$B61,Bridges!$A$9:$N$24,I$2,0)),0,VLOOKUP('Project Details by Yr - MASTER'!$B61,Bridges!$A$9:$N$24,I$2,0))+IF(ISNA(VLOOKUP('Project Details by Yr - MASTER'!$B61,'Parking Lots &amp; Playgrounds'!$A$9:$N$33,I$2,0)),0,VLOOKUP('Project Details by Yr - MASTER'!$B61,'Parking Lots &amp; Playgrounds'!$A$9:$N$33,I$2,0))+IF(ISNA(VLOOKUP($B61,Vehicles!$B$9:$O$50,I$2,0)),0,VLOOKUP($B61,Vehicles!$B$9:$O$50,I$2,0))</f>
        <v>23500</v>
      </c>
      <c r="J61" s="8">
        <f>IF(ISNA(VLOOKUP($B61,'Other Capital Needs'!$C$51:$P$95,J$2,0)),0,VLOOKUP($B61,'Other Capital Needs'!$C$51:$P$95,J$2,0))+IF(ISNA(VLOOKUP('Project Details by Yr - MASTER'!$B61,'Public Grounds'!$A$11:$N$49,J$2,0)),0,VLOOKUP('Project Details by Yr - MASTER'!$B61,'Public Grounds'!$A$11:$N$49,J$2,0))+IF(ISNA(VLOOKUP('Project Details by Yr - MASTER'!$B61,'Public Buildings'!$A$10:$N$96,J$2,0)),0,VLOOKUP('Project Details by Yr - MASTER'!$B61,'Public Buildings'!$A$10:$N$96,J$2,0))+IF(ISNA(VLOOKUP('Project Details by Yr - MASTER'!$B61,Bridges!$A$9:$N$24,J$2,0)),0,VLOOKUP('Project Details by Yr - MASTER'!$B61,Bridges!$A$9:$N$24,J$2,0))+IF(ISNA(VLOOKUP('Project Details by Yr - MASTER'!$B61,'Parking Lots &amp; Playgrounds'!$A$9:$N$33,J$2,0)),0,VLOOKUP('Project Details by Yr - MASTER'!$B61,'Parking Lots &amp; Playgrounds'!$A$9:$N$33,J$2,0))+IF(ISNA(VLOOKUP($B61,Vehicles!$B$9:$O$50,J$2,0)),0,VLOOKUP($B61,Vehicles!$B$9:$O$50,J$2,0))</f>
        <v>0</v>
      </c>
      <c r="K61" s="8">
        <f>IF(ISNA(VLOOKUP($B61,'Other Capital Needs'!$C$51:$P$95,K$2,0)),0,VLOOKUP($B61,'Other Capital Needs'!$C$51:$P$95,K$2,0))+IF(ISNA(VLOOKUP('Project Details by Yr - MASTER'!$B61,'Public Grounds'!$A$11:$N$49,K$2,0)),0,VLOOKUP('Project Details by Yr - MASTER'!$B61,'Public Grounds'!$A$11:$N$49,K$2,0))+IF(ISNA(VLOOKUP('Project Details by Yr - MASTER'!$B61,'Public Buildings'!$A$10:$N$96,K$2,0)),0,VLOOKUP('Project Details by Yr - MASTER'!$B61,'Public Buildings'!$A$10:$N$96,K$2,0))+IF(ISNA(VLOOKUP('Project Details by Yr - MASTER'!$B61,Bridges!$A$9:$N$24,K$2,0)),0,VLOOKUP('Project Details by Yr - MASTER'!$B61,Bridges!$A$9:$N$24,K$2,0))+IF(ISNA(VLOOKUP('Project Details by Yr - MASTER'!$B61,'Parking Lots &amp; Playgrounds'!$A$9:$N$33,K$2,0)),0,VLOOKUP('Project Details by Yr - MASTER'!$B61,'Parking Lots &amp; Playgrounds'!$A$9:$N$33,K$2,0))+IF(ISNA(VLOOKUP($B61,Vehicles!$B$9:$O$50,K$2,0)),0,VLOOKUP($B61,Vehicles!$B$9:$O$50,K$2,0))</f>
        <v>0</v>
      </c>
    </row>
    <row r="62" spans="1:11" x14ac:dyDescent="0.25">
      <c r="B62" t="s">
        <v>22</v>
      </c>
      <c r="C62" s="26" t="s">
        <v>46</v>
      </c>
      <c r="D62" s="26" t="s">
        <v>271</v>
      </c>
      <c r="E62" s="1" t="s">
        <v>16</v>
      </c>
      <c r="G62" s="8">
        <f>IF(ISNA(VLOOKUP($B62,'Other Capital Needs'!$C$51:$P$95,G$2,0)),0,VLOOKUP($B62,'Other Capital Needs'!$C$51:$P$95,G$2,0))+IF(ISNA(VLOOKUP('Project Details by Yr - MASTER'!$B62,'Public Grounds'!$A$11:$N$49,G$2,0)),0,VLOOKUP('Project Details by Yr - MASTER'!$B62,'Public Grounds'!$A$11:$N$49,G$2,0))+IF(ISNA(VLOOKUP('Project Details by Yr - MASTER'!$B62,'Public Buildings'!$A$10:$N$96,G$2,0)),0,VLOOKUP('Project Details by Yr - MASTER'!$B62,'Public Buildings'!$A$10:$N$96,G$2,0))+IF(ISNA(VLOOKUP('Project Details by Yr - MASTER'!$B62,Bridges!$A$9:$N$24,G$2,0)),0,VLOOKUP('Project Details by Yr - MASTER'!$B62,Bridges!$A$9:$N$24,G$2,0))+IF(ISNA(VLOOKUP('Project Details by Yr - MASTER'!$B62,'Parking Lots &amp; Playgrounds'!$A$9:$N$33,G$2,0)),0,VLOOKUP('Project Details by Yr - MASTER'!$B62,'Parking Lots &amp; Playgrounds'!$A$9:$N$33,G$2,0))+IF(ISNA(VLOOKUP($B62,Vehicles!$B$9:$O$50,G$2,0)),0,VLOOKUP($B62,Vehicles!$B$9:$O$50,G$2,0))</f>
        <v>10000</v>
      </c>
      <c r="H62" s="8">
        <f>IF(ISNA(VLOOKUP($B62,'Other Capital Needs'!$C$51:$P$95,H$2,0)),0,VLOOKUP($B62,'Other Capital Needs'!$C$51:$P$95,H$2,0))+IF(ISNA(VLOOKUP('Project Details by Yr - MASTER'!$B62,'Public Grounds'!$A$11:$N$49,H$2,0)),0,VLOOKUP('Project Details by Yr - MASTER'!$B62,'Public Grounds'!$A$11:$N$49,H$2,0))+IF(ISNA(VLOOKUP('Project Details by Yr - MASTER'!$B62,'Public Buildings'!$A$10:$N$96,H$2,0)),0,VLOOKUP('Project Details by Yr - MASTER'!$B62,'Public Buildings'!$A$10:$N$96,H$2,0))+IF(ISNA(VLOOKUP('Project Details by Yr - MASTER'!$B62,Bridges!$A$9:$N$24,H$2,0)),0,VLOOKUP('Project Details by Yr - MASTER'!$B62,Bridges!$A$9:$N$24,H$2,0))+IF(ISNA(VLOOKUP('Project Details by Yr - MASTER'!$B62,'Parking Lots &amp; Playgrounds'!$A$9:$N$33,H$2,0)),0,VLOOKUP('Project Details by Yr - MASTER'!$B62,'Parking Lots &amp; Playgrounds'!$A$9:$N$33,H$2,0))+IF(ISNA(VLOOKUP($B62,Vehicles!$B$9:$O$50,H$2,0)),0,VLOOKUP($B62,Vehicles!$B$9:$O$50,H$2,0))</f>
        <v>0</v>
      </c>
      <c r="I62" s="8">
        <f>IF(ISNA(VLOOKUP($B62,'Other Capital Needs'!$C$51:$P$95,I$2,0)),0,VLOOKUP($B62,'Other Capital Needs'!$C$51:$P$95,I$2,0))+IF(ISNA(VLOOKUP('Project Details by Yr - MASTER'!$B62,'Public Grounds'!$A$11:$N$49,I$2,0)),0,VLOOKUP('Project Details by Yr - MASTER'!$B62,'Public Grounds'!$A$11:$N$49,I$2,0))+IF(ISNA(VLOOKUP('Project Details by Yr - MASTER'!$B62,'Public Buildings'!$A$10:$N$96,I$2,0)),0,VLOOKUP('Project Details by Yr - MASTER'!$B62,'Public Buildings'!$A$10:$N$96,I$2,0))+IF(ISNA(VLOOKUP('Project Details by Yr - MASTER'!$B62,Bridges!$A$9:$N$24,I$2,0)),0,VLOOKUP('Project Details by Yr - MASTER'!$B62,Bridges!$A$9:$N$24,I$2,0))+IF(ISNA(VLOOKUP('Project Details by Yr - MASTER'!$B62,'Parking Lots &amp; Playgrounds'!$A$9:$N$33,I$2,0)),0,VLOOKUP('Project Details by Yr - MASTER'!$B62,'Parking Lots &amp; Playgrounds'!$A$9:$N$33,I$2,0))+IF(ISNA(VLOOKUP($B62,Vehicles!$B$9:$O$50,I$2,0)),0,VLOOKUP($B62,Vehicles!$B$9:$O$50,I$2,0))</f>
        <v>0</v>
      </c>
      <c r="J62" s="8">
        <f>IF(ISNA(VLOOKUP($B62,'Other Capital Needs'!$C$51:$P$95,J$2,0)),0,VLOOKUP($B62,'Other Capital Needs'!$C$51:$P$95,J$2,0))+IF(ISNA(VLOOKUP('Project Details by Yr - MASTER'!$B62,'Public Grounds'!$A$11:$N$49,J$2,0)),0,VLOOKUP('Project Details by Yr - MASTER'!$B62,'Public Grounds'!$A$11:$N$49,J$2,0))+IF(ISNA(VLOOKUP('Project Details by Yr - MASTER'!$B62,'Public Buildings'!$A$10:$N$96,J$2,0)),0,VLOOKUP('Project Details by Yr - MASTER'!$B62,'Public Buildings'!$A$10:$N$96,J$2,0))+IF(ISNA(VLOOKUP('Project Details by Yr - MASTER'!$B62,Bridges!$A$9:$N$24,J$2,0)),0,VLOOKUP('Project Details by Yr - MASTER'!$B62,Bridges!$A$9:$N$24,J$2,0))+IF(ISNA(VLOOKUP('Project Details by Yr - MASTER'!$B62,'Parking Lots &amp; Playgrounds'!$A$9:$N$33,J$2,0)),0,VLOOKUP('Project Details by Yr - MASTER'!$B62,'Parking Lots &amp; Playgrounds'!$A$9:$N$33,J$2,0))+IF(ISNA(VLOOKUP($B62,Vehicles!$B$9:$O$50,J$2,0)),0,VLOOKUP($B62,Vehicles!$B$9:$O$50,J$2,0))</f>
        <v>0</v>
      </c>
      <c r="K62" s="8">
        <f>IF(ISNA(VLOOKUP($B62,'Other Capital Needs'!$C$51:$P$95,K$2,0)),0,VLOOKUP($B62,'Other Capital Needs'!$C$51:$P$95,K$2,0))+IF(ISNA(VLOOKUP('Project Details by Yr - MASTER'!$B62,'Public Grounds'!$A$11:$N$49,K$2,0)),0,VLOOKUP('Project Details by Yr - MASTER'!$B62,'Public Grounds'!$A$11:$N$49,K$2,0))+IF(ISNA(VLOOKUP('Project Details by Yr - MASTER'!$B62,'Public Buildings'!$A$10:$N$96,K$2,0)),0,VLOOKUP('Project Details by Yr - MASTER'!$B62,'Public Buildings'!$A$10:$N$96,K$2,0))+IF(ISNA(VLOOKUP('Project Details by Yr - MASTER'!$B62,Bridges!$A$9:$N$24,K$2,0)),0,VLOOKUP('Project Details by Yr - MASTER'!$B62,Bridges!$A$9:$N$24,K$2,0))+IF(ISNA(VLOOKUP('Project Details by Yr - MASTER'!$B62,'Parking Lots &amp; Playgrounds'!$A$9:$N$33,K$2,0)),0,VLOOKUP('Project Details by Yr - MASTER'!$B62,'Parking Lots &amp; Playgrounds'!$A$9:$N$33,K$2,0))+IF(ISNA(VLOOKUP($B62,Vehicles!$B$9:$O$50,K$2,0)),0,VLOOKUP($B62,Vehicles!$B$9:$O$50,K$2,0))</f>
        <v>0</v>
      </c>
    </row>
    <row r="63" spans="1:11" x14ac:dyDescent="0.25">
      <c r="B63" t="s">
        <v>23</v>
      </c>
      <c r="C63" s="26" t="s">
        <v>46</v>
      </c>
      <c r="D63" s="26" t="s">
        <v>271</v>
      </c>
      <c r="E63" s="1" t="s">
        <v>16</v>
      </c>
      <c r="G63" s="8">
        <f>IF(ISNA(VLOOKUP($B63,'Other Capital Needs'!$C$51:$P$95,G$2,0)),0,VLOOKUP($B63,'Other Capital Needs'!$C$51:$P$95,G$2,0))+IF(ISNA(VLOOKUP('Project Details by Yr - MASTER'!$B63,'Public Grounds'!$A$11:$N$49,G$2,0)),0,VLOOKUP('Project Details by Yr - MASTER'!$B63,'Public Grounds'!$A$11:$N$49,G$2,0))+IF(ISNA(VLOOKUP('Project Details by Yr - MASTER'!$B63,'Public Buildings'!$A$10:$N$96,G$2,0)),0,VLOOKUP('Project Details by Yr - MASTER'!$B63,'Public Buildings'!$A$10:$N$96,G$2,0))+IF(ISNA(VLOOKUP('Project Details by Yr - MASTER'!$B63,Bridges!$A$9:$N$24,G$2,0)),0,VLOOKUP('Project Details by Yr - MASTER'!$B63,Bridges!$A$9:$N$24,G$2,0))+IF(ISNA(VLOOKUP('Project Details by Yr - MASTER'!$B63,'Parking Lots &amp; Playgrounds'!$A$9:$N$33,G$2,0)),0,VLOOKUP('Project Details by Yr - MASTER'!$B63,'Parking Lots &amp; Playgrounds'!$A$9:$N$33,G$2,0))+IF(ISNA(VLOOKUP($B63,Vehicles!$B$9:$O$50,G$2,0)),0,VLOOKUP($B63,Vehicles!$B$9:$O$50,G$2,0))</f>
        <v>15000</v>
      </c>
      <c r="H63" s="8">
        <f>IF(ISNA(VLOOKUP($B63,'Other Capital Needs'!$C$51:$P$95,H$2,0)),0,VLOOKUP($B63,'Other Capital Needs'!$C$51:$P$95,H$2,0))+IF(ISNA(VLOOKUP('Project Details by Yr - MASTER'!$B63,'Public Grounds'!$A$11:$N$49,H$2,0)),0,VLOOKUP('Project Details by Yr - MASTER'!$B63,'Public Grounds'!$A$11:$N$49,H$2,0))+IF(ISNA(VLOOKUP('Project Details by Yr - MASTER'!$B63,'Public Buildings'!$A$10:$N$96,H$2,0)),0,VLOOKUP('Project Details by Yr - MASTER'!$B63,'Public Buildings'!$A$10:$N$96,H$2,0))+IF(ISNA(VLOOKUP('Project Details by Yr - MASTER'!$B63,Bridges!$A$9:$N$24,H$2,0)),0,VLOOKUP('Project Details by Yr - MASTER'!$B63,Bridges!$A$9:$N$24,H$2,0))+IF(ISNA(VLOOKUP('Project Details by Yr - MASTER'!$B63,'Parking Lots &amp; Playgrounds'!$A$9:$N$33,H$2,0)),0,VLOOKUP('Project Details by Yr - MASTER'!$B63,'Parking Lots &amp; Playgrounds'!$A$9:$N$33,H$2,0))+IF(ISNA(VLOOKUP($B63,Vehicles!$B$9:$O$50,H$2,0)),0,VLOOKUP($B63,Vehicles!$B$9:$O$50,H$2,0))</f>
        <v>0</v>
      </c>
      <c r="I63" s="8">
        <f>IF(ISNA(VLOOKUP($B63,'Other Capital Needs'!$C$51:$P$95,I$2,0)),0,VLOOKUP($B63,'Other Capital Needs'!$C$51:$P$95,I$2,0))+IF(ISNA(VLOOKUP('Project Details by Yr - MASTER'!$B63,'Public Grounds'!$A$11:$N$49,I$2,0)),0,VLOOKUP('Project Details by Yr - MASTER'!$B63,'Public Grounds'!$A$11:$N$49,I$2,0))+IF(ISNA(VLOOKUP('Project Details by Yr - MASTER'!$B63,'Public Buildings'!$A$10:$N$96,I$2,0)),0,VLOOKUP('Project Details by Yr - MASTER'!$B63,'Public Buildings'!$A$10:$N$96,I$2,0))+IF(ISNA(VLOOKUP('Project Details by Yr - MASTER'!$B63,Bridges!$A$9:$N$24,I$2,0)),0,VLOOKUP('Project Details by Yr - MASTER'!$B63,Bridges!$A$9:$N$24,I$2,0))+IF(ISNA(VLOOKUP('Project Details by Yr - MASTER'!$B63,'Parking Lots &amp; Playgrounds'!$A$9:$N$33,I$2,0)),0,VLOOKUP('Project Details by Yr - MASTER'!$B63,'Parking Lots &amp; Playgrounds'!$A$9:$N$33,I$2,0))+IF(ISNA(VLOOKUP($B63,Vehicles!$B$9:$O$50,I$2,0)),0,VLOOKUP($B63,Vehicles!$B$9:$O$50,I$2,0))</f>
        <v>15000</v>
      </c>
      <c r="J63" s="8">
        <f>IF(ISNA(VLOOKUP($B63,'Other Capital Needs'!$C$51:$P$95,J$2,0)),0,VLOOKUP($B63,'Other Capital Needs'!$C$51:$P$95,J$2,0))+IF(ISNA(VLOOKUP('Project Details by Yr - MASTER'!$B63,'Public Grounds'!$A$11:$N$49,J$2,0)),0,VLOOKUP('Project Details by Yr - MASTER'!$B63,'Public Grounds'!$A$11:$N$49,J$2,0))+IF(ISNA(VLOOKUP('Project Details by Yr - MASTER'!$B63,'Public Buildings'!$A$10:$N$96,J$2,0)),0,VLOOKUP('Project Details by Yr - MASTER'!$B63,'Public Buildings'!$A$10:$N$96,J$2,0))+IF(ISNA(VLOOKUP('Project Details by Yr - MASTER'!$B63,Bridges!$A$9:$N$24,J$2,0)),0,VLOOKUP('Project Details by Yr - MASTER'!$B63,Bridges!$A$9:$N$24,J$2,0))+IF(ISNA(VLOOKUP('Project Details by Yr - MASTER'!$B63,'Parking Lots &amp; Playgrounds'!$A$9:$N$33,J$2,0)),0,VLOOKUP('Project Details by Yr - MASTER'!$B63,'Parking Lots &amp; Playgrounds'!$A$9:$N$33,J$2,0))+IF(ISNA(VLOOKUP($B63,Vehicles!$B$9:$O$50,J$2,0)),0,VLOOKUP($B63,Vehicles!$B$9:$O$50,J$2,0))</f>
        <v>0</v>
      </c>
      <c r="K63" s="8">
        <f>IF(ISNA(VLOOKUP($B63,'Other Capital Needs'!$C$51:$P$95,K$2,0)),0,VLOOKUP($B63,'Other Capital Needs'!$C$51:$P$95,K$2,0))+IF(ISNA(VLOOKUP('Project Details by Yr - MASTER'!$B63,'Public Grounds'!$A$11:$N$49,K$2,0)),0,VLOOKUP('Project Details by Yr - MASTER'!$B63,'Public Grounds'!$A$11:$N$49,K$2,0))+IF(ISNA(VLOOKUP('Project Details by Yr - MASTER'!$B63,'Public Buildings'!$A$10:$N$96,K$2,0)),0,VLOOKUP('Project Details by Yr - MASTER'!$B63,'Public Buildings'!$A$10:$N$96,K$2,0))+IF(ISNA(VLOOKUP('Project Details by Yr - MASTER'!$B63,Bridges!$A$9:$N$24,K$2,0)),0,VLOOKUP('Project Details by Yr - MASTER'!$B63,Bridges!$A$9:$N$24,K$2,0))+IF(ISNA(VLOOKUP('Project Details by Yr - MASTER'!$B63,'Parking Lots &amp; Playgrounds'!$A$9:$N$33,K$2,0)),0,VLOOKUP('Project Details by Yr - MASTER'!$B63,'Parking Lots &amp; Playgrounds'!$A$9:$N$33,K$2,0))+IF(ISNA(VLOOKUP($B63,Vehicles!$B$9:$O$50,K$2,0)),0,VLOOKUP($B63,Vehicles!$B$9:$O$50,K$2,0))</f>
        <v>0</v>
      </c>
    </row>
    <row r="64" spans="1:11" x14ac:dyDescent="0.25">
      <c r="B64" t="s">
        <v>24</v>
      </c>
      <c r="C64" s="26" t="s">
        <v>46</v>
      </c>
      <c r="D64" s="26" t="s">
        <v>271</v>
      </c>
      <c r="E64" s="1" t="s">
        <v>19</v>
      </c>
      <c r="G64" s="8">
        <f>IF(ISNA(VLOOKUP($B64,'Other Capital Needs'!$C$51:$P$95,G$2,0)),0,VLOOKUP($B64,'Other Capital Needs'!$C$51:$P$95,G$2,0))+IF(ISNA(VLOOKUP('Project Details by Yr - MASTER'!$B64,'Public Grounds'!$A$11:$N$49,G$2,0)),0,VLOOKUP('Project Details by Yr - MASTER'!$B64,'Public Grounds'!$A$11:$N$49,G$2,0))+IF(ISNA(VLOOKUP('Project Details by Yr - MASTER'!$B64,'Public Buildings'!$A$10:$N$96,G$2,0)),0,VLOOKUP('Project Details by Yr - MASTER'!$B64,'Public Buildings'!$A$10:$N$96,G$2,0))+IF(ISNA(VLOOKUP('Project Details by Yr - MASTER'!$B64,Bridges!$A$9:$N$24,G$2,0)),0,VLOOKUP('Project Details by Yr - MASTER'!$B64,Bridges!$A$9:$N$24,G$2,0))+IF(ISNA(VLOOKUP('Project Details by Yr - MASTER'!$B64,'Parking Lots &amp; Playgrounds'!$A$9:$N$33,G$2,0)),0,VLOOKUP('Project Details by Yr - MASTER'!$B64,'Parking Lots &amp; Playgrounds'!$A$9:$N$33,G$2,0))+IF(ISNA(VLOOKUP($B64,Vehicles!$B$9:$O$50,G$2,0)),0,VLOOKUP($B64,Vehicles!$B$9:$O$50,G$2,0))</f>
        <v>0</v>
      </c>
      <c r="H64" s="8">
        <f>IF(ISNA(VLOOKUP($B64,'Other Capital Needs'!$C$51:$P$95,H$2,0)),0,VLOOKUP($B64,'Other Capital Needs'!$C$51:$P$95,H$2,0))+IF(ISNA(VLOOKUP('Project Details by Yr - MASTER'!$B64,'Public Grounds'!$A$11:$N$49,H$2,0)),0,VLOOKUP('Project Details by Yr - MASTER'!$B64,'Public Grounds'!$A$11:$N$49,H$2,0))+IF(ISNA(VLOOKUP('Project Details by Yr - MASTER'!$B64,'Public Buildings'!$A$10:$N$96,H$2,0)),0,VLOOKUP('Project Details by Yr - MASTER'!$B64,'Public Buildings'!$A$10:$N$96,H$2,0))+IF(ISNA(VLOOKUP('Project Details by Yr - MASTER'!$B64,Bridges!$A$9:$N$24,H$2,0)),0,VLOOKUP('Project Details by Yr - MASTER'!$B64,Bridges!$A$9:$N$24,H$2,0))+IF(ISNA(VLOOKUP('Project Details by Yr - MASTER'!$B64,'Parking Lots &amp; Playgrounds'!$A$9:$N$33,H$2,0)),0,VLOOKUP('Project Details by Yr - MASTER'!$B64,'Parking Lots &amp; Playgrounds'!$A$9:$N$33,H$2,0))+IF(ISNA(VLOOKUP($B64,Vehicles!$B$9:$O$50,H$2,0)),0,VLOOKUP($B64,Vehicles!$B$9:$O$50,H$2,0))</f>
        <v>0</v>
      </c>
      <c r="I64" s="8">
        <f>IF(ISNA(VLOOKUP($B64,'Other Capital Needs'!$C$51:$P$95,I$2,0)),0,VLOOKUP($B64,'Other Capital Needs'!$C$51:$P$95,I$2,0))+IF(ISNA(VLOOKUP('Project Details by Yr - MASTER'!$B64,'Public Grounds'!$A$11:$N$49,I$2,0)),0,VLOOKUP('Project Details by Yr - MASTER'!$B64,'Public Grounds'!$A$11:$N$49,I$2,0))+IF(ISNA(VLOOKUP('Project Details by Yr - MASTER'!$B64,'Public Buildings'!$A$10:$N$96,I$2,0)),0,VLOOKUP('Project Details by Yr - MASTER'!$B64,'Public Buildings'!$A$10:$N$96,I$2,0))+IF(ISNA(VLOOKUP('Project Details by Yr - MASTER'!$B64,Bridges!$A$9:$N$24,I$2,0)),0,VLOOKUP('Project Details by Yr - MASTER'!$B64,Bridges!$A$9:$N$24,I$2,0))+IF(ISNA(VLOOKUP('Project Details by Yr - MASTER'!$B64,'Parking Lots &amp; Playgrounds'!$A$9:$N$33,I$2,0)),0,VLOOKUP('Project Details by Yr - MASTER'!$B64,'Parking Lots &amp; Playgrounds'!$A$9:$N$33,I$2,0))+IF(ISNA(VLOOKUP($B64,Vehicles!$B$9:$O$50,I$2,0)),0,VLOOKUP($B64,Vehicles!$B$9:$O$50,I$2,0))</f>
        <v>0</v>
      </c>
      <c r="J64" s="8">
        <f>IF(ISNA(VLOOKUP($B64,'Other Capital Needs'!$C$51:$P$95,J$2,0)),0,VLOOKUP($B64,'Other Capital Needs'!$C$51:$P$95,J$2,0))+IF(ISNA(VLOOKUP('Project Details by Yr - MASTER'!$B64,'Public Grounds'!$A$11:$N$49,J$2,0)),0,VLOOKUP('Project Details by Yr - MASTER'!$B64,'Public Grounds'!$A$11:$N$49,J$2,0))+IF(ISNA(VLOOKUP('Project Details by Yr - MASTER'!$B64,'Public Buildings'!$A$10:$N$96,J$2,0)),0,VLOOKUP('Project Details by Yr - MASTER'!$B64,'Public Buildings'!$A$10:$N$96,J$2,0))+IF(ISNA(VLOOKUP('Project Details by Yr - MASTER'!$B64,Bridges!$A$9:$N$24,J$2,0)),0,VLOOKUP('Project Details by Yr - MASTER'!$B64,Bridges!$A$9:$N$24,J$2,0))+IF(ISNA(VLOOKUP('Project Details by Yr - MASTER'!$B64,'Parking Lots &amp; Playgrounds'!$A$9:$N$33,J$2,0)),0,VLOOKUP('Project Details by Yr - MASTER'!$B64,'Parking Lots &amp; Playgrounds'!$A$9:$N$33,J$2,0))+IF(ISNA(VLOOKUP($B64,Vehicles!$B$9:$O$50,J$2,0)),0,VLOOKUP($B64,Vehicles!$B$9:$O$50,J$2,0))</f>
        <v>0</v>
      </c>
      <c r="K64" s="8">
        <f>IF(ISNA(VLOOKUP($B64,'Other Capital Needs'!$C$51:$P$95,K$2,0)),0,VLOOKUP($B64,'Other Capital Needs'!$C$51:$P$95,K$2,0))+IF(ISNA(VLOOKUP('Project Details by Yr - MASTER'!$B64,'Public Grounds'!$A$11:$N$49,K$2,0)),0,VLOOKUP('Project Details by Yr - MASTER'!$B64,'Public Grounds'!$A$11:$N$49,K$2,0))+IF(ISNA(VLOOKUP('Project Details by Yr - MASTER'!$B64,'Public Buildings'!$A$10:$N$96,K$2,0)),0,VLOOKUP('Project Details by Yr - MASTER'!$B64,'Public Buildings'!$A$10:$N$96,K$2,0))+IF(ISNA(VLOOKUP('Project Details by Yr - MASTER'!$B64,Bridges!$A$9:$N$24,K$2,0)),0,VLOOKUP('Project Details by Yr - MASTER'!$B64,Bridges!$A$9:$N$24,K$2,0))+IF(ISNA(VLOOKUP('Project Details by Yr - MASTER'!$B64,'Parking Lots &amp; Playgrounds'!$A$9:$N$33,K$2,0)),0,VLOOKUP('Project Details by Yr - MASTER'!$B64,'Parking Lots &amp; Playgrounds'!$A$9:$N$33,K$2,0))+IF(ISNA(VLOOKUP($B64,Vehicles!$B$9:$O$50,K$2,0)),0,VLOOKUP($B64,Vehicles!$B$9:$O$50,K$2,0))</f>
        <v>1500000</v>
      </c>
    </row>
    <row r="65" spans="2:11" x14ac:dyDescent="0.25">
      <c r="B65" t="s">
        <v>25</v>
      </c>
      <c r="C65" s="26" t="s">
        <v>46</v>
      </c>
      <c r="D65" s="26" t="s">
        <v>271</v>
      </c>
      <c r="E65" s="1" t="s">
        <v>16</v>
      </c>
      <c r="G65" s="8">
        <f>IF(ISNA(VLOOKUP($B65,'Other Capital Needs'!$C$51:$P$95,G$2,0)),0,VLOOKUP($B65,'Other Capital Needs'!$C$51:$P$95,G$2,0))+IF(ISNA(VLOOKUP('Project Details by Yr - MASTER'!$B65,'Public Grounds'!$A$11:$N$49,G$2,0)),0,VLOOKUP('Project Details by Yr - MASTER'!$B65,'Public Grounds'!$A$11:$N$49,G$2,0))+IF(ISNA(VLOOKUP('Project Details by Yr - MASTER'!$B65,'Public Buildings'!$A$10:$N$96,G$2,0)),0,VLOOKUP('Project Details by Yr - MASTER'!$B65,'Public Buildings'!$A$10:$N$96,G$2,0))+IF(ISNA(VLOOKUP('Project Details by Yr - MASTER'!$B65,Bridges!$A$9:$N$24,G$2,0)),0,VLOOKUP('Project Details by Yr - MASTER'!$B65,Bridges!$A$9:$N$24,G$2,0))+IF(ISNA(VLOOKUP('Project Details by Yr - MASTER'!$B65,'Parking Lots &amp; Playgrounds'!$A$9:$N$33,G$2,0)),0,VLOOKUP('Project Details by Yr - MASTER'!$B65,'Parking Lots &amp; Playgrounds'!$A$9:$N$33,G$2,0))+IF(ISNA(VLOOKUP($B65,Vehicles!$B$9:$O$50,G$2,0)),0,VLOOKUP($B65,Vehicles!$B$9:$O$50,G$2,0))</f>
        <v>0</v>
      </c>
      <c r="H65" s="8">
        <f>IF(ISNA(VLOOKUP($B65,'Other Capital Needs'!$C$51:$P$95,H$2,0)),0,VLOOKUP($B65,'Other Capital Needs'!$C$51:$P$95,H$2,0))+IF(ISNA(VLOOKUP('Project Details by Yr - MASTER'!$B65,'Public Grounds'!$A$11:$N$49,H$2,0)),0,VLOOKUP('Project Details by Yr - MASTER'!$B65,'Public Grounds'!$A$11:$N$49,H$2,0))+IF(ISNA(VLOOKUP('Project Details by Yr - MASTER'!$B65,'Public Buildings'!$A$10:$N$96,H$2,0)),0,VLOOKUP('Project Details by Yr - MASTER'!$B65,'Public Buildings'!$A$10:$N$96,H$2,0))+IF(ISNA(VLOOKUP('Project Details by Yr - MASTER'!$B65,Bridges!$A$9:$N$24,H$2,0)),0,VLOOKUP('Project Details by Yr - MASTER'!$B65,Bridges!$A$9:$N$24,H$2,0))+IF(ISNA(VLOOKUP('Project Details by Yr - MASTER'!$B65,'Parking Lots &amp; Playgrounds'!$A$9:$N$33,H$2,0)),0,VLOOKUP('Project Details by Yr - MASTER'!$B65,'Parking Lots &amp; Playgrounds'!$A$9:$N$33,H$2,0))+IF(ISNA(VLOOKUP($B65,Vehicles!$B$9:$O$50,H$2,0)),0,VLOOKUP($B65,Vehicles!$B$9:$O$50,H$2,0))</f>
        <v>70000</v>
      </c>
      <c r="I65" s="8">
        <f>IF(ISNA(VLOOKUP($B65,'Other Capital Needs'!$C$51:$P$95,I$2,0)),0,VLOOKUP($B65,'Other Capital Needs'!$C$51:$P$95,I$2,0))+IF(ISNA(VLOOKUP('Project Details by Yr - MASTER'!$B65,'Public Grounds'!$A$11:$N$49,I$2,0)),0,VLOOKUP('Project Details by Yr - MASTER'!$B65,'Public Grounds'!$A$11:$N$49,I$2,0))+IF(ISNA(VLOOKUP('Project Details by Yr - MASTER'!$B65,'Public Buildings'!$A$10:$N$96,I$2,0)),0,VLOOKUP('Project Details by Yr - MASTER'!$B65,'Public Buildings'!$A$10:$N$96,I$2,0))+IF(ISNA(VLOOKUP('Project Details by Yr - MASTER'!$B65,Bridges!$A$9:$N$24,I$2,0)),0,VLOOKUP('Project Details by Yr - MASTER'!$B65,Bridges!$A$9:$N$24,I$2,0))+IF(ISNA(VLOOKUP('Project Details by Yr - MASTER'!$B65,'Parking Lots &amp; Playgrounds'!$A$9:$N$33,I$2,0)),0,VLOOKUP('Project Details by Yr - MASTER'!$B65,'Parking Lots &amp; Playgrounds'!$A$9:$N$33,I$2,0))+IF(ISNA(VLOOKUP($B65,Vehicles!$B$9:$O$50,I$2,0)),0,VLOOKUP($B65,Vehicles!$B$9:$O$50,I$2,0))</f>
        <v>0</v>
      </c>
      <c r="J65" s="8">
        <f>IF(ISNA(VLOOKUP($B65,'Other Capital Needs'!$C$51:$P$95,J$2,0)),0,VLOOKUP($B65,'Other Capital Needs'!$C$51:$P$95,J$2,0))+IF(ISNA(VLOOKUP('Project Details by Yr - MASTER'!$B65,'Public Grounds'!$A$11:$N$49,J$2,0)),0,VLOOKUP('Project Details by Yr - MASTER'!$B65,'Public Grounds'!$A$11:$N$49,J$2,0))+IF(ISNA(VLOOKUP('Project Details by Yr - MASTER'!$B65,'Public Buildings'!$A$10:$N$96,J$2,0)),0,VLOOKUP('Project Details by Yr - MASTER'!$B65,'Public Buildings'!$A$10:$N$96,J$2,0))+IF(ISNA(VLOOKUP('Project Details by Yr - MASTER'!$B65,Bridges!$A$9:$N$24,J$2,0)),0,VLOOKUP('Project Details by Yr - MASTER'!$B65,Bridges!$A$9:$N$24,J$2,0))+IF(ISNA(VLOOKUP('Project Details by Yr - MASTER'!$B65,'Parking Lots &amp; Playgrounds'!$A$9:$N$33,J$2,0)),0,VLOOKUP('Project Details by Yr - MASTER'!$B65,'Parking Lots &amp; Playgrounds'!$A$9:$N$33,J$2,0))+IF(ISNA(VLOOKUP($B65,Vehicles!$B$9:$O$50,J$2,0)),0,VLOOKUP($B65,Vehicles!$B$9:$O$50,J$2,0))</f>
        <v>0</v>
      </c>
      <c r="K65" s="8">
        <f>IF(ISNA(VLOOKUP($B65,'Other Capital Needs'!$C$51:$P$95,K$2,0)),0,VLOOKUP($B65,'Other Capital Needs'!$C$51:$P$95,K$2,0))+IF(ISNA(VLOOKUP('Project Details by Yr - MASTER'!$B65,'Public Grounds'!$A$11:$N$49,K$2,0)),0,VLOOKUP('Project Details by Yr - MASTER'!$B65,'Public Grounds'!$A$11:$N$49,K$2,0))+IF(ISNA(VLOOKUP('Project Details by Yr - MASTER'!$B65,'Public Buildings'!$A$10:$N$96,K$2,0)),0,VLOOKUP('Project Details by Yr - MASTER'!$B65,'Public Buildings'!$A$10:$N$96,K$2,0))+IF(ISNA(VLOOKUP('Project Details by Yr - MASTER'!$B65,Bridges!$A$9:$N$24,K$2,0)),0,VLOOKUP('Project Details by Yr - MASTER'!$B65,Bridges!$A$9:$N$24,K$2,0))+IF(ISNA(VLOOKUP('Project Details by Yr - MASTER'!$B65,'Parking Lots &amp; Playgrounds'!$A$9:$N$33,K$2,0)),0,VLOOKUP('Project Details by Yr - MASTER'!$B65,'Parking Lots &amp; Playgrounds'!$A$9:$N$33,K$2,0))+IF(ISNA(VLOOKUP($B65,Vehicles!$B$9:$O$50,K$2,0)),0,VLOOKUP($B65,Vehicles!$B$9:$O$50,K$2,0))</f>
        <v>0</v>
      </c>
    </row>
    <row r="66" spans="2:11" x14ac:dyDescent="0.25">
      <c r="B66" t="s">
        <v>26</v>
      </c>
      <c r="C66" s="26" t="s">
        <v>46</v>
      </c>
      <c r="D66" s="26" t="s">
        <v>271</v>
      </c>
      <c r="E66" s="1" t="s">
        <v>19</v>
      </c>
      <c r="G66" s="8">
        <f>IF(ISNA(VLOOKUP($B66,'Other Capital Needs'!$C$51:$P$95,G$2,0)),0,VLOOKUP($B66,'Other Capital Needs'!$C$51:$P$95,G$2,0))+IF(ISNA(VLOOKUP('Project Details by Yr - MASTER'!$B66,'Public Grounds'!$A$11:$N$49,G$2,0)),0,VLOOKUP('Project Details by Yr - MASTER'!$B66,'Public Grounds'!$A$11:$N$49,G$2,0))+IF(ISNA(VLOOKUP('Project Details by Yr - MASTER'!$B66,'Public Buildings'!$A$10:$N$96,G$2,0)),0,VLOOKUP('Project Details by Yr - MASTER'!$B66,'Public Buildings'!$A$10:$N$96,G$2,0))+IF(ISNA(VLOOKUP('Project Details by Yr - MASTER'!$B66,Bridges!$A$9:$N$24,G$2,0)),0,VLOOKUP('Project Details by Yr - MASTER'!$B66,Bridges!$A$9:$N$24,G$2,0))+IF(ISNA(VLOOKUP('Project Details by Yr - MASTER'!$B66,'Parking Lots &amp; Playgrounds'!$A$9:$N$33,G$2,0)),0,VLOOKUP('Project Details by Yr - MASTER'!$B66,'Parking Lots &amp; Playgrounds'!$A$9:$N$33,G$2,0))+IF(ISNA(VLOOKUP($B66,Vehicles!$B$9:$O$50,G$2,0)),0,VLOOKUP($B66,Vehicles!$B$9:$O$50,G$2,0))</f>
        <v>0</v>
      </c>
      <c r="H66" s="8">
        <f>IF(ISNA(VLOOKUP($B66,'Other Capital Needs'!$C$51:$P$95,H$2,0)),0,VLOOKUP($B66,'Other Capital Needs'!$C$51:$P$95,H$2,0))+IF(ISNA(VLOOKUP('Project Details by Yr - MASTER'!$B66,'Public Grounds'!$A$11:$N$49,H$2,0)),0,VLOOKUP('Project Details by Yr - MASTER'!$B66,'Public Grounds'!$A$11:$N$49,H$2,0))+IF(ISNA(VLOOKUP('Project Details by Yr - MASTER'!$B66,'Public Buildings'!$A$10:$N$96,H$2,0)),0,VLOOKUP('Project Details by Yr - MASTER'!$B66,'Public Buildings'!$A$10:$N$96,H$2,0))+IF(ISNA(VLOOKUP('Project Details by Yr - MASTER'!$B66,Bridges!$A$9:$N$24,H$2,0)),0,VLOOKUP('Project Details by Yr - MASTER'!$B66,Bridges!$A$9:$N$24,H$2,0))+IF(ISNA(VLOOKUP('Project Details by Yr - MASTER'!$B66,'Parking Lots &amp; Playgrounds'!$A$9:$N$33,H$2,0)),0,VLOOKUP('Project Details by Yr - MASTER'!$B66,'Parking Lots &amp; Playgrounds'!$A$9:$N$33,H$2,0))+IF(ISNA(VLOOKUP($B66,Vehicles!$B$9:$O$50,H$2,0)),0,VLOOKUP($B66,Vehicles!$B$9:$O$50,H$2,0))</f>
        <v>0</v>
      </c>
      <c r="I66" s="8">
        <f>IF(ISNA(VLOOKUP($B66,'Other Capital Needs'!$C$51:$P$95,I$2,0)),0,VLOOKUP($B66,'Other Capital Needs'!$C$51:$P$95,I$2,0))+IF(ISNA(VLOOKUP('Project Details by Yr - MASTER'!$B66,'Public Grounds'!$A$11:$N$49,I$2,0)),0,VLOOKUP('Project Details by Yr - MASTER'!$B66,'Public Grounds'!$A$11:$N$49,I$2,0))+IF(ISNA(VLOOKUP('Project Details by Yr - MASTER'!$B66,'Public Buildings'!$A$10:$N$96,I$2,0)),0,VLOOKUP('Project Details by Yr - MASTER'!$B66,'Public Buildings'!$A$10:$N$96,I$2,0))+IF(ISNA(VLOOKUP('Project Details by Yr - MASTER'!$B66,Bridges!$A$9:$N$24,I$2,0)),0,VLOOKUP('Project Details by Yr - MASTER'!$B66,Bridges!$A$9:$N$24,I$2,0))+IF(ISNA(VLOOKUP('Project Details by Yr - MASTER'!$B66,'Parking Lots &amp; Playgrounds'!$A$9:$N$33,I$2,0)),0,VLOOKUP('Project Details by Yr - MASTER'!$B66,'Parking Lots &amp; Playgrounds'!$A$9:$N$33,I$2,0))+IF(ISNA(VLOOKUP($B66,Vehicles!$B$9:$O$50,I$2,0)),0,VLOOKUP($B66,Vehicles!$B$9:$O$50,I$2,0))</f>
        <v>0</v>
      </c>
      <c r="J66" s="8">
        <f>IF(ISNA(VLOOKUP($B66,'Other Capital Needs'!$C$51:$P$95,J$2,0)),0,VLOOKUP($B66,'Other Capital Needs'!$C$51:$P$95,J$2,0))+IF(ISNA(VLOOKUP('Project Details by Yr - MASTER'!$B66,'Public Grounds'!$A$11:$N$49,J$2,0)),0,VLOOKUP('Project Details by Yr - MASTER'!$B66,'Public Grounds'!$A$11:$N$49,J$2,0))+IF(ISNA(VLOOKUP('Project Details by Yr - MASTER'!$B66,'Public Buildings'!$A$10:$N$96,J$2,0)),0,VLOOKUP('Project Details by Yr - MASTER'!$B66,'Public Buildings'!$A$10:$N$96,J$2,0))+IF(ISNA(VLOOKUP('Project Details by Yr - MASTER'!$B66,Bridges!$A$9:$N$24,J$2,0)),0,VLOOKUP('Project Details by Yr - MASTER'!$B66,Bridges!$A$9:$N$24,J$2,0))+IF(ISNA(VLOOKUP('Project Details by Yr - MASTER'!$B66,'Parking Lots &amp; Playgrounds'!$A$9:$N$33,J$2,0)),0,VLOOKUP('Project Details by Yr - MASTER'!$B66,'Parking Lots &amp; Playgrounds'!$A$9:$N$33,J$2,0))+IF(ISNA(VLOOKUP($B66,Vehicles!$B$9:$O$50,J$2,0)),0,VLOOKUP($B66,Vehicles!$B$9:$O$50,J$2,0))</f>
        <v>0</v>
      </c>
      <c r="K66" s="8">
        <f>IF(ISNA(VLOOKUP($B66,'Other Capital Needs'!$C$51:$P$95,K$2,0)),0,VLOOKUP($B66,'Other Capital Needs'!$C$51:$P$95,K$2,0))+IF(ISNA(VLOOKUP('Project Details by Yr - MASTER'!$B66,'Public Grounds'!$A$11:$N$49,K$2,0)),0,VLOOKUP('Project Details by Yr - MASTER'!$B66,'Public Grounds'!$A$11:$N$49,K$2,0))+IF(ISNA(VLOOKUP('Project Details by Yr - MASTER'!$B66,'Public Buildings'!$A$10:$N$96,K$2,0)),0,VLOOKUP('Project Details by Yr - MASTER'!$B66,'Public Buildings'!$A$10:$N$96,K$2,0))+IF(ISNA(VLOOKUP('Project Details by Yr - MASTER'!$B66,Bridges!$A$9:$N$24,K$2,0)),0,VLOOKUP('Project Details by Yr - MASTER'!$B66,Bridges!$A$9:$N$24,K$2,0))+IF(ISNA(VLOOKUP('Project Details by Yr - MASTER'!$B66,'Parking Lots &amp; Playgrounds'!$A$9:$N$33,K$2,0)),0,VLOOKUP('Project Details by Yr - MASTER'!$B66,'Parking Lots &amp; Playgrounds'!$A$9:$N$33,K$2,0))+IF(ISNA(VLOOKUP($B66,Vehicles!$B$9:$O$50,K$2,0)),0,VLOOKUP($B66,Vehicles!$B$9:$O$50,K$2,0))</f>
        <v>0</v>
      </c>
    </row>
    <row r="67" spans="2:11" x14ac:dyDescent="0.25">
      <c r="B67" t="s">
        <v>27</v>
      </c>
      <c r="C67" s="26" t="s">
        <v>46</v>
      </c>
      <c r="D67" s="26" t="s">
        <v>271</v>
      </c>
      <c r="E67" s="1" t="s">
        <v>16</v>
      </c>
      <c r="G67" s="8">
        <f>IF(ISNA(VLOOKUP($B67,'Other Capital Needs'!$C$51:$P$95,G$2,0)),0,VLOOKUP($B67,'Other Capital Needs'!$C$51:$P$95,G$2,0))+IF(ISNA(VLOOKUP('Project Details by Yr - MASTER'!$B67,'Public Grounds'!$A$11:$N$49,G$2,0)),0,VLOOKUP('Project Details by Yr - MASTER'!$B67,'Public Grounds'!$A$11:$N$49,G$2,0))+IF(ISNA(VLOOKUP('Project Details by Yr - MASTER'!$B67,'Public Buildings'!$A$10:$N$96,G$2,0)),0,VLOOKUP('Project Details by Yr - MASTER'!$B67,'Public Buildings'!$A$10:$N$96,G$2,0))+IF(ISNA(VLOOKUP('Project Details by Yr - MASTER'!$B67,Bridges!$A$9:$N$24,G$2,0)),0,VLOOKUP('Project Details by Yr - MASTER'!$B67,Bridges!$A$9:$N$24,G$2,0))+IF(ISNA(VLOOKUP('Project Details by Yr - MASTER'!$B67,'Parking Lots &amp; Playgrounds'!$A$9:$N$33,G$2,0)),0,VLOOKUP('Project Details by Yr - MASTER'!$B67,'Parking Lots &amp; Playgrounds'!$A$9:$N$33,G$2,0))+IF(ISNA(VLOOKUP($B67,Vehicles!$B$9:$O$50,G$2,0)),0,VLOOKUP($B67,Vehicles!$B$9:$O$50,G$2,0))</f>
        <v>0</v>
      </c>
      <c r="H67" s="8">
        <f>IF(ISNA(VLOOKUP($B67,'Other Capital Needs'!$C$51:$P$95,H$2,0)),0,VLOOKUP($B67,'Other Capital Needs'!$C$51:$P$95,H$2,0))+IF(ISNA(VLOOKUP('Project Details by Yr - MASTER'!$B67,'Public Grounds'!$A$11:$N$49,H$2,0)),0,VLOOKUP('Project Details by Yr - MASTER'!$B67,'Public Grounds'!$A$11:$N$49,H$2,0))+IF(ISNA(VLOOKUP('Project Details by Yr - MASTER'!$B67,'Public Buildings'!$A$10:$N$96,H$2,0)),0,VLOOKUP('Project Details by Yr - MASTER'!$B67,'Public Buildings'!$A$10:$N$96,H$2,0))+IF(ISNA(VLOOKUP('Project Details by Yr - MASTER'!$B67,Bridges!$A$9:$N$24,H$2,0)),0,VLOOKUP('Project Details by Yr - MASTER'!$B67,Bridges!$A$9:$N$24,H$2,0))+IF(ISNA(VLOOKUP('Project Details by Yr - MASTER'!$B67,'Parking Lots &amp; Playgrounds'!$A$9:$N$33,H$2,0)),0,VLOOKUP('Project Details by Yr - MASTER'!$B67,'Parking Lots &amp; Playgrounds'!$A$9:$N$33,H$2,0))+IF(ISNA(VLOOKUP($B67,Vehicles!$B$9:$O$50,H$2,0)),0,VLOOKUP($B67,Vehicles!$B$9:$O$50,H$2,0))</f>
        <v>0</v>
      </c>
      <c r="I67" s="8">
        <f>IF(ISNA(VLOOKUP($B67,'Other Capital Needs'!$C$51:$P$95,I$2,0)),0,VLOOKUP($B67,'Other Capital Needs'!$C$51:$P$95,I$2,0))+IF(ISNA(VLOOKUP('Project Details by Yr - MASTER'!$B67,'Public Grounds'!$A$11:$N$49,I$2,0)),0,VLOOKUP('Project Details by Yr - MASTER'!$B67,'Public Grounds'!$A$11:$N$49,I$2,0))+IF(ISNA(VLOOKUP('Project Details by Yr - MASTER'!$B67,'Public Buildings'!$A$10:$N$96,I$2,0)),0,VLOOKUP('Project Details by Yr - MASTER'!$B67,'Public Buildings'!$A$10:$N$96,I$2,0))+IF(ISNA(VLOOKUP('Project Details by Yr - MASTER'!$B67,Bridges!$A$9:$N$24,I$2,0)),0,VLOOKUP('Project Details by Yr - MASTER'!$B67,Bridges!$A$9:$N$24,I$2,0))+IF(ISNA(VLOOKUP('Project Details by Yr - MASTER'!$B67,'Parking Lots &amp; Playgrounds'!$A$9:$N$33,I$2,0)),0,VLOOKUP('Project Details by Yr - MASTER'!$B67,'Parking Lots &amp; Playgrounds'!$A$9:$N$33,I$2,0))+IF(ISNA(VLOOKUP($B67,Vehicles!$B$9:$O$50,I$2,0)),0,VLOOKUP($B67,Vehicles!$B$9:$O$50,I$2,0))</f>
        <v>6000</v>
      </c>
      <c r="J67" s="8">
        <f>IF(ISNA(VLOOKUP($B67,'Other Capital Needs'!$C$51:$P$95,J$2,0)),0,VLOOKUP($B67,'Other Capital Needs'!$C$51:$P$95,J$2,0))+IF(ISNA(VLOOKUP('Project Details by Yr - MASTER'!$B67,'Public Grounds'!$A$11:$N$49,J$2,0)),0,VLOOKUP('Project Details by Yr - MASTER'!$B67,'Public Grounds'!$A$11:$N$49,J$2,0))+IF(ISNA(VLOOKUP('Project Details by Yr - MASTER'!$B67,'Public Buildings'!$A$10:$N$96,J$2,0)),0,VLOOKUP('Project Details by Yr - MASTER'!$B67,'Public Buildings'!$A$10:$N$96,J$2,0))+IF(ISNA(VLOOKUP('Project Details by Yr - MASTER'!$B67,Bridges!$A$9:$N$24,J$2,0)),0,VLOOKUP('Project Details by Yr - MASTER'!$B67,Bridges!$A$9:$N$24,J$2,0))+IF(ISNA(VLOOKUP('Project Details by Yr - MASTER'!$B67,'Parking Lots &amp; Playgrounds'!$A$9:$N$33,J$2,0)),0,VLOOKUP('Project Details by Yr - MASTER'!$B67,'Parking Lots &amp; Playgrounds'!$A$9:$N$33,J$2,0))+IF(ISNA(VLOOKUP($B67,Vehicles!$B$9:$O$50,J$2,0)),0,VLOOKUP($B67,Vehicles!$B$9:$O$50,J$2,0))</f>
        <v>6000</v>
      </c>
      <c r="K67" s="8">
        <f>IF(ISNA(VLOOKUP($B67,'Other Capital Needs'!$C$51:$P$95,K$2,0)),0,VLOOKUP($B67,'Other Capital Needs'!$C$51:$P$95,K$2,0))+IF(ISNA(VLOOKUP('Project Details by Yr - MASTER'!$B67,'Public Grounds'!$A$11:$N$49,K$2,0)),0,VLOOKUP('Project Details by Yr - MASTER'!$B67,'Public Grounds'!$A$11:$N$49,K$2,0))+IF(ISNA(VLOOKUP('Project Details by Yr - MASTER'!$B67,'Public Buildings'!$A$10:$N$96,K$2,0)),0,VLOOKUP('Project Details by Yr - MASTER'!$B67,'Public Buildings'!$A$10:$N$96,K$2,0))+IF(ISNA(VLOOKUP('Project Details by Yr - MASTER'!$B67,Bridges!$A$9:$N$24,K$2,0)),0,VLOOKUP('Project Details by Yr - MASTER'!$B67,Bridges!$A$9:$N$24,K$2,0))+IF(ISNA(VLOOKUP('Project Details by Yr - MASTER'!$B67,'Parking Lots &amp; Playgrounds'!$A$9:$N$33,K$2,0)),0,VLOOKUP('Project Details by Yr - MASTER'!$B67,'Parking Lots &amp; Playgrounds'!$A$9:$N$33,K$2,0))+IF(ISNA(VLOOKUP($B67,Vehicles!$B$9:$O$50,K$2,0)),0,VLOOKUP($B67,Vehicles!$B$9:$O$50,K$2,0))</f>
        <v>0</v>
      </c>
    </row>
    <row r="68" spans="2:11" x14ac:dyDescent="0.25">
      <c r="B68" t="s">
        <v>28</v>
      </c>
      <c r="C68" s="26" t="s">
        <v>46</v>
      </c>
      <c r="D68" s="26" t="s">
        <v>271</v>
      </c>
      <c r="E68" s="1" t="s">
        <v>16</v>
      </c>
      <c r="G68" s="8">
        <f>IF(ISNA(VLOOKUP($B68,'Other Capital Needs'!$C$51:$P$95,G$2,0)),0,VLOOKUP($B68,'Other Capital Needs'!$C$51:$P$95,G$2,0))+IF(ISNA(VLOOKUP('Project Details by Yr - MASTER'!$B68,'Public Grounds'!$A$11:$N$49,G$2,0)),0,VLOOKUP('Project Details by Yr - MASTER'!$B68,'Public Grounds'!$A$11:$N$49,G$2,0))+IF(ISNA(VLOOKUP('Project Details by Yr - MASTER'!$B68,'Public Buildings'!$A$10:$N$96,G$2,0)),0,VLOOKUP('Project Details by Yr - MASTER'!$B68,'Public Buildings'!$A$10:$N$96,G$2,0))+IF(ISNA(VLOOKUP('Project Details by Yr - MASTER'!$B68,Bridges!$A$9:$N$24,G$2,0)),0,VLOOKUP('Project Details by Yr - MASTER'!$B68,Bridges!$A$9:$N$24,G$2,0))+IF(ISNA(VLOOKUP('Project Details by Yr - MASTER'!$B68,'Parking Lots &amp; Playgrounds'!$A$9:$N$33,G$2,0)),0,VLOOKUP('Project Details by Yr - MASTER'!$B68,'Parking Lots &amp; Playgrounds'!$A$9:$N$33,G$2,0))+IF(ISNA(VLOOKUP($B68,Vehicles!$B$9:$O$50,G$2,0)),0,VLOOKUP($B68,Vehicles!$B$9:$O$50,G$2,0))</f>
        <v>0</v>
      </c>
      <c r="H68" s="8">
        <f>IF(ISNA(VLOOKUP($B68,'Other Capital Needs'!$C$51:$P$95,H$2,0)),0,VLOOKUP($B68,'Other Capital Needs'!$C$51:$P$95,H$2,0))+IF(ISNA(VLOOKUP('Project Details by Yr - MASTER'!$B68,'Public Grounds'!$A$11:$N$49,H$2,0)),0,VLOOKUP('Project Details by Yr - MASTER'!$B68,'Public Grounds'!$A$11:$N$49,H$2,0))+IF(ISNA(VLOOKUP('Project Details by Yr - MASTER'!$B68,'Public Buildings'!$A$10:$N$96,H$2,0)),0,VLOOKUP('Project Details by Yr - MASTER'!$B68,'Public Buildings'!$A$10:$N$96,H$2,0))+IF(ISNA(VLOOKUP('Project Details by Yr - MASTER'!$B68,Bridges!$A$9:$N$24,H$2,0)),0,VLOOKUP('Project Details by Yr - MASTER'!$B68,Bridges!$A$9:$N$24,H$2,0))+IF(ISNA(VLOOKUP('Project Details by Yr - MASTER'!$B68,'Parking Lots &amp; Playgrounds'!$A$9:$N$33,H$2,0)),0,VLOOKUP('Project Details by Yr - MASTER'!$B68,'Parking Lots &amp; Playgrounds'!$A$9:$N$33,H$2,0))+IF(ISNA(VLOOKUP($B68,Vehicles!$B$9:$O$50,H$2,0)),0,VLOOKUP($B68,Vehicles!$B$9:$O$50,H$2,0))</f>
        <v>0</v>
      </c>
      <c r="I68" s="8">
        <f>IF(ISNA(VLOOKUP($B68,'Other Capital Needs'!$C$51:$P$95,I$2,0)),0,VLOOKUP($B68,'Other Capital Needs'!$C$51:$P$95,I$2,0))+IF(ISNA(VLOOKUP('Project Details by Yr - MASTER'!$B68,'Public Grounds'!$A$11:$N$49,I$2,0)),0,VLOOKUP('Project Details by Yr - MASTER'!$B68,'Public Grounds'!$A$11:$N$49,I$2,0))+IF(ISNA(VLOOKUP('Project Details by Yr - MASTER'!$B68,'Public Buildings'!$A$10:$N$96,I$2,0)),0,VLOOKUP('Project Details by Yr - MASTER'!$B68,'Public Buildings'!$A$10:$N$96,I$2,0))+IF(ISNA(VLOOKUP('Project Details by Yr - MASTER'!$B68,Bridges!$A$9:$N$24,I$2,0)),0,VLOOKUP('Project Details by Yr - MASTER'!$B68,Bridges!$A$9:$N$24,I$2,0))+IF(ISNA(VLOOKUP('Project Details by Yr - MASTER'!$B68,'Parking Lots &amp; Playgrounds'!$A$9:$N$33,I$2,0)),0,VLOOKUP('Project Details by Yr - MASTER'!$B68,'Parking Lots &amp; Playgrounds'!$A$9:$N$33,I$2,0))+IF(ISNA(VLOOKUP($B68,Vehicles!$B$9:$O$50,I$2,0)),0,VLOOKUP($B68,Vehicles!$B$9:$O$50,I$2,0))</f>
        <v>0</v>
      </c>
      <c r="J68" s="8">
        <f>IF(ISNA(VLOOKUP($B68,'Other Capital Needs'!$C$51:$P$95,J$2,0)),0,VLOOKUP($B68,'Other Capital Needs'!$C$51:$P$95,J$2,0))+IF(ISNA(VLOOKUP('Project Details by Yr - MASTER'!$B68,'Public Grounds'!$A$11:$N$49,J$2,0)),0,VLOOKUP('Project Details by Yr - MASTER'!$B68,'Public Grounds'!$A$11:$N$49,J$2,0))+IF(ISNA(VLOOKUP('Project Details by Yr - MASTER'!$B68,'Public Buildings'!$A$10:$N$96,J$2,0)),0,VLOOKUP('Project Details by Yr - MASTER'!$B68,'Public Buildings'!$A$10:$N$96,J$2,0))+IF(ISNA(VLOOKUP('Project Details by Yr - MASTER'!$B68,Bridges!$A$9:$N$24,J$2,0)),0,VLOOKUP('Project Details by Yr - MASTER'!$B68,Bridges!$A$9:$N$24,J$2,0))+IF(ISNA(VLOOKUP('Project Details by Yr - MASTER'!$B68,'Parking Lots &amp; Playgrounds'!$A$9:$N$33,J$2,0)),0,VLOOKUP('Project Details by Yr - MASTER'!$B68,'Parking Lots &amp; Playgrounds'!$A$9:$N$33,J$2,0))+IF(ISNA(VLOOKUP($B68,Vehicles!$B$9:$O$50,J$2,0)),0,VLOOKUP($B68,Vehicles!$B$9:$O$50,J$2,0))</f>
        <v>0</v>
      </c>
      <c r="K68" s="8">
        <f>IF(ISNA(VLOOKUP($B68,'Other Capital Needs'!$C$51:$P$95,K$2,0)),0,VLOOKUP($B68,'Other Capital Needs'!$C$51:$P$95,K$2,0))+IF(ISNA(VLOOKUP('Project Details by Yr - MASTER'!$B68,'Public Grounds'!$A$11:$N$49,K$2,0)),0,VLOOKUP('Project Details by Yr - MASTER'!$B68,'Public Grounds'!$A$11:$N$49,K$2,0))+IF(ISNA(VLOOKUP('Project Details by Yr - MASTER'!$B68,'Public Buildings'!$A$10:$N$96,K$2,0)),0,VLOOKUP('Project Details by Yr - MASTER'!$B68,'Public Buildings'!$A$10:$N$96,K$2,0))+IF(ISNA(VLOOKUP('Project Details by Yr - MASTER'!$B68,Bridges!$A$9:$N$24,K$2,0)),0,VLOOKUP('Project Details by Yr - MASTER'!$B68,Bridges!$A$9:$N$24,K$2,0))+IF(ISNA(VLOOKUP('Project Details by Yr - MASTER'!$B68,'Parking Lots &amp; Playgrounds'!$A$9:$N$33,K$2,0)),0,VLOOKUP('Project Details by Yr - MASTER'!$B68,'Parking Lots &amp; Playgrounds'!$A$9:$N$33,K$2,0))+IF(ISNA(VLOOKUP($B68,Vehicles!$B$9:$O$50,K$2,0)),0,VLOOKUP($B68,Vehicles!$B$9:$O$50,K$2,0))</f>
        <v>0</v>
      </c>
    </row>
    <row r="69" spans="2:11" x14ac:dyDescent="0.25">
      <c r="B69" t="s">
        <v>29</v>
      </c>
      <c r="C69" s="26" t="s">
        <v>46</v>
      </c>
      <c r="D69" s="26" t="s">
        <v>271</v>
      </c>
      <c r="E69" s="1" t="s">
        <v>16</v>
      </c>
      <c r="G69" s="8">
        <f>IF(ISNA(VLOOKUP($B69,'Other Capital Needs'!$C$51:$P$95,G$2,0)),0,VLOOKUP($B69,'Other Capital Needs'!$C$51:$P$95,G$2,0))+IF(ISNA(VLOOKUP('Project Details by Yr - MASTER'!$B69,'Public Grounds'!$A$11:$N$49,G$2,0)),0,VLOOKUP('Project Details by Yr - MASTER'!$B69,'Public Grounds'!$A$11:$N$49,G$2,0))+IF(ISNA(VLOOKUP('Project Details by Yr - MASTER'!$B69,'Public Buildings'!$A$10:$N$96,G$2,0)),0,VLOOKUP('Project Details by Yr - MASTER'!$B69,'Public Buildings'!$A$10:$N$96,G$2,0))+IF(ISNA(VLOOKUP('Project Details by Yr - MASTER'!$B69,Bridges!$A$9:$N$24,G$2,0)),0,VLOOKUP('Project Details by Yr - MASTER'!$B69,Bridges!$A$9:$N$24,G$2,0))+IF(ISNA(VLOOKUP('Project Details by Yr - MASTER'!$B69,'Parking Lots &amp; Playgrounds'!$A$9:$N$33,G$2,0)),0,VLOOKUP('Project Details by Yr - MASTER'!$B69,'Parking Lots &amp; Playgrounds'!$A$9:$N$33,G$2,0))+IF(ISNA(VLOOKUP($B69,Vehicles!$B$9:$O$50,G$2,0)),0,VLOOKUP($B69,Vehicles!$B$9:$O$50,G$2,0))</f>
        <v>0</v>
      </c>
      <c r="H69" s="8">
        <f>IF(ISNA(VLOOKUP($B69,'Other Capital Needs'!$C$51:$P$95,H$2,0)),0,VLOOKUP($B69,'Other Capital Needs'!$C$51:$P$95,H$2,0))+IF(ISNA(VLOOKUP('Project Details by Yr - MASTER'!$B69,'Public Grounds'!$A$11:$N$49,H$2,0)),0,VLOOKUP('Project Details by Yr - MASTER'!$B69,'Public Grounds'!$A$11:$N$49,H$2,0))+IF(ISNA(VLOOKUP('Project Details by Yr - MASTER'!$B69,'Public Buildings'!$A$10:$N$96,H$2,0)),0,VLOOKUP('Project Details by Yr - MASTER'!$B69,'Public Buildings'!$A$10:$N$96,H$2,0))+IF(ISNA(VLOOKUP('Project Details by Yr - MASTER'!$B69,Bridges!$A$9:$N$24,H$2,0)),0,VLOOKUP('Project Details by Yr - MASTER'!$B69,Bridges!$A$9:$N$24,H$2,0))+IF(ISNA(VLOOKUP('Project Details by Yr - MASTER'!$B69,'Parking Lots &amp; Playgrounds'!$A$9:$N$33,H$2,0)),0,VLOOKUP('Project Details by Yr - MASTER'!$B69,'Parking Lots &amp; Playgrounds'!$A$9:$N$33,H$2,0))+IF(ISNA(VLOOKUP($B69,Vehicles!$B$9:$O$50,H$2,0)),0,VLOOKUP($B69,Vehicles!$B$9:$O$50,H$2,0))</f>
        <v>0</v>
      </c>
      <c r="I69" s="8">
        <f>IF(ISNA(VLOOKUP($B69,'Other Capital Needs'!$C$51:$P$95,I$2,0)),0,VLOOKUP($B69,'Other Capital Needs'!$C$51:$P$95,I$2,0))+IF(ISNA(VLOOKUP('Project Details by Yr - MASTER'!$B69,'Public Grounds'!$A$11:$N$49,I$2,0)),0,VLOOKUP('Project Details by Yr - MASTER'!$B69,'Public Grounds'!$A$11:$N$49,I$2,0))+IF(ISNA(VLOOKUP('Project Details by Yr - MASTER'!$B69,'Public Buildings'!$A$10:$N$96,I$2,0)),0,VLOOKUP('Project Details by Yr - MASTER'!$B69,'Public Buildings'!$A$10:$N$96,I$2,0))+IF(ISNA(VLOOKUP('Project Details by Yr - MASTER'!$B69,Bridges!$A$9:$N$24,I$2,0)),0,VLOOKUP('Project Details by Yr - MASTER'!$B69,Bridges!$A$9:$N$24,I$2,0))+IF(ISNA(VLOOKUP('Project Details by Yr - MASTER'!$B69,'Parking Lots &amp; Playgrounds'!$A$9:$N$33,I$2,0)),0,VLOOKUP('Project Details by Yr - MASTER'!$B69,'Parking Lots &amp; Playgrounds'!$A$9:$N$33,I$2,0))+IF(ISNA(VLOOKUP($B69,Vehicles!$B$9:$O$50,I$2,0)),0,VLOOKUP($B69,Vehicles!$B$9:$O$50,I$2,0))</f>
        <v>0</v>
      </c>
      <c r="J69" s="8">
        <f>IF(ISNA(VLOOKUP($B69,'Other Capital Needs'!$C$51:$P$95,J$2,0)),0,VLOOKUP($B69,'Other Capital Needs'!$C$51:$P$95,J$2,0))+IF(ISNA(VLOOKUP('Project Details by Yr - MASTER'!$B69,'Public Grounds'!$A$11:$N$49,J$2,0)),0,VLOOKUP('Project Details by Yr - MASTER'!$B69,'Public Grounds'!$A$11:$N$49,J$2,0))+IF(ISNA(VLOOKUP('Project Details by Yr - MASTER'!$B69,'Public Buildings'!$A$10:$N$96,J$2,0)),0,VLOOKUP('Project Details by Yr - MASTER'!$B69,'Public Buildings'!$A$10:$N$96,J$2,0))+IF(ISNA(VLOOKUP('Project Details by Yr - MASTER'!$B69,Bridges!$A$9:$N$24,J$2,0)),0,VLOOKUP('Project Details by Yr - MASTER'!$B69,Bridges!$A$9:$N$24,J$2,0))+IF(ISNA(VLOOKUP('Project Details by Yr - MASTER'!$B69,'Parking Lots &amp; Playgrounds'!$A$9:$N$33,J$2,0)),0,VLOOKUP('Project Details by Yr - MASTER'!$B69,'Parking Lots &amp; Playgrounds'!$A$9:$N$33,J$2,0))+IF(ISNA(VLOOKUP($B69,Vehicles!$B$9:$O$50,J$2,0)),0,VLOOKUP($B69,Vehicles!$B$9:$O$50,J$2,0))</f>
        <v>80000</v>
      </c>
      <c r="K69" s="8">
        <f>IF(ISNA(VLOOKUP($B69,'Other Capital Needs'!$C$51:$P$95,K$2,0)),0,VLOOKUP($B69,'Other Capital Needs'!$C$51:$P$95,K$2,0))+IF(ISNA(VLOOKUP('Project Details by Yr - MASTER'!$B69,'Public Grounds'!$A$11:$N$49,K$2,0)),0,VLOOKUP('Project Details by Yr - MASTER'!$B69,'Public Grounds'!$A$11:$N$49,K$2,0))+IF(ISNA(VLOOKUP('Project Details by Yr - MASTER'!$B69,'Public Buildings'!$A$10:$N$96,K$2,0)),0,VLOOKUP('Project Details by Yr - MASTER'!$B69,'Public Buildings'!$A$10:$N$96,K$2,0))+IF(ISNA(VLOOKUP('Project Details by Yr - MASTER'!$B69,Bridges!$A$9:$N$24,K$2,0)),0,VLOOKUP('Project Details by Yr - MASTER'!$B69,Bridges!$A$9:$N$24,K$2,0))+IF(ISNA(VLOOKUP('Project Details by Yr - MASTER'!$B69,'Parking Lots &amp; Playgrounds'!$A$9:$N$33,K$2,0)),0,VLOOKUP('Project Details by Yr - MASTER'!$B69,'Parking Lots &amp; Playgrounds'!$A$9:$N$33,K$2,0))+IF(ISNA(VLOOKUP($B69,Vehicles!$B$9:$O$50,K$2,0)),0,VLOOKUP($B69,Vehicles!$B$9:$O$50,K$2,0))</f>
        <v>0</v>
      </c>
    </row>
    <row r="70" spans="2:11" x14ac:dyDescent="0.25">
      <c r="B70" t="s">
        <v>30</v>
      </c>
      <c r="C70" s="26" t="s">
        <v>46</v>
      </c>
      <c r="D70" s="26" t="s">
        <v>271</v>
      </c>
      <c r="E70" s="1" t="s">
        <v>16</v>
      </c>
      <c r="G70" s="8">
        <f>IF(ISNA(VLOOKUP($B70,'Other Capital Needs'!$C$51:$P$95,G$2,0)),0,VLOOKUP($B70,'Other Capital Needs'!$C$51:$P$95,G$2,0))+IF(ISNA(VLOOKUP('Project Details by Yr - MASTER'!$B70,'Public Grounds'!$A$11:$N$49,G$2,0)),0,VLOOKUP('Project Details by Yr - MASTER'!$B70,'Public Grounds'!$A$11:$N$49,G$2,0))+IF(ISNA(VLOOKUP('Project Details by Yr - MASTER'!$B70,'Public Buildings'!$A$10:$N$96,G$2,0)),0,VLOOKUP('Project Details by Yr - MASTER'!$B70,'Public Buildings'!$A$10:$N$96,G$2,0))+IF(ISNA(VLOOKUP('Project Details by Yr - MASTER'!$B70,Bridges!$A$9:$N$24,G$2,0)),0,VLOOKUP('Project Details by Yr - MASTER'!$B70,Bridges!$A$9:$N$24,G$2,0))+IF(ISNA(VLOOKUP('Project Details by Yr - MASTER'!$B70,'Parking Lots &amp; Playgrounds'!$A$9:$N$33,G$2,0)),0,VLOOKUP('Project Details by Yr - MASTER'!$B70,'Parking Lots &amp; Playgrounds'!$A$9:$N$33,G$2,0))+IF(ISNA(VLOOKUP($B70,Vehicles!$B$9:$O$50,G$2,0)),0,VLOOKUP($B70,Vehicles!$B$9:$O$50,G$2,0))</f>
        <v>0</v>
      </c>
      <c r="H70" s="8">
        <f>IF(ISNA(VLOOKUP($B70,'Other Capital Needs'!$C$51:$P$95,H$2,0)),0,VLOOKUP($B70,'Other Capital Needs'!$C$51:$P$95,H$2,0))+IF(ISNA(VLOOKUP('Project Details by Yr - MASTER'!$B70,'Public Grounds'!$A$11:$N$49,H$2,0)),0,VLOOKUP('Project Details by Yr - MASTER'!$B70,'Public Grounds'!$A$11:$N$49,H$2,0))+IF(ISNA(VLOOKUP('Project Details by Yr - MASTER'!$B70,'Public Buildings'!$A$10:$N$96,H$2,0)),0,VLOOKUP('Project Details by Yr - MASTER'!$B70,'Public Buildings'!$A$10:$N$96,H$2,0))+IF(ISNA(VLOOKUP('Project Details by Yr - MASTER'!$B70,Bridges!$A$9:$N$24,H$2,0)),0,VLOOKUP('Project Details by Yr - MASTER'!$B70,Bridges!$A$9:$N$24,H$2,0))+IF(ISNA(VLOOKUP('Project Details by Yr - MASTER'!$B70,'Parking Lots &amp; Playgrounds'!$A$9:$N$33,H$2,0)),0,VLOOKUP('Project Details by Yr - MASTER'!$B70,'Parking Lots &amp; Playgrounds'!$A$9:$N$33,H$2,0))+IF(ISNA(VLOOKUP($B70,Vehicles!$B$9:$O$50,H$2,0)),0,VLOOKUP($B70,Vehicles!$B$9:$O$50,H$2,0))</f>
        <v>0</v>
      </c>
      <c r="I70" s="8">
        <f>IF(ISNA(VLOOKUP($B70,'Other Capital Needs'!$C$51:$P$95,I$2,0)),0,VLOOKUP($B70,'Other Capital Needs'!$C$51:$P$95,I$2,0))+IF(ISNA(VLOOKUP('Project Details by Yr - MASTER'!$B70,'Public Grounds'!$A$11:$N$49,I$2,0)),0,VLOOKUP('Project Details by Yr - MASTER'!$B70,'Public Grounds'!$A$11:$N$49,I$2,0))+IF(ISNA(VLOOKUP('Project Details by Yr - MASTER'!$B70,'Public Buildings'!$A$10:$N$96,I$2,0)),0,VLOOKUP('Project Details by Yr - MASTER'!$B70,'Public Buildings'!$A$10:$N$96,I$2,0))+IF(ISNA(VLOOKUP('Project Details by Yr - MASTER'!$B70,Bridges!$A$9:$N$24,I$2,0)),0,VLOOKUP('Project Details by Yr - MASTER'!$B70,Bridges!$A$9:$N$24,I$2,0))+IF(ISNA(VLOOKUP('Project Details by Yr - MASTER'!$B70,'Parking Lots &amp; Playgrounds'!$A$9:$N$33,I$2,0)),0,VLOOKUP('Project Details by Yr - MASTER'!$B70,'Parking Lots &amp; Playgrounds'!$A$9:$N$33,I$2,0))+IF(ISNA(VLOOKUP($B70,Vehicles!$B$9:$O$50,I$2,0)),0,VLOOKUP($B70,Vehicles!$B$9:$O$50,I$2,0))</f>
        <v>0</v>
      </c>
      <c r="J70" s="8">
        <f>IF(ISNA(VLOOKUP($B70,'Other Capital Needs'!$C$51:$P$95,J$2,0)),0,VLOOKUP($B70,'Other Capital Needs'!$C$51:$P$95,J$2,0))+IF(ISNA(VLOOKUP('Project Details by Yr - MASTER'!$B70,'Public Grounds'!$A$11:$N$49,J$2,0)),0,VLOOKUP('Project Details by Yr - MASTER'!$B70,'Public Grounds'!$A$11:$N$49,J$2,0))+IF(ISNA(VLOOKUP('Project Details by Yr - MASTER'!$B70,'Public Buildings'!$A$10:$N$96,J$2,0)),0,VLOOKUP('Project Details by Yr - MASTER'!$B70,'Public Buildings'!$A$10:$N$96,J$2,0))+IF(ISNA(VLOOKUP('Project Details by Yr - MASTER'!$B70,Bridges!$A$9:$N$24,J$2,0)),0,VLOOKUP('Project Details by Yr - MASTER'!$B70,Bridges!$A$9:$N$24,J$2,0))+IF(ISNA(VLOOKUP('Project Details by Yr - MASTER'!$B70,'Parking Lots &amp; Playgrounds'!$A$9:$N$33,J$2,0)),0,VLOOKUP('Project Details by Yr - MASTER'!$B70,'Parking Lots &amp; Playgrounds'!$A$9:$N$33,J$2,0))+IF(ISNA(VLOOKUP($B70,Vehicles!$B$9:$O$50,J$2,0)),0,VLOOKUP($B70,Vehicles!$B$9:$O$50,J$2,0))</f>
        <v>15000</v>
      </c>
      <c r="K70" s="8">
        <f>IF(ISNA(VLOOKUP($B70,'Other Capital Needs'!$C$51:$P$95,K$2,0)),0,VLOOKUP($B70,'Other Capital Needs'!$C$51:$P$95,K$2,0))+IF(ISNA(VLOOKUP('Project Details by Yr - MASTER'!$B70,'Public Grounds'!$A$11:$N$49,K$2,0)),0,VLOOKUP('Project Details by Yr - MASTER'!$B70,'Public Grounds'!$A$11:$N$49,K$2,0))+IF(ISNA(VLOOKUP('Project Details by Yr - MASTER'!$B70,'Public Buildings'!$A$10:$N$96,K$2,0)),0,VLOOKUP('Project Details by Yr - MASTER'!$B70,'Public Buildings'!$A$10:$N$96,K$2,0))+IF(ISNA(VLOOKUP('Project Details by Yr - MASTER'!$B70,Bridges!$A$9:$N$24,K$2,0)),0,VLOOKUP('Project Details by Yr - MASTER'!$B70,Bridges!$A$9:$N$24,K$2,0))+IF(ISNA(VLOOKUP('Project Details by Yr - MASTER'!$B70,'Parking Lots &amp; Playgrounds'!$A$9:$N$33,K$2,0)),0,VLOOKUP('Project Details by Yr - MASTER'!$B70,'Parking Lots &amp; Playgrounds'!$A$9:$N$33,K$2,0))+IF(ISNA(VLOOKUP($B70,Vehicles!$B$9:$O$50,K$2,0)),0,VLOOKUP($B70,Vehicles!$B$9:$O$50,K$2,0))</f>
        <v>0</v>
      </c>
    </row>
    <row r="71" spans="2:11" x14ac:dyDescent="0.25">
      <c r="B71" t="s">
        <v>31</v>
      </c>
      <c r="C71" s="26" t="s">
        <v>46</v>
      </c>
      <c r="D71" s="26" t="s">
        <v>271</v>
      </c>
      <c r="E71" s="1" t="s">
        <v>16</v>
      </c>
      <c r="G71" s="8">
        <f>IF(ISNA(VLOOKUP($B71,'Other Capital Needs'!$C$51:$P$95,G$2,0)),0,VLOOKUP($B71,'Other Capital Needs'!$C$51:$P$95,G$2,0))+IF(ISNA(VLOOKUP('Project Details by Yr - MASTER'!$B71,'Public Grounds'!$A$11:$N$49,G$2,0)),0,VLOOKUP('Project Details by Yr - MASTER'!$B71,'Public Grounds'!$A$11:$N$49,G$2,0))+IF(ISNA(VLOOKUP('Project Details by Yr - MASTER'!$B71,'Public Buildings'!$A$10:$N$96,G$2,0)),0,VLOOKUP('Project Details by Yr - MASTER'!$B71,'Public Buildings'!$A$10:$N$96,G$2,0))+IF(ISNA(VLOOKUP('Project Details by Yr - MASTER'!$B71,Bridges!$A$9:$N$24,G$2,0)),0,VLOOKUP('Project Details by Yr - MASTER'!$B71,Bridges!$A$9:$N$24,G$2,0))+IF(ISNA(VLOOKUP('Project Details by Yr - MASTER'!$B71,'Parking Lots &amp; Playgrounds'!$A$9:$N$33,G$2,0)),0,VLOOKUP('Project Details by Yr - MASTER'!$B71,'Parking Lots &amp; Playgrounds'!$A$9:$N$33,G$2,0))+IF(ISNA(VLOOKUP($B71,Vehicles!$B$9:$O$50,G$2,0)),0,VLOOKUP($B71,Vehicles!$B$9:$O$50,G$2,0))</f>
        <v>0</v>
      </c>
      <c r="H71" s="8">
        <f>IF(ISNA(VLOOKUP($B71,'Other Capital Needs'!$C$51:$P$95,H$2,0)),0,VLOOKUP($B71,'Other Capital Needs'!$C$51:$P$95,H$2,0))+IF(ISNA(VLOOKUP('Project Details by Yr - MASTER'!$B71,'Public Grounds'!$A$11:$N$49,H$2,0)),0,VLOOKUP('Project Details by Yr - MASTER'!$B71,'Public Grounds'!$A$11:$N$49,H$2,0))+IF(ISNA(VLOOKUP('Project Details by Yr - MASTER'!$B71,'Public Buildings'!$A$10:$N$96,H$2,0)),0,VLOOKUP('Project Details by Yr - MASTER'!$B71,'Public Buildings'!$A$10:$N$96,H$2,0))+IF(ISNA(VLOOKUP('Project Details by Yr - MASTER'!$B71,Bridges!$A$9:$N$24,H$2,0)),0,VLOOKUP('Project Details by Yr - MASTER'!$B71,Bridges!$A$9:$N$24,H$2,0))+IF(ISNA(VLOOKUP('Project Details by Yr - MASTER'!$B71,'Parking Lots &amp; Playgrounds'!$A$9:$N$33,H$2,0)),0,VLOOKUP('Project Details by Yr - MASTER'!$B71,'Parking Lots &amp; Playgrounds'!$A$9:$N$33,H$2,0))+IF(ISNA(VLOOKUP($B71,Vehicles!$B$9:$O$50,H$2,0)),0,VLOOKUP($B71,Vehicles!$B$9:$O$50,H$2,0))</f>
        <v>0</v>
      </c>
      <c r="I71" s="8">
        <f>IF(ISNA(VLOOKUP($B71,'Other Capital Needs'!$C$51:$P$95,I$2,0)),0,VLOOKUP($B71,'Other Capital Needs'!$C$51:$P$95,I$2,0))+IF(ISNA(VLOOKUP('Project Details by Yr - MASTER'!$B71,'Public Grounds'!$A$11:$N$49,I$2,0)),0,VLOOKUP('Project Details by Yr - MASTER'!$B71,'Public Grounds'!$A$11:$N$49,I$2,0))+IF(ISNA(VLOOKUP('Project Details by Yr - MASTER'!$B71,'Public Buildings'!$A$10:$N$96,I$2,0)),0,VLOOKUP('Project Details by Yr - MASTER'!$B71,'Public Buildings'!$A$10:$N$96,I$2,0))+IF(ISNA(VLOOKUP('Project Details by Yr - MASTER'!$B71,Bridges!$A$9:$N$24,I$2,0)),0,VLOOKUP('Project Details by Yr - MASTER'!$B71,Bridges!$A$9:$N$24,I$2,0))+IF(ISNA(VLOOKUP('Project Details by Yr - MASTER'!$B71,'Parking Lots &amp; Playgrounds'!$A$9:$N$33,I$2,0)),0,VLOOKUP('Project Details by Yr - MASTER'!$B71,'Parking Lots &amp; Playgrounds'!$A$9:$N$33,I$2,0))+IF(ISNA(VLOOKUP($B71,Vehicles!$B$9:$O$50,I$2,0)),0,VLOOKUP($B71,Vehicles!$B$9:$O$50,I$2,0))</f>
        <v>0</v>
      </c>
      <c r="J71" s="8">
        <f>IF(ISNA(VLOOKUP($B71,'Other Capital Needs'!$C$51:$P$95,J$2,0)),0,VLOOKUP($B71,'Other Capital Needs'!$C$51:$P$95,J$2,0))+IF(ISNA(VLOOKUP('Project Details by Yr - MASTER'!$B71,'Public Grounds'!$A$11:$N$49,J$2,0)),0,VLOOKUP('Project Details by Yr - MASTER'!$B71,'Public Grounds'!$A$11:$N$49,J$2,0))+IF(ISNA(VLOOKUP('Project Details by Yr - MASTER'!$B71,'Public Buildings'!$A$10:$N$96,J$2,0)),0,VLOOKUP('Project Details by Yr - MASTER'!$B71,'Public Buildings'!$A$10:$N$96,J$2,0))+IF(ISNA(VLOOKUP('Project Details by Yr - MASTER'!$B71,Bridges!$A$9:$N$24,J$2,0)),0,VLOOKUP('Project Details by Yr - MASTER'!$B71,Bridges!$A$9:$N$24,J$2,0))+IF(ISNA(VLOOKUP('Project Details by Yr - MASTER'!$B71,'Parking Lots &amp; Playgrounds'!$A$9:$N$33,J$2,0)),0,VLOOKUP('Project Details by Yr - MASTER'!$B71,'Parking Lots &amp; Playgrounds'!$A$9:$N$33,J$2,0))+IF(ISNA(VLOOKUP($B71,Vehicles!$B$9:$O$50,J$2,0)),0,VLOOKUP($B71,Vehicles!$B$9:$O$50,J$2,0))</f>
        <v>8000</v>
      </c>
      <c r="K71" s="8">
        <f>IF(ISNA(VLOOKUP($B71,'Other Capital Needs'!$C$51:$P$95,K$2,0)),0,VLOOKUP($B71,'Other Capital Needs'!$C$51:$P$95,K$2,0))+IF(ISNA(VLOOKUP('Project Details by Yr - MASTER'!$B71,'Public Grounds'!$A$11:$N$49,K$2,0)),0,VLOOKUP('Project Details by Yr - MASTER'!$B71,'Public Grounds'!$A$11:$N$49,K$2,0))+IF(ISNA(VLOOKUP('Project Details by Yr - MASTER'!$B71,'Public Buildings'!$A$10:$N$96,K$2,0)),0,VLOOKUP('Project Details by Yr - MASTER'!$B71,'Public Buildings'!$A$10:$N$96,K$2,0))+IF(ISNA(VLOOKUP('Project Details by Yr - MASTER'!$B71,Bridges!$A$9:$N$24,K$2,0)),0,VLOOKUP('Project Details by Yr - MASTER'!$B71,Bridges!$A$9:$N$24,K$2,0))+IF(ISNA(VLOOKUP('Project Details by Yr - MASTER'!$B71,'Parking Lots &amp; Playgrounds'!$A$9:$N$33,K$2,0)),0,VLOOKUP('Project Details by Yr - MASTER'!$B71,'Parking Lots &amp; Playgrounds'!$A$9:$N$33,K$2,0))+IF(ISNA(VLOOKUP($B71,Vehicles!$B$9:$O$50,K$2,0)),0,VLOOKUP($B71,Vehicles!$B$9:$O$50,K$2,0))</f>
        <v>0</v>
      </c>
    </row>
    <row r="72" spans="2:11" x14ac:dyDescent="0.25">
      <c r="B72" t="s">
        <v>32</v>
      </c>
      <c r="C72" s="26" t="s">
        <v>46</v>
      </c>
      <c r="D72" s="26" t="s">
        <v>271</v>
      </c>
      <c r="E72" s="1" t="s">
        <v>16</v>
      </c>
      <c r="G72" s="8">
        <f>IF(ISNA(VLOOKUP($B72,'Other Capital Needs'!$C$51:$P$95,G$2,0)),0,VLOOKUP($B72,'Other Capital Needs'!$C$51:$P$95,G$2,0))+IF(ISNA(VLOOKUP('Project Details by Yr - MASTER'!$B72,'Public Grounds'!$A$11:$N$49,G$2,0)),0,VLOOKUP('Project Details by Yr - MASTER'!$B72,'Public Grounds'!$A$11:$N$49,G$2,0))+IF(ISNA(VLOOKUP('Project Details by Yr - MASTER'!$B72,'Public Buildings'!$A$10:$N$96,G$2,0)),0,VLOOKUP('Project Details by Yr - MASTER'!$B72,'Public Buildings'!$A$10:$N$96,G$2,0))+IF(ISNA(VLOOKUP('Project Details by Yr - MASTER'!$B72,Bridges!$A$9:$N$24,G$2,0)),0,VLOOKUP('Project Details by Yr - MASTER'!$B72,Bridges!$A$9:$N$24,G$2,0))+IF(ISNA(VLOOKUP('Project Details by Yr - MASTER'!$B72,'Parking Lots &amp; Playgrounds'!$A$9:$N$33,G$2,0)),0,VLOOKUP('Project Details by Yr - MASTER'!$B72,'Parking Lots &amp; Playgrounds'!$A$9:$N$33,G$2,0))+IF(ISNA(VLOOKUP($B72,Vehicles!$B$9:$O$50,G$2,0)),0,VLOOKUP($B72,Vehicles!$B$9:$O$50,G$2,0))</f>
        <v>0</v>
      </c>
      <c r="H72" s="8">
        <f>IF(ISNA(VLOOKUP($B72,'Other Capital Needs'!$C$51:$P$95,H$2,0)),0,VLOOKUP($B72,'Other Capital Needs'!$C$51:$P$95,H$2,0))+IF(ISNA(VLOOKUP('Project Details by Yr - MASTER'!$B72,'Public Grounds'!$A$11:$N$49,H$2,0)),0,VLOOKUP('Project Details by Yr - MASTER'!$B72,'Public Grounds'!$A$11:$N$49,H$2,0))+IF(ISNA(VLOOKUP('Project Details by Yr - MASTER'!$B72,'Public Buildings'!$A$10:$N$96,H$2,0)),0,VLOOKUP('Project Details by Yr - MASTER'!$B72,'Public Buildings'!$A$10:$N$96,H$2,0))+IF(ISNA(VLOOKUP('Project Details by Yr - MASTER'!$B72,Bridges!$A$9:$N$24,H$2,0)),0,VLOOKUP('Project Details by Yr - MASTER'!$B72,Bridges!$A$9:$N$24,H$2,0))+IF(ISNA(VLOOKUP('Project Details by Yr - MASTER'!$B72,'Parking Lots &amp; Playgrounds'!$A$9:$N$33,H$2,0)),0,VLOOKUP('Project Details by Yr - MASTER'!$B72,'Parking Lots &amp; Playgrounds'!$A$9:$N$33,H$2,0))+IF(ISNA(VLOOKUP($B72,Vehicles!$B$9:$O$50,H$2,0)),0,VLOOKUP($B72,Vehicles!$B$9:$O$50,H$2,0))</f>
        <v>0</v>
      </c>
      <c r="I72" s="8">
        <f>IF(ISNA(VLOOKUP($B72,'Other Capital Needs'!$C$51:$P$95,I$2,0)),0,VLOOKUP($B72,'Other Capital Needs'!$C$51:$P$95,I$2,0))+IF(ISNA(VLOOKUP('Project Details by Yr - MASTER'!$B72,'Public Grounds'!$A$11:$N$49,I$2,0)),0,VLOOKUP('Project Details by Yr - MASTER'!$B72,'Public Grounds'!$A$11:$N$49,I$2,0))+IF(ISNA(VLOOKUP('Project Details by Yr - MASTER'!$B72,'Public Buildings'!$A$10:$N$96,I$2,0)),0,VLOOKUP('Project Details by Yr - MASTER'!$B72,'Public Buildings'!$A$10:$N$96,I$2,0))+IF(ISNA(VLOOKUP('Project Details by Yr - MASTER'!$B72,Bridges!$A$9:$N$24,I$2,0)),0,VLOOKUP('Project Details by Yr - MASTER'!$B72,Bridges!$A$9:$N$24,I$2,0))+IF(ISNA(VLOOKUP('Project Details by Yr - MASTER'!$B72,'Parking Lots &amp; Playgrounds'!$A$9:$N$33,I$2,0)),0,VLOOKUP('Project Details by Yr - MASTER'!$B72,'Parking Lots &amp; Playgrounds'!$A$9:$N$33,I$2,0))+IF(ISNA(VLOOKUP($B72,Vehicles!$B$9:$O$50,I$2,0)),0,VLOOKUP($B72,Vehicles!$B$9:$O$50,I$2,0))</f>
        <v>0</v>
      </c>
      <c r="J72" s="8">
        <f>IF(ISNA(VLOOKUP($B72,'Other Capital Needs'!$C$51:$P$95,J$2,0)),0,VLOOKUP($B72,'Other Capital Needs'!$C$51:$P$95,J$2,0))+IF(ISNA(VLOOKUP('Project Details by Yr - MASTER'!$B72,'Public Grounds'!$A$11:$N$49,J$2,0)),0,VLOOKUP('Project Details by Yr - MASTER'!$B72,'Public Grounds'!$A$11:$N$49,J$2,0))+IF(ISNA(VLOOKUP('Project Details by Yr - MASTER'!$B72,'Public Buildings'!$A$10:$N$96,J$2,0)),0,VLOOKUP('Project Details by Yr - MASTER'!$B72,'Public Buildings'!$A$10:$N$96,J$2,0))+IF(ISNA(VLOOKUP('Project Details by Yr - MASTER'!$B72,Bridges!$A$9:$N$24,J$2,0)),0,VLOOKUP('Project Details by Yr - MASTER'!$B72,Bridges!$A$9:$N$24,J$2,0))+IF(ISNA(VLOOKUP('Project Details by Yr - MASTER'!$B72,'Parking Lots &amp; Playgrounds'!$A$9:$N$33,J$2,0)),0,VLOOKUP('Project Details by Yr - MASTER'!$B72,'Parking Lots &amp; Playgrounds'!$A$9:$N$33,J$2,0))+IF(ISNA(VLOOKUP($B72,Vehicles!$B$9:$O$50,J$2,0)),0,VLOOKUP($B72,Vehicles!$B$9:$O$50,J$2,0))</f>
        <v>17000</v>
      </c>
      <c r="K72" s="8">
        <f>IF(ISNA(VLOOKUP($B72,'Other Capital Needs'!$C$51:$P$95,K$2,0)),0,VLOOKUP($B72,'Other Capital Needs'!$C$51:$P$95,K$2,0))+IF(ISNA(VLOOKUP('Project Details by Yr - MASTER'!$B72,'Public Grounds'!$A$11:$N$49,K$2,0)),0,VLOOKUP('Project Details by Yr - MASTER'!$B72,'Public Grounds'!$A$11:$N$49,K$2,0))+IF(ISNA(VLOOKUP('Project Details by Yr - MASTER'!$B72,'Public Buildings'!$A$10:$N$96,K$2,0)),0,VLOOKUP('Project Details by Yr - MASTER'!$B72,'Public Buildings'!$A$10:$N$96,K$2,0))+IF(ISNA(VLOOKUP('Project Details by Yr - MASTER'!$B72,Bridges!$A$9:$N$24,K$2,0)),0,VLOOKUP('Project Details by Yr - MASTER'!$B72,Bridges!$A$9:$N$24,K$2,0))+IF(ISNA(VLOOKUP('Project Details by Yr - MASTER'!$B72,'Parking Lots &amp; Playgrounds'!$A$9:$N$33,K$2,0)),0,VLOOKUP('Project Details by Yr - MASTER'!$B72,'Parking Lots &amp; Playgrounds'!$A$9:$N$33,K$2,0))+IF(ISNA(VLOOKUP($B72,Vehicles!$B$9:$O$50,K$2,0)),0,VLOOKUP($B72,Vehicles!$B$9:$O$50,K$2,0))</f>
        <v>0</v>
      </c>
    </row>
    <row r="73" spans="2:11" x14ac:dyDescent="0.25">
      <c r="B73" t="s">
        <v>33</v>
      </c>
      <c r="C73" s="26" t="s">
        <v>46</v>
      </c>
      <c r="D73" s="26" t="s">
        <v>271</v>
      </c>
      <c r="E73" s="1" t="s">
        <v>19</v>
      </c>
      <c r="G73" s="8">
        <f>IF(ISNA(VLOOKUP($B73,'Other Capital Needs'!$C$51:$P$95,G$2,0)),0,VLOOKUP($B73,'Other Capital Needs'!$C$51:$P$95,G$2,0))+IF(ISNA(VLOOKUP('Project Details by Yr - MASTER'!$B73,'Public Grounds'!$A$11:$N$49,G$2,0)),0,VLOOKUP('Project Details by Yr - MASTER'!$B73,'Public Grounds'!$A$11:$N$49,G$2,0))+IF(ISNA(VLOOKUP('Project Details by Yr - MASTER'!$B73,'Public Buildings'!$A$10:$N$96,G$2,0)),0,VLOOKUP('Project Details by Yr - MASTER'!$B73,'Public Buildings'!$A$10:$N$96,G$2,0))+IF(ISNA(VLOOKUP('Project Details by Yr - MASTER'!$B73,Bridges!$A$9:$N$24,G$2,0)),0,VLOOKUP('Project Details by Yr - MASTER'!$B73,Bridges!$A$9:$N$24,G$2,0))+IF(ISNA(VLOOKUP('Project Details by Yr - MASTER'!$B73,'Parking Lots &amp; Playgrounds'!$A$9:$N$33,G$2,0)),0,VLOOKUP('Project Details by Yr - MASTER'!$B73,'Parking Lots &amp; Playgrounds'!$A$9:$N$33,G$2,0))+IF(ISNA(VLOOKUP($B73,Vehicles!$B$9:$O$50,G$2,0)),0,VLOOKUP($B73,Vehicles!$B$9:$O$50,G$2,0))</f>
        <v>0</v>
      </c>
      <c r="H73" s="8">
        <f>IF(ISNA(VLOOKUP($B73,'Other Capital Needs'!$C$51:$P$95,H$2,0)),0,VLOOKUP($B73,'Other Capital Needs'!$C$51:$P$95,H$2,0))+IF(ISNA(VLOOKUP('Project Details by Yr - MASTER'!$B73,'Public Grounds'!$A$11:$N$49,H$2,0)),0,VLOOKUP('Project Details by Yr - MASTER'!$B73,'Public Grounds'!$A$11:$N$49,H$2,0))+IF(ISNA(VLOOKUP('Project Details by Yr - MASTER'!$B73,'Public Buildings'!$A$10:$N$96,H$2,0)),0,VLOOKUP('Project Details by Yr - MASTER'!$B73,'Public Buildings'!$A$10:$N$96,H$2,0))+IF(ISNA(VLOOKUP('Project Details by Yr - MASTER'!$B73,Bridges!$A$9:$N$24,H$2,0)),0,VLOOKUP('Project Details by Yr - MASTER'!$B73,Bridges!$A$9:$N$24,H$2,0))+IF(ISNA(VLOOKUP('Project Details by Yr - MASTER'!$B73,'Parking Lots &amp; Playgrounds'!$A$9:$N$33,H$2,0)),0,VLOOKUP('Project Details by Yr - MASTER'!$B73,'Parking Lots &amp; Playgrounds'!$A$9:$N$33,H$2,0))+IF(ISNA(VLOOKUP($B73,Vehicles!$B$9:$O$50,H$2,0)),0,VLOOKUP($B73,Vehicles!$B$9:$O$50,H$2,0))</f>
        <v>0</v>
      </c>
      <c r="I73" s="8">
        <f>IF(ISNA(VLOOKUP($B73,'Other Capital Needs'!$C$51:$P$95,I$2,0)),0,VLOOKUP($B73,'Other Capital Needs'!$C$51:$P$95,I$2,0))+IF(ISNA(VLOOKUP('Project Details by Yr - MASTER'!$B73,'Public Grounds'!$A$11:$N$49,I$2,0)),0,VLOOKUP('Project Details by Yr - MASTER'!$B73,'Public Grounds'!$A$11:$N$49,I$2,0))+IF(ISNA(VLOOKUP('Project Details by Yr - MASTER'!$B73,'Public Buildings'!$A$10:$N$96,I$2,0)),0,VLOOKUP('Project Details by Yr - MASTER'!$B73,'Public Buildings'!$A$10:$N$96,I$2,0))+IF(ISNA(VLOOKUP('Project Details by Yr - MASTER'!$B73,Bridges!$A$9:$N$24,I$2,0)),0,VLOOKUP('Project Details by Yr - MASTER'!$B73,Bridges!$A$9:$N$24,I$2,0))+IF(ISNA(VLOOKUP('Project Details by Yr - MASTER'!$B73,'Parking Lots &amp; Playgrounds'!$A$9:$N$33,I$2,0)),0,VLOOKUP('Project Details by Yr - MASTER'!$B73,'Parking Lots &amp; Playgrounds'!$A$9:$N$33,I$2,0))+IF(ISNA(VLOOKUP($B73,Vehicles!$B$9:$O$50,I$2,0)),0,VLOOKUP($B73,Vehicles!$B$9:$O$50,I$2,0))</f>
        <v>0</v>
      </c>
      <c r="J73" s="8">
        <f>IF(ISNA(VLOOKUP($B73,'Other Capital Needs'!$C$51:$P$95,J$2,0)),0,VLOOKUP($B73,'Other Capital Needs'!$C$51:$P$95,J$2,0))+IF(ISNA(VLOOKUP('Project Details by Yr - MASTER'!$B73,'Public Grounds'!$A$11:$N$49,J$2,0)),0,VLOOKUP('Project Details by Yr - MASTER'!$B73,'Public Grounds'!$A$11:$N$49,J$2,0))+IF(ISNA(VLOOKUP('Project Details by Yr - MASTER'!$B73,'Public Buildings'!$A$10:$N$96,J$2,0)),0,VLOOKUP('Project Details by Yr - MASTER'!$B73,'Public Buildings'!$A$10:$N$96,J$2,0))+IF(ISNA(VLOOKUP('Project Details by Yr - MASTER'!$B73,Bridges!$A$9:$N$24,J$2,0)),0,VLOOKUP('Project Details by Yr - MASTER'!$B73,Bridges!$A$9:$N$24,J$2,0))+IF(ISNA(VLOOKUP('Project Details by Yr - MASTER'!$B73,'Parking Lots &amp; Playgrounds'!$A$9:$N$33,J$2,0)),0,VLOOKUP('Project Details by Yr - MASTER'!$B73,'Parking Lots &amp; Playgrounds'!$A$9:$N$33,J$2,0))+IF(ISNA(VLOOKUP($B73,Vehicles!$B$9:$O$50,J$2,0)),0,VLOOKUP($B73,Vehicles!$B$9:$O$50,J$2,0))</f>
        <v>0</v>
      </c>
      <c r="K73" s="8">
        <f>IF(ISNA(VLOOKUP($B73,'Other Capital Needs'!$C$51:$P$95,K$2,0)),0,VLOOKUP($B73,'Other Capital Needs'!$C$51:$P$95,K$2,0))+IF(ISNA(VLOOKUP('Project Details by Yr - MASTER'!$B73,'Public Grounds'!$A$11:$N$49,K$2,0)),0,VLOOKUP('Project Details by Yr - MASTER'!$B73,'Public Grounds'!$A$11:$N$49,K$2,0))+IF(ISNA(VLOOKUP('Project Details by Yr - MASTER'!$B73,'Public Buildings'!$A$10:$N$96,K$2,0)),0,VLOOKUP('Project Details by Yr - MASTER'!$B73,'Public Buildings'!$A$10:$N$96,K$2,0))+IF(ISNA(VLOOKUP('Project Details by Yr - MASTER'!$B73,Bridges!$A$9:$N$24,K$2,0)),0,VLOOKUP('Project Details by Yr - MASTER'!$B73,Bridges!$A$9:$N$24,K$2,0))+IF(ISNA(VLOOKUP('Project Details by Yr - MASTER'!$B73,'Parking Lots &amp; Playgrounds'!$A$9:$N$33,K$2,0)),0,VLOOKUP('Project Details by Yr - MASTER'!$B73,'Parking Lots &amp; Playgrounds'!$A$9:$N$33,K$2,0))+IF(ISNA(VLOOKUP($B73,Vehicles!$B$9:$O$50,K$2,0)),0,VLOOKUP($B73,Vehicles!$B$9:$O$50,K$2,0))</f>
        <v>0</v>
      </c>
    </row>
    <row r="74" spans="2:11" x14ac:dyDescent="0.25">
      <c r="B74" t="s">
        <v>39</v>
      </c>
      <c r="C74" s="26" t="s">
        <v>46</v>
      </c>
      <c r="D74" s="26" t="s">
        <v>271</v>
      </c>
      <c r="E74" s="1" t="s">
        <v>16</v>
      </c>
      <c r="G74" s="8">
        <f>IF(ISNA(VLOOKUP($B74,'Other Capital Needs'!$C$51:$P$95,G$2,0)),0,VLOOKUP($B74,'Other Capital Needs'!$C$51:$P$95,G$2,0))+IF(ISNA(VLOOKUP('Project Details by Yr - MASTER'!$B74,'Public Grounds'!$A$11:$N$49,G$2,0)),0,VLOOKUP('Project Details by Yr - MASTER'!$B74,'Public Grounds'!$A$11:$N$49,G$2,0))+IF(ISNA(VLOOKUP('Project Details by Yr - MASTER'!$B74,'Public Buildings'!$A$10:$N$96,G$2,0)),0,VLOOKUP('Project Details by Yr - MASTER'!$B74,'Public Buildings'!$A$10:$N$96,G$2,0))+IF(ISNA(VLOOKUP('Project Details by Yr - MASTER'!$B74,Bridges!$A$9:$N$24,G$2,0)),0,VLOOKUP('Project Details by Yr - MASTER'!$B74,Bridges!$A$9:$N$24,G$2,0))+IF(ISNA(VLOOKUP('Project Details by Yr - MASTER'!$B74,'Parking Lots &amp; Playgrounds'!$A$9:$N$33,G$2,0)),0,VLOOKUP('Project Details by Yr - MASTER'!$B74,'Parking Lots &amp; Playgrounds'!$A$9:$N$33,G$2,0))+IF(ISNA(VLOOKUP($B74,Vehicles!$B$9:$O$50,G$2,0)),0,VLOOKUP($B74,Vehicles!$B$9:$O$50,G$2,0))</f>
        <v>0</v>
      </c>
      <c r="H74" s="8">
        <f>IF(ISNA(VLOOKUP($B74,'Other Capital Needs'!$C$51:$P$95,H$2,0)),0,VLOOKUP($B74,'Other Capital Needs'!$C$51:$P$95,H$2,0))+IF(ISNA(VLOOKUP('Project Details by Yr - MASTER'!$B74,'Public Grounds'!$A$11:$N$49,H$2,0)),0,VLOOKUP('Project Details by Yr - MASTER'!$B74,'Public Grounds'!$A$11:$N$49,H$2,0))+IF(ISNA(VLOOKUP('Project Details by Yr - MASTER'!$B74,'Public Buildings'!$A$10:$N$96,H$2,0)),0,VLOOKUP('Project Details by Yr - MASTER'!$B74,'Public Buildings'!$A$10:$N$96,H$2,0))+IF(ISNA(VLOOKUP('Project Details by Yr - MASTER'!$B74,Bridges!$A$9:$N$24,H$2,0)),0,VLOOKUP('Project Details by Yr - MASTER'!$B74,Bridges!$A$9:$N$24,H$2,0))+IF(ISNA(VLOOKUP('Project Details by Yr - MASTER'!$B74,'Parking Lots &amp; Playgrounds'!$A$9:$N$33,H$2,0)),0,VLOOKUP('Project Details by Yr - MASTER'!$B74,'Parking Lots &amp; Playgrounds'!$A$9:$N$33,H$2,0))+IF(ISNA(VLOOKUP($B74,Vehicles!$B$9:$O$50,H$2,0)),0,VLOOKUP($B74,Vehicles!$B$9:$O$50,H$2,0))</f>
        <v>0</v>
      </c>
      <c r="I74" s="8">
        <f>IF(ISNA(VLOOKUP($B74,'Other Capital Needs'!$C$51:$P$95,I$2,0)),0,VLOOKUP($B74,'Other Capital Needs'!$C$51:$P$95,I$2,0))+IF(ISNA(VLOOKUP('Project Details by Yr - MASTER'!$B74,'Public Grounds'!$A$11:$N$49,I$2,0)),0,VLOOKUP('Project Details by Yr - MASTER'!$B74,'Public Grounds'!$A$11:$N$49,I$2,0))+IF(ISNA(VLOOKUP('Project Details by Yr - MASTER'!$B74,'Public Buildings'!$A$10:$N$96,I$2,0)),0,VLOOKUP('Project Details by Yr - MASTER'!$B74,'Public Buildings'!$A$10:$N$96,I$2,0))+IF(ISNA(VLOOKUP('Project Details by Yr - MASTER'!$B74,Bridges!$A$9:$N$24,I$2,0)),0,VLOOKUP('Project Details by Yr - MASTER'!$B74,Bridges!$A$9:$N$24,I$2,0))+IF(ISNA(VLOOKUP('Project Details by Yr - MASTER'!$B74,'Parking Lots &amp; Playgrounds'!$A$9:$N$33,I$2,0)),0,VLOOKUP('Project Details by Yr - MASTER'!$B74,'Parking Lots &amp; Playgrounds'!$A$9:$N$33,I$2,0))+IF(ISNA(VLOOKUP($B74,Vehicles!$B$9:$O$50,I$2,0)),0,VLOOKUP($B74,Vehicles!$B$9:$O$50,I$2,0))</f>
        <v>0</v>
      </c>
      <c r="J74" s="8">
        <f>IF(ISNA(VLOOKUP($B74,'Other Capital Needs'!$C$51:$P$95,J$2,0)),0,VLOOKUP($B74,'Other Capital Needs'!$C$51:$P$95,J$2,0))+IF(ISNA(VLOOKUP('Project Details by Yr - MASTER'!$B74,'Public Grounds'!$A$11:$N$49,J$2,0)),0,VLOOKUP('Project Details by Yr - MASTER'!$B74,'Public Grounds'!$A$11:$N$49,J$2,0))+IF(ISNA(VLOOKUP('Project Details by Yr - MASTER'!$B74,'Public Buildings'!$A$10:$N$96,J$2,0)),0,VLOOKUP('Project Details by Yr - MASTER'!$B74,'Public Buildings'!$A$10:$N$96,J$2,0))+IF(ISNA(VLOOKUP('Project Details by Yr - MASTER'!$B74,Bridges!$A$9:$N$24,J$2,0)),0,VLOOKUP('Project Details by Yr - MASTER'!$B74,Bridges!$A$9:$N$24,J$2,0))+IF(ISNA(VLOOKUP('Project Details by Yr - MASTER'!$B74,'Parking Lots &amp; Playgrounds'!$A$9:$N$33,J$2,0)),0,VLOOKUP('Project Details by Yr - MASTER'!$B74,'Parking Lots &amp; Playgrounds'!$A$9:$N$33,J$2,0))+IF(ISNA(VLOOKUP($B74,Vehicles!$B$9:$O$50,J$2,0)),0,VLOOKUP($B74,Vehicles!$B$9:$O$50,J$2,0))</f>
        <v>0</v>
      </c>
      <c r="K74" s="8">
        <f>IF(ISNA(VLOOKUP($B74,'Other Capital Needs'!$C$51:$P$95,K$2,0)),0,VLOOKUP($B74,'Other Capital Needs'!$C$51:$P$95,K$2,0))+IF(ISNA(VLOOKUP('Project Details by Yr - MASTER'!$B74,'Public Grounds'!$A$11:$N$49,K$2,0)),0,VLOOKUP('Project Details by Yr - MASTER'!$B74,'Public Grounds'!$A$11:$N$49,K$2,0))+IF(ISNA(VLOOKUP('Project Details by Yr - MASTER'!$B74,'Public Buildings'!$A$10:$N$96,K$2,0)),0,VLOOKUP('Project Details by Yr - MASTER'!$B74,'Public Buildings'!$A$10:$N$96,K$2,0))+IF(ISNA(VLOOKUP('Project Details by Yr - MASTER'!$B74,Bridges!$A$9:$N$24,K$2,0)),0,VLOOKUP('Project Details by Yr - MASTER'!$B74,Bridges!$A$9:$N$24,K$2,0))+IF(ISNA(VLOOKUP('Project Details by Yr - MASTER'!$B74,'Parking Lots &amp; Playgrounds'!$A$9:$N$33,K$2,0)),0,VLOOKUP('Project Details by Yr - MASTER'!$B74,'Parking Lots &amp; Playgrounds'!$A$9:$N$33,K$2,0))+IF(ISNA(VLOOKUP($B74,Vehicles!$B$9:$O$50,K$2,0)),0,VLOOKUP($B74,Vehicles!$B$9:$O$50,K$2,0))</f>
        <v>60000</v>
      </c>
    </row>
    <row r="75" spans="2:11" x14ac:dyDescent="0.25">
      <c r="B75" t="s">
        <v>40</v>
      </c>
      <c r="C75" s="26" t="s">
        <v>46</v>
      </c>
      <c r="D75" s="26" t="s">
        <v>271</v>
      </c>
      <c r="E75" s="1" t="s">
        <v>16</v>
      </c>
      <c r="G75" s="8">
        <f>IF(ISNA(VLOOKUP($B75,'Other Capital Needs'!$C$51:$P$95,G$2,0)),0,VLOOKUP($B75,'Other Capital Needs'!$C$51:$P$95,G$2,0))+IF(ISNA(VLOOKUP('Project Details by Yr - MASTER'!$B75,'Public Grounds'!$A$11:$N$49,G$2,0)),0,VLOOKUP('Project Details by Yr - MASTER'!$B75,'Public Grounds'!$A$11:$N$49,G$2,0))+IF(ISNA(VLOOKUP('Project Details by Yr - MASTER'!$B75,'Public Buildings'!$A$10:$N$96,G$2,0)),0,VLOOKUP('Project Details by Yr - MASTER'!$B75,'Public Buildings'!$A$10:$N$96,G$2,0))+IF(ISNA(VLOOKUP('Project Details by Yr - MASTER'!$B75,Bridges!$A$9:$N$24,G$2,0)),0,VLOOKUP('Project Details by Yr - MASTER'!$B75,Bridges!$A$9:$N$24,G$2,0))+IF(ISNA(VLOOKUP('Project Details by Yr - MASTER'!$B75,'Parking Lots &amp; Playgrounds'!$A$9:$N$33,G$2,0)),0,VLOOKUP('Project Details by Yr - MASTER'!$B75,'Parking Lots &amp; Playgrounds'!$A$9:$N$33,G$2,0))+IF(ISNA(VLOOKUP($B75,Vehicles!$B$9:$O$50,G$2,0)),0,VLOOKUP($B75,Vehicles!$B$9:$O$50,G$2,0))</f>
        <v>0</v>
      </c>
      <c r="H75" s="8">
        <f>IF(ISNA(VLOOKUP($B75,'Other Capital Needs'!$C$51:$P$95,H$2,0)),0,VLOOKUP($B75,'Other Capital Needs'!$C$51:$P$95,H$2,0))+IF(ISNA(VLOOKUP('Project Details by Yr - MASTER'!$B75,'Public Grounds'!$A$11:$N$49,H$2,0)),0,VLOOKUP('Project Details by Yr - MASTER'!$B75,'Public Grounds'!$A$11:$N$49,H$2,0))+IF(ISNA(VLOOKUP('Project Details by Yr - MASTER'!$B75,'Public Buildings'!$A$10:$N$96,H$2,0)),0,VLOOKUP('Project Details by Yr - MASTER'!$B75,'Public Buildings'!$A$10:$N$96,H$2,0))+IF(ISNA(VLOOKUP('Project Details by Yr - MASTER'!$B75,Bridges!$A$9:$N$24,H$2,0)),0,VLOOKUP('Project Details by Yr - MASTER'!$B75,Bridges!$A$9:$N$24,H$2,0))+IF(ISNA(VLOOKUP('Project Details by Yr - MASTER'!$B75,'Parking Lots &amp; Playgrounds'!$A$9:$N$33,H$2,0)),0,VLOOKUP('Project Details by Yr - MASTER'!$B75,'Parking Lots &amp; Playgrounds'!$A$9:$N$33,H$2,0))+IF(ISNA(VLOOKUP($B75,Vehicles!$B$9:$O$50,H$2,0)),0,VLOOKUP($B75,Vehicles!$B$9:$O$50,H$2,0))</f>
        <v>0</v>
      </c>
      <c r="I75" s="8">
        <f>IF(ISNA(VLOOKUP($B75,'Other Capital Needs'!$C$51:$P$95,I$2,0)),0,VLOOKUP($B75,'Other Capital Needs'!$C$51:$P$95,I$2,0))+IF(ISNA(VLOOKUP('Project Details by Yr - MASTER'!$B75,'Public Grounds'!$A$11:$N$49,I$2,0)),0,VLOOKUP('Project Details by Yr - MASTER'!$B75,'Public Grounds'!$A$11:$N$49,I$2,0))+IF(ISNA(VLOOKUP('Project Details by Yr - MASTER'!$B75,'Public Buildings'!$A$10:$N$96,I$2,0)),0,VLOOKUP('Project Details by Yr - MASTER'!$B75,'Public Buildings'!$A$10:$N$96,I$2,0))+IF(ISNA(VLOOKUP('Project Details by Yr - MASTER'!$B75,Bridges!$A$9:$N$24,I$2,0)),0,VLOOKUP('Project Details by Yr - MASTER'!$B75,Bridges!$A$9:$N$24,I$2,0))+IF(ISNA(VLOOKUP('Project Details by Yr - MASTER'!$B75,'Parking Lots &amp; Playgrounds'!$A$9:$N$33,I$2,0)),0,VLOOKUP('Project Details by Yr - MASTER'!$B75,'Parking Lots &amp; Playgrounds'!$A$9:$N$33,I$2,0))+IF(ISNA(VLOOKUP($B75,Vehicles!$B$9:$O$50,I$2,0)),0,VLOOKUP($B75,Vehicles!$B$9:$O$50,I$2,0))</f>
        <v>0</v>
      </c>
      <c r="J75" s="8">
        <f>IF(ISNA(VLOOKUP($B75,'Other Capital Needs'!$C$51:$P$95,J$2,0)),0,VLOOKUP($B75,'Other Capital Needs'!$C$51:$P$95,J$2,0))+IF(ISNA(VLOOKUP('Project Details by Yr - MASTER'!$B75,'Public Grounds'!$A$11:$N$49,J$2,0)),0,VLOOKUP('Project Details by Yr - MASTER'!$B75,'Public Grounds'!$A$11:$N$49,J$2,0))+IF(ISNA(VLOOKUP('Project Details by Yr - MASTER'!$B75,'Public Buildings'!$A$10:$N$96,J$2,0)),0,VLOOKUP('Project Details by Yr - MASTER'!$B75,'Public Buildings'!$A$10:$N$96,J$2,0))+IF(ISNA(VLOOKUP('Project Details by Yr - MASTER'!$B75,Bridges!$A$9:$N$24,J$2,0)),0,VLOOKUP('Project Details by Yr - MASTER'!$B75,Bridges!$A$9:$N$24,J$2,0))+IF(ISNA(VLOOKUP('Project Details by Yr - MASTER'!$B75,'Parking Lots &amp; Playgrounds'!$A$9:$N$33,J$2,0)),0,VLOOKUP('Project Details by Yr - MASTER'!$B75,'Parking Lots &amp; Playgrounds'!$A$9:$N$33,J$2,0))+IF(ISNA(VLOOKUP($B75,Vehicles!$B$9:$O$50,J$2,0)),0,VLOOKUP($B75,Vehicles!$B$9:$O$50,J$2,0))</f>
        <v>0</v>
      </c>
      <c r="K75" s="8">
        <f>IF(ISNA(VLOOKUP($B75,'Other Capital Needs'!$C$51:$P$95,K$2,0)),0,VLOOKUP($B75,'Other Capital Needs'!$C$51:$P$95,K$2,0))+IF(ISNA(VLOOKUP('Project Details by Yr - MASTER'!$B75,'Public Grounds'!$A$11:$N$49,K$2,0)),0,VLOOKUP('Project Details by Yr - MASTER'!$B75,'Public Grounds'!$A$11:$N$49,K$2,0))+IF(ISNA(VLOOKUP('Project Details by Yr - MASTER'!$B75,'Public Buildings'!$A$10:$N$96,K$2,0)),0,VLOOKUP('Project Details by Yr - MASTER'!$B75,'Public Buildings'!$A$10:$N$96,K$2,0))+IF(ISNA(VLOOKUP('Project Details by Yr - MASTER'!$B75,Bridges!$A$9:$N$24,K$2,0)),0,VLOOKUP('Project Details by Yr - MASTER'!$B75,Bridges!$A$9:$N$24,K$2,0))+IF(ISNA(VLOOKUP('Project Details by Yr - MASTER'!$B75,'Parking Lots &amp; Playgrounds'!$A$9:$N$33,K$2,0)),0,VLOOKUP('Project Details by Yr - MASTER'!$B75,'Parking Lots &amp; Playgrounds'!$A$9:$N$33,K$2,0))+IF(ISNA(VLOOKUP($B75,Vehicles!$B$9:$O$50,K$2,0)),0,VLOOKUP($B75,Vehicles!$B$9:$O$50,K$2,0))</f>
        <v>0</v>
      </c>
    </row>
    <row r="76" spans="2:11" x14ac:dyDescent="0.25">
      <c r="B76" t="s">
        <v>41</v>
      </c>
      <c r="C76" s="26" t="s">
        <v>46</v>
      </c>
      <c r="D76" s="26" t="s">
        <v>271</v>
      </c>
      <c r="E76" s="1" t="s">
        <v>16</v>
      </c>
      <c r="G76" s="8">
        <f>IF(ISNA(VLOOKUP($B76,'Other Capital Needs'!$C$51:$P$95,G$2,0)),0,VLOOKUP($B76,'Other Capital Needs'!$C$51:$P$95,G$2,0))+IF(ISNA(VLOOKUP('Project Details by Yr - MASTER'!$B76,'Public Grounds'!$A$11:$N$49,G$2,0)),0,VLOOKUP('Project Details by Yr - MASTER'!$B76,'Public Grounds'!$A$11:$N$49,G$2,0))+IF(ISNA(VLOOKUP('Project Details by Yr - MASTER'!$B76,'Public Buildings'!$A$10:$N$96,G$2,0)),0,VLOOKUP('Project Details by Yr - MASTER'!$B76,'Public Buildings'!$A$10:$N$96,G$2,0))+IF(ISNA(VLOOKUP('Project Details by Yr - MASTER'!$B76,Bridges!$A$9:$N$24,G$2,0)),0,VLOOKUP('Project Details by Yr - MASTER'!$B76,Bridges!$A$9:$N$24,G$2,0))+IF(ISNA(VLOOKUP('Project Details by Yr - MASTER'!$B76,'Parking Lots &amp; Playgrounds'!$A$9:$N$33,G$2,0)),0,VLOOKUP('Project Details by Yr - MASTER'!$B76,'Parking Lots &amp; Playgrounds'!$A$9:$N$33,G$2,0))+IF(ISNA(VLOOKUP($B76,Vehicles!$B$9:$O$50,G$2,0)),0,VLOOKUP($B76,Vehicles!$B$9:$O$50,G$2,0))</f>
        <v>0</v>
      </c>
      <c r="H76" s="8">
        <f>IF(ISNA(VLOOKUP($B76,'Other Capital Needs'!$C$51:$P$95,H$2,0)),0,VLOOKUP($B76,'Other Capital Needs'!$C$51:$P$95,H$2,0))+IF(ISNA(VLOOKUP('Project Details by Yr - MASTER'!$B76,'Public Grounds'!$A$11:$N$49,H$2,0)),0,VLOOKUP('Project Details by Yr - MASTER'!$B76,'Public Grounds'!$A$11:$N$49,H$2,0))+IF(ISNA(VLOOKUP('Project Details by Yr - MASTER'!$B76,'Public Buildings'!$A$10:$N$96,H$2,0)),0,VLOOKUP('Project Details by Yr - MASTER'!$B76,'Public Buildings'!$A$10:$N$96,H$2,0))+IF(ISNA(VLOOKUP('Project Details by Yr - MASTER'!$B76,Bridges!$A$9:$N$24,H$2,0)),0,VLOOKUP('Project Details by Yr - MASTER'!$B76,Bridges!$A$9:$N$24,H$2,0))+IF(ISNA(VLOOKUP('Project Details by Yr - MASTER'!$B76,'Parking Lots &amp; Playgrounds'!$A$9:$N$33,H$2,0)),0,VLOOKUP('Project Details by Yr - MASTER'!$B76,'Parking Lots &amp; Playgrounds'!$A$9:$N$33,H$2,0))+IF(ISNA(VLOOKUP($B76,Vehicles!$B$9:$O$50,H$2,0)),0,VLOOKUP($B76,Vehicles!$B$9:$O$50,H$2,0))</f>
        <v>0</v>
      </c>
      <c r="I76" s="8">
        <f>IF(ISNA(VLOOKUP($B76,'Other Capital Needs'!$C$51:$P$95,I$2,0)),0,VLOOKUP($B76,'Other Capital Needs'!$C$51:$P$95,I$2,0))+IF(ISNA(VLOOKUP('Project Details by Yr - MASTER'!$B76,'Public Grounds'!$A$11:$N$49,I$2,0)),0,VLOOKUP('Project Details by Yr - MASTER'!$B76,'Public Grounds'!$A$11:$N$49,I$2,0))+IF(ISNA(VLOOKUP('Project Details by Yr - MASTER'!$B76,'Public Buildings'!$A$10:$N$96,I$2,0)),0,VLOOKUP('Project Details by Yr - MASTER'!$B76,'Public Buildings'!$A$10:$N$96,I$2,0))+IF(ISNA(VLOOKUP('Project Details by Yr - MASTER'!$B76,Bridges!$A$9:$N$24,I$2,0)),0,VLOOKUP('Project Details by Yr - MASTER'!$B76,Bridges!$A$9:$N$24,I$2,0))+IF(ISNA(VLOOKUP('Project Details by Yr - MASTER'!$B76,'Parking Lots &amp; Playgrounds'!$A$9:$N$33,I$2,0)),0,VLOOKUP('Project Details by Yr - MASTER'!$B76,'Parking Lots &amp; Playgrounds'!$A$9:$N$33,I$2,0))+IF(ISNA(VLOOKUP($B76,Vehicles!$B$9:$O$50,I$2,0)),0,VLOOKUP($B76,Vehicles!$B$9:$O$50,I$2,0))</f>
        <v>0</v>
      </c>
      <c r="J76" s="8">
        <f>IF(ISNA(VLOOKUP($B76,'Other Capital Needs'!$C$51:$P$95,J$2,0)),0,VLOOKUP($B76,'Other Capital Needs'!$C$51:$P$95,J$2,0))+IF(ISNA(VLOOKUP('Project Details by Yr - MASTER'!$B76,'Public Grounds'!$A$11:$N$49,J$2,0)),0,VLOOKUP('Project Details by Yr - MASTER'!$B76,'Public Grounds'!$A$11:$N$49,J$2,0))+IF(ISNA(VLOOKUP('Project Details by Yr - MASTER'!$B76,'Public Buildings'!$A$10:$N$96,J$2,0)),0,VLOOKUP('Project Details by Yr - MASTER'!$B76,'Public Buildings'!$A$10:$N$96,J$2,0))+IF(ISNA(VLOOKUP('Project Details by Yr - MASTER'!$B76,Bridges!$A$9:$N$24,J$2,0)),0,VLOOKUP('Project Details by Yr - MASTER'!$B76,Bridges!$A$9:$N$24,J$2,0))+IF(ISNA(VLOOKUP('Project Details by Yr - MASTER'!$B76,'Parking Lots &amp; Playgrounds'!$A$9:$N$33,J$2,0)),0,VLOOKUP('Project Details by Yr - MASTER'!$B76,'Parking Lots &amp; Playgrounds'!$A$9:$N$33,J$2,0))+IF(ISNA(VLOOKUP($B76,Vehicles!$B$9:$O$50,J$2,0)),0,VLOOKUP($B76,Vehicles!$B$9:$O$50,J$2,0))</f>
        <v>0</v>
      </c>
      <c r="K76" s="8">
        <f>IF(ISNA(VLOOKUP($B76,'Other Capital Needs'!$C$51:$P$95,K$2,0)),0,VLOOKUP($B76,'Other Capital Needs'!$C$51:$P$95,K$2,0))+IF(ISNA(VLOOKUP('Project Details by Yr - MASTER'!$B76,'Public Grounds'!$A$11:$N$49,K$2,0)),0,VLOOKUP('Project Details by Yr - MASTER'!$B76,'Public Grounds'!$A$11:$N$49,K$2,0))+IF(ISNA(VLOOKUP('Project Details by Yr - MASTER'!$B76,'Public Buildings'!$A$10:$N$96,K$2,0)),0,VLOOKUP('Project Details by Yr - MASTER'!$B76,'Public Buildings'!$A$10:$N$96,K$2,0))+IF(ISNA(VLOOKUP('Project Details by Yr - MASTER'!$B76,Bridges!$A$9:$N$24,K$2,0)),0,VLOOKUP('Project Details by Yr - MASTER'!$B76,Bridges!$A$9:$N$24,K$2,0))+IF(ISNA(VLOOKUP('Project Details by Yr - MASTER'!$B76,'Parking Lots &amp; Playgrounds'!$A$9:$N$33,K$2,0)),0,VLOOKUP('Project Details by Yr - MASTER'!$B76,'Parking Lots &amp; Playgrounds'!$A$9:$N$33,K$2,0))+IF(ISNA(VLOOKUP($B76,Vehicles!$B$9:$O$50,K$2,0)),0,VLOOKUP($B76,Vehicles!$B$9:$O$50,K$2,0))</f>
        <v>0</v>
      </c>
    </row>
    <row r="77" spans="2:11" x14ac:dyDescent="0.25">
      <c r="B77" t="s">
        <v>42</v>
      </c>
      <c r="C77" s="26" t="s">
        <v>46</v>
      </c>
      <c r="D77" s="26" t="s">
        <v>271</v>
      </c>
      <c r="E77" s="1" t="s">
        <v>16</v>
      </c>
      <c r="G77" s="8">
        <f>IF(ISNA(VLOOKUP($B77,'Other Capital Needs'!$C$51:$P$95,G$2,0)),0,VLOOKUP($B77,'Other Capital Needs'!$C$51:$P$95,G$2,0))+IF(ISNA(VLOOKUP('Project Details by Yr - MASTER'!$B77,'Public Grounds'!$A$11:$N$49,G$2,0)),0,VLOOKUP('Project Details by Yr - MASTER'!$B77,'Public Grounds'!$A$11:$N$49,G$2,0))+IF(ISNA(VLOOKUP('Project Details by Yr - MASTER'!$B77,'Public Buildings'!$A$10:$N$96,G$2,0)),0,VLOOKUP('Project Details by Yr - MASTER'!$B77,'Public Buildings'!$A$10:$N$96,G$2,0))+IF(ISNA(VLOOKUP('Project Details by Yr - MASTER'!$B77,Bridges!$A$9:$N$24,G$2,0)),0,VLOOKUP('Project Details by Yr - MASTER'!$B77,Bridges!$A$9:$N$24,G$2,0))+IF(ISNA(VLOOKUP('Project Details by Yr - MASTER'!$B77,'Parking Lots &amp; Playgrounds'!$A$9:$N$33,G$2,0)),0,VLOOKUP('Project Details by Yr - MASTER'!$B77,'Parking Lots &amp; Playgrounds'!$A$9:$N$33,G$2,0))+IF(ISNA(VLOOKUP($B77,Vehicles!$B$9:$O$50,G$2,0)),0,VLOOKUP($B77,Vehicles!$B$9:$O$50,G$2,0))</f>
        <v>0</v>
      </c>
      <c r="H77" s="8">
        <f>IF(ISNA(VLOOKUP($B77,'Other Capital Needs'!$C$51:$P$95,H$2,0)),0,VLOOKUP($B77,'Other Capital Needs'!$C$51:$P$95,H$2,0))+IF(ISNA(VLOOKUP('Project Details by Yr - MASTER'!$B77,'Public Grounds'!$A$11:$N$49,H$2,0)),0,VLOOKUP('Project Details by Yr - MASTER'!$B77,'Public Grounds'!$A$11:$N$49,H$2,0))+IF(ISNA(VLOOKUP('Project Details by Yr - MASTER'!$B77,'Public Buildings'!$A$10:$N$96,H$2,0)),0,VLOOKUP('Project Details by Yr - MASTER'!$B77,'Public Buildings'!$A$10:$N$96,H$2,0))+IF(ISNA(VLOOKUP('Project Details by Yr - MASTER'!$B77,Bridges!$A$9:$N$24,H$2,0)),0,VLOOKUP('Project Details by Yr - MASTER'!$B77,Bridges!$A$9:$N$24,H$2,0))+IF(ISNA(VLOOKUP('Project Details by Yr - MASTER'!$B77,'Parking Lots &amp; Playgrounds'!$A$9:$N$33,H$2,0)),0,VLOOKUP('Project Details by Yr - MASTER'!$B77,'Parking Lots &amp; Playgrounds'!$A$9:$N$33,H$2,0))+IF(ISNA(VLOOKUP($B77,Vehicles!$B$9:$O$50,H$2,0)),0,VLOOKUP($B77,Vehicles!$B$9:$O$50,H$2,0))</f>
        <v>0</v>
      </c>
      <c r="I77" s="8">
        <f>IF(ISNA(VLOOKUP($B77,'Other Capital Needs'!$C$51:$P$95,I$2,0)),0,VLOOKUP($B77,'Other Capital Needs'!$C$51:$P$95,I$2,0))+IF(ISNA(VLOOKUP('Project Details by Yr - MASTER'!$B77,'Public Grounds'!$A$11:$N$49,I$2,0)),0,VLOOKUP('Project Details by Yr - MASTER'!$B77,'Public Grounds'!$A$11:$N$49,I$2,0))+IF(ISNA(VLOOKUP('Project Details by Yr - MASTER'!$B77,'Public Buildings'!$A$10:$N$96,I$2,0)),0,VLOOKUP('Project Details by Yr - MASTER'!$B77,'Public Buildings'!$A$10:$N$96,I$2,0))+IF(ISNA(VLOOKUP('Project Details by Yr - MASTER'!$B77,Bridges!$A$9:$N$24,I$2,0)),0,VLOOKUP('Project Details by Yr - MASTER'!$B77,Bridges!$A$9:$N$24,I$2,0))+IF(ISNA(VLOOKUP('Project Details by Yr - MASTER'!$B77,'Parking Lots &amp; Playgrounds'!$A$9:$N$33,I$2,0)),0,VLOOKUP('Project Details by Yr - MASTER'!$B77,'Parking Lots &amp; Playgrounds'!$A$9:$N$33,I$2,0))+IF(ISNA(VLOOKUP($B77,Vehicles!$B$9:$O$50,I$2,0)),0,VLOOKUP($B77,Vehicles!$B$9:$O$50,I$2,0))</f>
        <v>0</v>
      </c>
      <c r="J77" s="8">
        <f>IF(ISNA(VLOOKUP($B77,'Other Capital Needs'!$C$51:$P$95,J$2,0)),0,VLOOKUP($B77,'Other Capital Needs'!$C$51:$P$95,J$2,0))+IF(ISNA(VLOOKUP('Project Details by Yr - MASTER'!$B77,'Public Grounds'!$A$11:$N$49,J$2,0)),0,VLOOKUP('Project Details by Yr - MASTER'!$B77,'Public Grounds'!$A$11:$N$49,J$2,0))+IF(ISNA(VLOOKUP('Project Details by Yr - MASTER'!$B77,'Public Buildings'!$A$10:$N$96,J$2,0)),0,VLOOKUP('Project Details by Yr - MASTER'!$B77,'Public Buildings'!$A$10:$N$96,J$2,0))+IF(ISNA(VLOOKUP('Project Details by Yr - MASTER'!$B77,Bridges!$A$9:$N$24,J$2,0)),0,VLOOKUP('Project Details by Yr - MASTER'!$B77,Bridges!$A$9:$N$24,J$2,0))+IF(ISNA(VLOOKUP('Project Details by Yr - MASTER'!$B77,'Parking Lots &amp; Playgrounds'!$A$9:$N$33,J$2,0)),0,VLOOKUP('Project Details by Yr - MASTER'!$B77,'Parking Lots &amp; Playgrounds'!$A$9:$N$33,J$2,0))+IF(ISNA(VLOOKUP($B77,Vehicles!$B$9:$O$50,J$2,0)),0,VLOOKUP($B77,Vehicles!$B$9:$O$50,J$2,0))</f>
        <v>16000</v>
      </c>
      <c r="K77" s="8">
        <f>IF(ISNA(VLOOKUP($B77,'Other Capital Needs'!$C$51:$P$95,K$2,0)),0,VLOOKUP($B77,'Other Capital Needs'!$C$51:$P$95,K$2,0))+IF(ISNA(VLOOKUP('Project Details by Yr - MASTER'!$B77,'Public Grounds'!$A$11:$N$49,K$2,0)),0,VLOOKUP('Project Details by Yr - MASTER'!$B77,'Public Grounds'!$A$11:$N$49,K$2,0))+IF(ISNA(VLOOKUP('Project Details by Yr - MASTER'!$B77,'Public Buildings'!$A$10:$N$96,K$2,0)),0,VLOOKUP('Project Details by Yr - MASTER'!$B77,'Public Buildings'!$A$10:$N$96,K$2,0))+IF(ISNA(VLOOKUP('Project Details by Yr - MASTER'!$B77,Bridges!$A$9:$N$24,K$2,0)),0,VLOOKUP('Project Details by Yr - MASTER'!$B77,Bridges!$A$9:$N$24,K$2,0))+IF(ISNA(VLOOKUP('Project Details by Yr - MASTER'!$B77,'Parking Lots &amp; Playgrounds'!$A$9:$N$33,K$2,0)),0,VLOOKUP('Project Details by Yr - MASTER'!$B77,'Parking Lots &amp; Playgrounds'!$A$9:$N$33,K$2,0))+IF(ISNA(VLOOKUP($B77,Vehicles!$B$9:$O$50,K$2,0)),0,VLOOKUP($B77,Vehicles!$B$9:$O$50,K$2,0))</f>
        <v>0</v>
      </c>
    </row>
    <row r="78" spans="2:11" x14ac:dyDescent="0.25">
      <c r="B78" t="s">
        <v>43</v>
      </c>
      <c r="C78" s="26" t="s">
        <v>46</v>
      </c>
      <c r="D78" s="26" t="s">
        <v>271</v>
      </c>
      <c r="E78" s="1" t="s">
        <v>16</v>
      </c>
      <c r="G78" s="8">
        <f>IF(ISNA(VLOOKUP($B78,'Other Capital Needs'!$C$51:$P$95,G$2,0)),0,VLOOKUP($B78,'Other Capital Needs'!$C$51:$P$95,G$2,0))+IF(ISNA(VLOOKUP('Project Details by Yr - MASTER'!$B78,'Public Grounds'!$A$11:$N$49,G$2,0)),0,VLOOKUP('Project Details by Yr - MASTER'!$B78,'Public Grounds'!$A$11:$N$49,G$2,0))+IF(ISNA(VLOOKUP('Project Details by Yr - MASTER'!$B78,'Public Buildings'!$A$10:$N$96,G$2,0)),0,VLOOKUP('Project Details by Yr - MASTER'!$B78,'Public Buildings'!$A$10:$N$96,G$2,0))+IF(ISNA(VLOOKUP('Project Details by Yr - MASTER'!$B78,Bridges!$A$9:$N$24,G$2,0)),0,VLOOKUP('Project Details by Yr - MASTER'!$B78,Bridges!$A$9:$N$24,G$2,0))+IF(ISNA(VLOOKUP('Project Details by Yr - MASTER'!$B78,'Parking Lots &amp; Playgrounds'!$A$9:$N$33,G$2,0)),0,VLOOKUP('Project Details by Yr - MASTER'!$B78,'Parking Lots &amp; Playgrounds'!$A$9:$N$33,G$2,0))+IF(ISNA(VLOOKUP($B78,Vehicles!$B$9:$O$50,G$2,0)),0,VLOOKUP($B78,Vehicles!$B$9:$O$50,G$2,0))</f>
        <v>0</v>
      </c>
      <c r="H78" s="8">
        <f>IF(ISNA(VLOOKUP($B78,'Other Capital Needs'!$C$51:$P$95,H$2,0)),0,VLOOKUP($B78,'Other Capital Needs'!$C$51:$P$95,H$2,0))+IF(ISNA(VLOOKUP('Project Details by Yr - MASTER'!$B78,'Public Grounds'!$A$11:$N$49,H$2,0)),0,VLOOKUP('Project Details by Yr - MASTER'!$B78,'Public Grounds'!$A$11:$N$49,H$2,0))+IF(ISNA(VLOOKUP('Project Details by Yr - MASTER'!$B78,'Public Buildings'!$A$10:$N$96,H$2,0)),0,VLOOKUP('Project Details by Yr - MASTER'!$B78,'Public Buildings'!$A$10:$N$96,H$2,0))+IF(ISNA(VLOOKUP('Project Details by Yr - MASTER'!$B78,Bridges!$A$9:$N$24,H$2,0)),0,VLOOKUP('Project Details by Yr - MASTER'!$B78,Bridges!$A$9:$N$24,H$2,0))+IF(ISNA(VLOOKUP('Project Details by Yr - MASTER'!$B78,'Parking Lots &amp; Playgrounds'!$A$9:$N$33,H$2,0)),0,VLOOKUP('Project Details by Yr - MASTER'!$B78,'Parking Lots &amp; Playgrounds'!$A$9:$N$33,H$2,0))+IF(ISNA(VLOOKUP($B78,Vehicles!$B$9:$O$50,H$2,0)),0,VLOOKUP($B78,Vehicles!$B$9:$O$50,H$2,0))</f>
        <v>0</v>
      </c>
      <c r="I78" s="8">
        <f>IF(ISNA(VLOOKUP($B78,'Other Capital Needs'!$C$51:$P$95,I$2,0)),0,VLOOKUP($B78,'Other Capital Needs'!$C$51:$P$95,I$2,0))+IF(ISNA(VLOOKUP('Project Details by Yr - MASTER'!$B78,'Public Grounds'!$A$11:$N$49,I$2,0)),0,VLOOKUP('Project Details by Yr - MASTER'!$B78,'Public Grounds'!$A$11:$N$49,I$2,0))+IF(ISNA(VLOOKUP('Project Details by Yr - MASTER'!$B78,'Public Buildings'!$A$10:$N$96,I$2,0)),0,VLOOKUP('Project Details by Yr - MASTER'!$B78,'Public Buildings'!$A$10:$N$96,I$2,0))+IF(ISNA(VLOOKUP('Project Details by Yr - MASTER'!$B78,Bridges!$A$9:$N$24,I$2,0)),0,VLOOKUP('Project Details by Yr - MASTER'!$B78,Bridges!$A$9:$N$24,I$2,0))+IF(ISNA(VLOOKUP('Project Details by Yr - MASTER'!$B78,'Parking Lots &amp; Playgrounds'!$A$9:$N$33,I$2,0)),0,VLOOKUP('Project Details by Yr - MASTER'!$B78,'Parking Lots &amp; Playgrounds'!$A$9:$N$33,I$2,0))+IF(ISNA(VLOOKUP($B78,Vehicles!$B$9:$O$50,I$2,0)),0,VLOOKUP($B78,Vehicles!$B$9:$O$50,I$2,0))</f>
        <v>0</v>
      </c>
      <c r="J78" s="8">
        <f>IF(ISNA(VLOOKUP($B78,'Other Capital Needs'!$C$51:$P$95,J$2,0)),0,VLOOKUP($B78,'Other Capital Needs'!$C$51:$P$95,J$2,0))+IF(ISNA(VLOOKUP('Project Details by Yr - MASTER'!$B78,'Public Grounds'!$A$11:$N$49,J$2,0)),0,VLOOKUP('Project Details by Yr - MASTER'!$B78,'Public Grounds'!$A$11:$N$49,J$2,0))+IF(ISNA(VLOOKUP('Project Details by Yr - MASTER'!$B78,'Public Buildings'!$A$10:$N$96,J$2,0)),0,VLOOKUP('Project Details by Yr - MASTER'!$B78,'Public Buildings'!$A$10:$N$96,J$2,0))+IF(ISNA(VLOOKUP('Project Details by Yr - MASTER'!$B78,Bridges!$A$9:$N$24,J$2,0)),0,VLOOKUP('Project Details by Yr - MASTER'!$B78,Bridges!$A$9:$N$24,J$2,0))+IF(ISNA(VLOOKUP('Project Details by Yr - MASTER'!$B78,'Parking Lots &amp; Playgrounds'!$A$9:$N$33,J$2,0)),0,VLOOKUP('Project Details by Yr - MASTER'!$B78,'Parking Lots &amp; Playgrounds'!$A$9:$N$33,J$2,0))+IF(ISNA(VLOOKUP($B78,Vehicles!$B$9:$O$50,J$2,0)),0,VLOOKUP($B78,Vehicles!$B$9:$O$50,J$2,0))</f>
        <v>0</v>
      </c>
      <c r="K78" s="8">
        <f>IF(ISNA(VLOOKUP($B78,'Other Capital Needs'!$C$51:$P$95,K$2,0)),0,VLOOKUP($B78,'Other Capital Needs'!$C$51:$P$95,K$2,0))+IF(ISNA(VLOOKUP('Project Details by Yr - MASTER'!$B78,'Public Grounds'!$A$11:$N$49,K$2,0)),0,VLOOKUP('Project Details by Yr - MASTER'!$B78,'Public Grounds'!$A$11:$N$49,K$2,0))+IF(ISNA(VLOOKUP('Project Details by Yr - MASTER'!$B78,'Public Buildings'!$A$10:$N$96,K$2,0)),0,VLOOKUP('Project Details by Yr - MASTER'!$B78,'Public Buildings'!$A$10:$N$96,K$2,0))+IF(ISNA(VLOOKUP('Project Details by Yr - MASTER'!$B78,Bridges!$A$9:$N$24,K$2,0)),0,VLOOKUP('Project Details by Yr - MASTER'!$B78,Bridges!$A$9:$N$24,K$2,0))+IF(ISNA(VLOOKUP('Project Details by Yr - MASTER'!$B78,'Parking Lots &amp; Playgrounds'!$A$9:$N$33,K$2,0)),0,VLOOKUP('Project Details by Yr - MASTER'!$B78,'Parking Lots &amp; Playgrounds'!$A$9:$N$33,K$2,0))+IF(ISNA(VLOOKUP($B78,Vehicles!$B$9:$O$50,K$2,0)),0,VLOOKUP($B78,Vehicles!$B$9:$O$50,K$2,0))</f>
        <v>0</v>
      </c>
    </row>
    <row r="79" spans="2:11" x14ac:dyDescent="0.25">
      <c r="B79" t="s">
        <v>44</v>
      </c>
      <c r="C79" s="26" t="s">
        <v>46</v>
      </c>
      <c r="D79" s="26" t="s">
        <v>271</v>
      </c>
      <c r="E79" s="1" t="s">
        <v>19</v>
      </c>
      <c r="G79" s="8">
        <f>IF(ISNA(VLOOKUP($B79,'Other Capital Needs'!$C$51:$P$95,G$2,0)),0,VLOOKUP($B79,'Other Capital Needs'!$C$51:$P$95,G$2,0))+IF(ISNA(VLOOKUP('Project Details by Yr - MASTER'!$B79,'Public Grounds'!$A$11:$N$49,G$2,0)),0,VLOOKUP('Project Details by Yr - MASTER'!$B79,'Public Grounds'!$A$11:$N$49,G$2,0))+IF(ISNA(VLOOKUP('Project Details by Yr - MASTER'!$B79,'Public Buildings'!$A$10:$N$96,G$2,0)),0,VLOOKUP('Project Details by Yr - MASTER'!$B79,'Public Buildings'!$A$10:$N$96,G$2,0))+IF(ISNA(VLOOKUP('Project Details by Yr - MASTER'!$B79,Bridges!$A$9:$N$24,G$2,0)),0,VLOOKUP('Project Details by Yr - MASTER'!$B79,Bridges!$A$9:$N$24,G$2,0))+IF(ISNA(VLOOKUP('Project Details by Yr - MASTER'!$B79,'Parking Lots &amp; Playgrounds'!$A$9:$N$33,G$2,0)),0,VLOOKUP('Project Details by Yr - MASTER'!$B79,'Parking Lots &amp; Playgrounds'!$A$9:$N$33,G$2,0))+IF(ISNA(VLOOKUP($B79,Vehicles!$B$9:$O$50,G$2,0)),0,VLOOKUP($B79,Vehicles!$B$9:$O$50,G$2,0))</f>
        <v>0</v>
      </c>
      <c r="H79" s="8">
        <f>IF(ISNA(VLOOKUP($B79,'Other Capital Needs'!$C$51:$P$95,H$2,0)),0,VLOOKUP($B79,'Other Capital Needs'!$C$51:$P$95,H$2,0))+IF(ISNA(VLOOKUP('Project Details by Yr - MASTER'!$B79,'Public Grounds'!$A$11:$N$49,H$2,0)),0,VLOOKUP('Project Details by Yr - MASTER'!$B79,'Public Grounds'!$A$11:$N$49,H$2,0))+IF(ISNA(VLOOKUP('Project Details by Yr - MASTER'!$B79,'Public Buildings'!$A$10:$N$96,H$2,0)),0,VLOOKUP('Project Details by Yr - MASTER'!$B79,'Public Buildings'!$A$10:$N$96,H$2,0))+IF(ISNA(VLOOKUP('Project Details by Yr - MASTER'!$B79,Bridges!$A$9:$N$24,H$2,0)),0,VLOOKUP('Project Details by Yr - MASTER'!$B79,Bridges!$A$9:$N$24,H$2,0))+IF(ISNA(VLOOKUP('Project Details by Yr - MASTER'!$B79,'Parking Lots &amp; Playgrounds'!$A$9:$N$33,H$2,0)),0,VLOOKUP('Project Details by Yr - MASTER'!$B79,'Parking Lots &amp; Playgrounds'!$A$9:$N$33,H$2,0))+IF(ISNA(VLOOKUP($B79,Vehicles!$B$9:$O$50,H$2,0)),0,VLOOKUP($B79,Vehicles!$B$9:$O$50,H$2,0))</f>
        <v>0</v>
      </c>
      <c r="I79" s="8">
        <f>IF(ISNA(VLOOKUP($B79,'Other Capital Needs'!$C$51:$P$95,I$2,0)),0,VLOOKUP($B79,'Other Capital Needs'!$C$51:$P$95,I$2,0))+IF(ISNA(VLOOKUP('Project Details by Yr - MASTER'!$B79,'Public Grounds'!$A$11:$N$49,I$2,0)),0,VLOOKUP('Project Details by Yr - MASTER'!$B79,'Public Grounds'!$A$11:$N$49,I$2,0))+IF(ISNA(VLOOKUP('Project Details by Yr - MASTER'!$B79,'Public Buildings'!$A$10:$N$96,I$2,0)),0,VLOOKUP('Project Details by Yr - MASTER'!$B79,'Public Buildings'!$A$10:$N$96,I$2,0))+IF(ISNA(VLOOKUP('Project Details by Yr - MASTER'!$B79,Bridges!$A$9:$N$24,I$2,0)),0,VLOOKUP('Project Details by Yr - MASTER'!$B79,Bridges!$A$9:$N$24,I$2,0))+IF(ISNA(VLOOKUP('Project Details by Yr - MASTER'!$B79,'Parking Lots &amp; Playgrounds'!$A$9:$N$33,I$2,0)),0,VLOOKUP('Project Details by Yr - MASTER'!$B79,'Parking Lots &amp; Playgrounds'!$A$9:$N$33,I$2,0))+IF(ISNA(VLOOKUP($B79,Vehicles!$B$9:$O$50,I$2,0)),0,VLOOKUP($B79,Vehicles!$B$9:$O$50,I$2,0))</f>
        <v>0</v>
      </c>
      <c r="J79" s="8">
        <f>IF(ISNA(VLOOKUP($B79,'Other Capital Needs'!$C$51:$P$95,J$2,0)),0,VLOOKUP($B79,'Other Capital Needs'!$C$51:$P$95,J$2,0))+IF(ISNA(VLOOKUP('Project Details by Yr - MASTER'!$B79,'Public Grounds'!$A$11:$N$49,J$2,0)),0,VLOOKUP('Project Details by Yr - MASTER'!$B79,'Public Grounds'!$A$11:$N$49,J$2,0))+IF(ISNA(VLOOKUP('Project Details by Yr - MASTER'!$B79,'Public Buildings'!$A$10:$N$96,J$2,0)),0,VLOOKUP('Project Details by Yr - MASTER'!$B79,'Public Buildings'!$A$10:$N$96,J$2,0))+IF(ISNA(VLOOKUP('Project Details by Yr - MASTER'!$B79,Bridges!$A$9:$N$24,J$2,0)),0,VLOOKUP('Project Details by Yr - MASTER'!$B79,Bridges!$A$9:$N$24,J$2,0))+IF(ISNA(VLOOKUP('Project Details by Yr - MASTER'!$B79,'Parking Lots &amp; Playgrounds'!$A$9:$N$33,J$2,0)),0,VLOOKUP('Project Details by Yr - MASTER'!$B79,'Parking Lots &amp; Playgrounds'!$A$9:$N$33,J$2,0))+IF(ISNA(VLOOKUP($B79,Vehicles!$B$9:$O$50,J$2,0)),0,VLOOKUP($B79,Vehicles!$B$9:$O$50,J$2,0))</f>
        <v>0</v>
      </c>
      <c r="K79" s="8">
        <f>IF(ISNA(VLOOKUP($B79,'Other Capital Needs'!$C$51:$P$95,K$2,0)),0,VLOOKUP($B79,'Other Capital Needs'!$C$51:$P$95,K$2,0))+IF(ISNA(VLOOKUP('Project Details by Yr - MASTER'!$B79,'Public Grounds'!$A$11:$N$49,K$2,0)),0,VLOOKUP('Project Details by Yr - MASTER'!$B79,'Public Grounds'!$A$11:$N$49,K$2,0))+IF(ISNA(VLOOKUP('Project Details by Yr - MASTER'!$B79,'Public Buildings'!$A$10:$N$96,K$2,0)),0,VLOOKUP('Project Details by Yr - MASTER'!$B79,'Public Buildings'!$A$10:$N$96,K$2,0))+IF(ISNA(VLOOKUP('Project Details by Yr - MASTER'!$B79,Bridges!$A$9:$N$24,K$2,0)),0,VLOOKUP('Project Details by Yr - MASTER'!$B79,Bridges!$A$9:$N$24,K$2,0))+IF(ISNA(VLOOKUP('Project Details by Yr - MASTER'!$B79,'Parking Lots &amp; Playgrounds'!$A$9:$N$33,K$2,0)),0,VLOOKUP('Project Details by Yr - MASTER'!$B79,'Parking Lots &amp; Playgrounds'!$A$9:$N$33,K$2,0))+IF(ISNA(VLOOKUP($B79,Vehicles!$B$9:$O$50,K$2,0)),0,VLOOKUP($B79,Vehicles!$B$9:$O$50,K$2,0))</f>
        <v>0</v>
      </c>
    </row>
    <row r="80" spans="2:11" x14ac:dyDescent="0.25">
      <c r="B80" t="s">
        <v>17</v>
      </c>
      <c r="C80" s="26" t="s">
        <v>46</v>
      </c>
      <c r="D80" s="26" t="s">
        <v>271</v>
      </c>
      <c r="E80" s="1" t="s">
        <v>16</v>
      </c>
      <c r="G80" s="8">
        <f>IF(ISNA(VLOOKUP($B80,'Other Capital Needs'!$C$51:$P$95,G$2,0)),0,VLOOKUP($B80,'Other Capital Needs'!$C$51:$P$95,G$2,0))+IF(ISNA(VLOOKUP('Project Details by Yr - MASTER'!$B80,'Public Grounds'!$A$11:$N$49,G$2,0)),0,VLOOKUP('Project Details by Yr - MASTER'!$B80,'Public Grounds'!$A$11:$N$49,G$2,0))+IF(ISNA(VLOOKUP('Project Details by Yr - MASTER'!$B80,'Public Buildings'!$A$10:$N$96,G$2,0)),0,VLOOKUP('Project Details by Yr - MASTER'!$B80,'Public Buildings'!$A$10:$N$96,G$2,0))+IF(ISNA(VLOOKUP('Project Details by Yr - MASTER'!$B80,Bridges!$A$9:$N$24,G$2,0)),0,VLOOKUP('Project Details by Yr - MASTER'!$B80,Bridges!$A$9:$N$24,G$2,0))+IF(ISNA(VLOOKUP('Project Details by Yr - MASTER'!$B80,'Parking Lots &amp; Playgrounds'!$A$9:$N$33,G$2,0)),0,VLOOKUP('Project Details by Yr - MASTER'!$B80,'Parking Lots &amp; Playgrounds'!$A$9:$N$33,G$2,0))+IF(ISNA(VLOOKUP($B80,Vehicles!$B$9:$O$50,G$2,0)),0,VLOOKUP($B80,Vehicles!$B$9:$O$50,G$2,0))</f>
        <v>0</v>
      </c>
      <c r="H80" s="8">
        <f>IF(ISNA(VLOOKUP($B80,'Other Capital Needs'!$C$51:$P$95,H$2,0)),0,VLOOKUP($B80,'Other Capital Needs'!$C$51:$P$95,H$2,0))+IF(ISNA(VLOOKUP('Project Details by Yr - MASTER'!$B80,'Public Grounds'!$A$11:$N$49,H$2,0)),0,VLOOKUP('Project Details by Yr - MASTER'!$B80,'Public Grounds'!$A$11:$N$49,H$2,0))+IF(ISNA(VLOOKUP('Project Details by Yr - MASTER'!$B80,'Public Buildings'!$A$10:$N$96,H$2,0)),0,VLOOKUP('Project Details by Yr - MASTER'!$B80,'Public Buildings'!$A$10:$N$96,H$2,0))+IF(ISNA(VLOOKUP('Project Details by Yr - MASTER'!$B80,Bridges!$A$9:$N$24,H$2,0)),0,VLOOKUP('Project Details by Yr - MASTER'!$B80,Bridges!$A$9:$N$24,H$2,0))+IF(ISNA(VLOOKUP('Project Details by Yr - MASTER'!$B80,'Parking Lots &amp; Playgrounds'!$A$9:$N$33,H$2,0)),0,VLOOKUP('Project Details by Yr - MASTER'!$B80,'Parking Lots &amp; Playgrounds'!$A$9:$N$33,H$2,0))+IF(ISNA(VLOOKUP($B80,Vehicles!$B$9:$O$50,H$2,0)),0,VLOOKUP($B80,Vehicles!$B$9:$O$50,H$2,0))</f>
        <v>0</v>
      </c>
      <c r="I80" s="8">
        <f>IF(ISNA(VLOOKUP($B80,'Other Capital Needs'!$C$51:$P$95,I$2,0)),0,VLOOKUP($B80,'Other Capital Needs'!$C$51:$P$95,I$2,0))+IF(ISNA(VLOOKUP('Project Details by Yr - MASTER'!$B80,'Public Grounds'!$A$11:$N$49,I$2,0)),0,VLOOKUP('Project Details by Yr - MASTER'!$B80,'Public Grounds'!$A$11:$N$49,I$2,0))+IF(ISNA(VLOOKUP('Project Details by Yr - MASTER'!$B80,'Public Buildings'!$A$10:$N$96,I$2,0)),0,VLOOKUP('Project Details by Yr - MASTER'!$B80,'Public Buildings'!$A$10:$N$96,I$2,0))+IF(ISNA(VLOOKUP('Project Details by Yr - MASTER'!$B80,Bridges!$A$9:$N$24,I$2,0)),0,VLOOKUP('Project Details by Yr - MASTER'!$B80,Bridges!$A$9:$N$24,I$2,0))+IF(ISNA(VLOOKUP('Project Details by Yr - MASTER'!$B80,'Parking Lots &amp; Playgrounds'!$A$9:$N$33,I$2,0)),0,VLOOKUP('Project Details by Yr - MASTER'!$B80,'Parking Lots &amp; Playgrounds'!$A$9:$N$33,I$2,0))+IF(ISNA(VLOOKUP($B80,Vehicles!$B$9:$O$50,I$2,0)),0,VLOOKUP($B80,Vehicles!$B$9:$O$50,I$2,0))</f>
        <v>0</v>
      </c>
      <c r="J80" s="8">
        <f>IF(ISNA(VLOOKUP($B80,'Other Capital Needs'!$C$51:$P$95,J$2,0)),0,VLOOKUP($B80,'Other Capital Needs'!$C$51:$P$95,J$2,0))+IF(ISNA(VLOOKUP('Project Details by Yr - MASTER'!$B80,'Public Grounds'!$A$11:$N$49,J$2,0)),0,VLOOKUP('Project Details by Yr - MASTER'!$B80,'Public Grounds'!$A$11:$N$49,J$2,0))+IF(ISNA(VLOOKUP('Project Details by Yr - MASTER'!$B80,'Public Buildings'!$A$10:$N$96,J$2,0)),0,VLOOKUP('Project Details by Yr - MASTER'!$B80,'Public Buildings'!$A$10:$N$96,J$2,0))+IF(ISNA(VLOOKUP('Project Details by Yr - MASTER'!$B80,Bridges!$A$9:$N$24,J$2,0)),0,VLOOKUP('Project Details by Yr - MASTER'!$B80,Bridges!$A$9:$N$24,J$2,0))+IF(ISNA(VLOOKUP('Project Details by Yr - MASTER'!$B80,'Parking Lots &amp; Playgrounds'!$A$9:$N$33,J$2,0)),0,VLOOKUP('Project Details by Yr - MASTER'!$B80,'Parking Lots &amp; Playgrounds'!$A$9:$N$33,J$2,0))+IF(ISNA(VLOOKUP($B80,Vehicles!$B$9:$O$50,J$2,0)),0,VLOOKUP($B80,Vehicles!$B$9:$O$50,J$2,0))</f>
        <v>0</v>
      </c>
      <c r="K80" s="8">
        <f>IF(ISNA(VLOOKUP($B80,'Other Capital Needs'!$C$51:$P$95,K$2,0)),0,VLOOKUP($B80,'Other Capital Needs'!$C$51:$P$95,K$2,0))+IF(ISNA(VLOOKUP('Project Details by Yr - MASTER'!$B80,'Public Grounds'!$A$11:$N$49,K$2,0)),0,VLOOKUP('Project Details by Yr - MASTER'!$B80,'Public Grounds'!$A$11:$N$49,K$2,0))+IF(ISNA(VLOOKUP('Project Details by Yr - MASTER'!$B80,'Public Buildings'!$A$10:$N$96,K$2,0)),0,VLOOKUP('Project Details by Yr - MASTER'!$B80,'Public Buildings'!$A$10:$N$96,K$2,0))+IF(ISNA(VLOOKUP('Project Details by Yr - MASTER'!$B80,Bridges!$A$9:$N$24,K$2,0)),0,VLOOKUP('Project Details by Yr - MASTER'!$B80,Bridges!$A$9:$N$24,K$2,0))+IF(ISNA(VLOOKUP('Project Details by Yr - MASTER'!$B80,'Parking Lots &amp; Playgrounds'!$A$9:$N$33,K$2,0)),0,VLOOKUP('Project Details by Yr - MASTER'!$B80,'Parking Lots &amp; Playgrounds'!$A$9:$N$33,K$2,0))+IF(ISNA(VLOOKUP($B80,Vehicles!$B$9:$O$50,K$2,0)),0,VLOOKUP($B80,Vehicles!$B$9:$O$50,K$2,0))</f>
        <v>0</v>
      </c>
    </row>
    <row r="81" spans="2:11" x14ac:dyDescent="0.25">
      <c r="B81" t="s">
        <v>18</v>
      </c>
      <c r="C81" s="26" t="s">
        <v>46</v>
      </c>
      <c r="D81" s="26" t="s">
        <v>271</v>
      </c>
      <c r="E81" s="1" t="s">
        <v>19</v>
      </c>
      <c r="G81" s="8">
        <f>IF(ISNA(VLOOKUP($B81,'Other Capital Needs'!$C$51:$P$95,G$2,0)),0,VLOOKUP($B81,'Other Capital Needs'!$C$51:$P$95,G$2,0))+IF(ISNA(VLOOKUP('Project Details by Yr - MASTER'!$B81,'Public Grounds'!$A$11:$N$49,G$2,0)),0,VLOOKUP('Project Details by Yr - MASTER'!$B81,'Public Grounds'!$A$11:$N$49,G$2,0))+IF(ISNA(VLOOKUP('Project Details by Yr - MASTER'!$B81,'Public Buildings'!$A$10:$N$96,G$2,0)),0,VLOOKUP('Project Details by Yr - MASTER'!$B81,'Public Buildings'!$A$10:$N$96,G$2,0))+IF(ISNA(VLOOKUP('Project Details by Yr - MASTER'!$B81,Bridges!$A$9:$N$24,G$2,0)),0,VLOOKUP('Project Details by Yr - MASTER'!$B81,Bridges!$A$9:$N$24,G$2,0))+IF(ISNA(VLOOKUP('Project Details by Yr - MASTER'!$B81,'Parking Lots &amp; Playgrounds'!$A$9:$N$33,G$2,0)),0,VLOOKUP('Project Details by Yr - MASTER'!$B81,'Parking Lots &amp; Playgrounds'!$A$9:$N$33,G$2,0))+IF(ISNA(VLOOKUP($B81,Vehicles!$B$9:$O$50,G$2,0)),0,VLOOKUP($B81,Vehicles!$B$9:$O$50,G$2,0))</f>
        <v>0</v>
      </c>
      <c r="H81" s="8">
        <f>IF(ISNA(VLOOKUP($B81,'Other Capital Needs'!$C$51:$P$95,H$2,0)),0,VLOOKUP($B81,'Other Capital Needs'!$C$51:$P$95,H$2,0))+IF(ISNA(VLOOKUP('Project Details by Yr - MASTER'!$B81,'Public Grounds'!$A$11:$N$49,H$2,0)),0,VLOOKUP('Project Details by Yr - MASTER'!$B81,'Public Grounds'!$A$11:$N$49,H$2,0))+IF(ISNA(VLOOKUP('Project Details by Yr - MASTER'!$B81,'Public Buildings'!$A$10:$N$96,H$2,0)),0,VLOOKUP('Project Details by Yr - MASTER'!$B81,'Public Buildings'!$A$10:$N$96,H$2,0))+IF(ISNA(VLOOKUP('Project Details by Yr - MASTER'!$B81,Bridges!$A$9:$N$24,H$2,0)),0,VLOOKUP('Project Details by Yr - MASTER'!$B81,Bridges!$A$9:$N$24,H$2,0))+IF(ISNA(VLOOKUP('Project Details by Yr - MASTER'!$B81,'Parking Lots &amp; Playgrounds'!$A$9:$N$33,H$2,0)),0,VLOOKUP('Project Details by Yr - MASTER'!$B81,'Parking Lots &amp; Playgrounds'!$A$9:$N$33,H$2,0))+IF(ISNA(VLOOKUP($B81,Vehicles!$B$9:$O$50,H$2,0)),0,VLOOKUP($B81,Vehicles!$B$9:$O$50,H$2,0))</f>
        <v>0</v>
      </c>
      <c r="I81" s="8">
        <f>IF(ISNA(VLOOKUP($B81,'Other Capital Needs'!$C$51:$P$95,I$2,0)),0,VLOOKUP($B81,'Other Capital Needs'!$C$51:$P$95,I$2,0))+IF(ISNA(VLOOKUP('Project Details by Yr - MASTER'!$B81,'Public Grounds'!$A$11:$N$49,I$2,0)),0,VLOOKUP('Project Details by Yr - MASTER'!$B81,'Public Grounds'!$A$11:$N$49,I$2,0))+IF(ISNA(VLOOKUP('Project Details by Yr - MASTER'!$B81,'Public Buildings'!$A$10:$N$96,I$2,0)),0,VLOOKUP('Project Details by Yr - MASTER'!$B81,'Public Buildings'!$A$10:$N$96,I$2,0))+IF(ISNA(VLOOKUP('Project Details by Yr - MASTER'!$B81,Bridges!$A$9:$N$24,I$2,0)),0,VLOOKUP('Project Details by Yr - MASTER'!$B81,Bridges!$A$9:$N$24,I$2,0))+IF(ISNA(VLOOKUP('Project Details by Yr - MASTER'!$B81,'Parking Lots &amp; Playgrounds'!$A$9:$N$33,I$2,0)),0,VLOOKUP('Project Details by Yr - MASTER'!$B81,'Parking Lots &amp; Playgrounds'!$A$9:$N$33,I$2,0))+IF(ISNA(VLOOKUP($B81,Vehicles!$B$9:$O$50,I$2,0)),0,VLOOKUP($B81,Vehicles!$B$9:$O$50,I$2,0))</f>
        <v>0</v>
      </c>
      <c r="J81" s="8">
        <f>IF(ISNA(VLOOKUP($B81,'Other Capital Needs'!$C$51:$P$95,J$2,0)),0,VLOOKUP($B81,'Other Capital Needs'!$C$51:$P$95,J$2,0))+IF(ISNA(VLOOKUP('Project Details by Yr - MASTER'!$B81,'Public Grounds'!$A$11:$N$49,J$2,0)),0,VLOOKUP('Project Details by Yr - MASTER'!$B81,'Public Grounds'!$A$11:$N$49,J$2,0))+IF(ISNA(VLOOKUP('Project Details by Yr - MASTER'!$B81,'Public Buildings'!$A$10:$N$96,J$2,0)),0,VLOOKUP('Project Details by Yr - MASTER'!$B81,'Public Buildings'!$A$10:$N$96,J$2,0))+IF(ISNA(VLOOKUP('Project Details by Yr - MASTER'!$B81,Bridges!$A$9:$N$24,J$2,0)),0,VLOOKUP('Project Details by Yr - MASTER'!$B81,Bridges!$A$9:$N$24,J$2,0))+IF(ISNA(VLOOKUP('Project Details by Yr - MASTER'!$B81,'Parking Lots &amp; Playgrounds'!$A$9:$N$33,J$2,0)),0,VLOOKUP('Project Details by Yr - MASTER'!$B81,'Parking Lots &amp; Playgrounds'!$A$9:$N$33,J$2,0))+IF(ISNA(VLOOKUP($B81,Vehicles!$B$9:$O$50,J$2,0)),0,VLOOKUP($B81,Vehicles!$B$9:$O$50,J$2,0))</f>
        <v>0</v>
      </c>
      <c r="K81" s="8">
        <f>IF(ISNA(VLOOKUP($B81,'Other Capital Needs'!$C$51:$P$95,K$2,0)),0,VLOOKUP($B81,'Other Capital Needs'!$C$51:$P$95,K$2,0))+IF(ISNA(VLOOKUP('Project Details by Yr - MASTER'!$B81,'Public Grounds'!$A$11:$N$49,K$2,0)),0,VLOOKUP('Project Details by Yr - MASTER'!$B81,'Public Grounds'!$A$11:$N$49,K$2,0))+IF(ISNA(VLOOKUP('Project Details by Yr - MASTER'!$B81,'Public Buildings'!$A$10:$N$96,K$2,0)),0,VLOOKUP('Project Details by Yr - MASTER'!$B81,'Public Buildings'!$A$10:$N$96,K$2,0))+IF(ISNA(VLOOKUP('Project Details by Yr - MASTER'!$B81,Bridges!$A$9:$N$24,K$2,0)),0,VLOOKUP('Project Details by Yr - MASTER'!$B81,Bridges!$A$9:$N$24,K$2,0))+IF(ISNA(VLOOKUP('Project Details by Yr - MASTER'!$B81,'Parking Lots &amp; Playgrounds'!$A$9:$N$33,K$2,0)),0,VLOOKUP('Project Details by Yr - MASTER'!$B81,'Parking Lots &amp; Playgrounds'!$A$9:$N$33,K$2,0))+IF(ISNA(VLOOKUP($B81,Vehicles!$B$9:$O$50,K$2,0)),0,VLOOKUP($B81,Vehicles!$B$9:$O$50,K$2,0))</f>
        <v>0</v>
      </c>
    </row>
    <row r="82" spans="2:11" x14ac:dyDescent="0.25">
      <c r="B82" t="s">
        <v>211</v>
      </c>
      <c r="C82" t="s">
        <v>47</v>
      </c>
      <c r="D82" t="s">
        <v>271</v>
      </c>
      <c r="E82" s="1" t="s">
        <v>38</v>
      </c>
      <c r="G82" s="8">
        <f>IF(ISNA(VLOOKUP($B82,'Other Capital Needs'!$C$51:$P$95,G$2,0)),0,VLOOKUP($B82,'Other Capital Needs'!$C$51:$P$95,G$2,0))+IF(ISNA(VLOOKUP('Project Details by Yr - MASTER'!$B82,'Public Grounds'!$A$11:$N$49,G$2,0)),0,VLOOKUP('Project Details by Yr - MASTER'!$B82,'Public Grounds'!$A$11:$N$49,G$2,0))+IF(ISNA(VLOOKUP('Project Details by Yr - MASTER'!$B82,'Public Buildings'!$A$10:$N$96,G$2,0)),0,VLOOKUP('Project Details by Yr - MASTER'!$B82,'Public Buildings'!$A$10:$N$96,G$2,0))+IF(ISNA(VLOOKUP('Project Details by Yr - MASTER'!$B82,Bridges!$A$9:$N$24,G$2,0)),0,VLOOKUP('Project Details by Yr - MASTER'!$B82,Bridges!$A$9:$N$24,G$2,0))+IF(ISNA(VLOOKUP('Project Details by Yr - MASTER'!$B82,'Parking Lots &amp; Playgrounds'!$A$9:$N$33,G$2,0)),0,VLOOKUP('Project Details by Yr - MASTER'!$B82,'Parking Lots &amp; Playgrounds'!$A$9:$N$33,G$2,0))+IF(ISNA(VLOOKUP($B82,Vehicles!$B$9:$O$50,G$2,0)),0,VLOOKUP($B82,Vehicles!$B$9:$O$50,G$2,0))</f>
        <v>0</v>
      </c>
      <c r="H82" s="8">
        <f>IF(ISNA(VLOOKUP($B82,'Other Capital Needs'!$C$51:$P$95,H$2,0)),0,VLOOKUP($B82,'Other Capital Needs'!$C$51:$P$95,H$2,0))+IF(ISNA(VLOOKUP('Project Details by Yr - MASTER'!$B82,'Public Grounds'!$A$11:$N$49,H$2,0)),0,VLOOKUP('Project Details by Yr - MASTER'!$B82,'Public Grounds'!$A$11:$N$49,H$2,0))+IF(ISNA(VLOOKUP('Project Details by Yr - MASTER'!$B82,'Public Buildings'!$A$10:$N$96,H$2,0)),0,VLOOKUP('Project Details by Yr - MASTER'!$B82,'Public Buildings'!$A$10:$N$96,H$2,0))+IF(ISNA(VLOOKUP('Project Details by Yr - MASTER'!$B82,Bridges!$A$9:$N$24,H$2,0)),0,VLOOKUP('Project Details by Yr - MASTER'!$B82,Bridges!$A$9:$N$24,H$2,0))+IF(ISNA(VLOOKUP('Project Details by Yr - MASTER'!$B82,'Parking Lots &amp; Playgrounds'!$A$9:$N$33,H$2,0)),0,VLOOKUP('Project Details by Yr - MASTER'!$B82,'Parking Lots &amp; Playgrounds'!$A$9:$N$33,H$2,0))+IF(ISNA(VLOOKUP($B82,Vehicles!$B$9:$O$50,H$2,0)),0,VLOOKUP($B82,Vehicles!$B$9:$O$50,H$2,0))</f>
        <v>0</v>
      </c>
      <c r="I82" s="8">
        <f>IF(ISNA(VLOOKUP($B82,'Other Capital Needs'!$C$51:$P$95,I$2,0)),0,VLOOKUP($B82,'Other Capital Needs'!$C$51:$P$95,I$2,0))+IF(ISNA(VLOOKUP('Project Details by Yr - MASTER'!$B82,'Public Grounds'!$A$11:$N$49,I$2,0)),0,VLOOKUP('Project Details by Yr - MASTER'!$B82,'Public Grounds'!$A$11:$N$49,I$2,0))+IF(ISNA(VLOOKUP('Project Details by Yr - MASTER'!$B82,'Public Buildings'!$A$10:$N$96,I$2,0)),0,VLOOKUP('Project Details by Yr - MASTER'!$B82,'Public Buildings'!$A$10:$N$96,I$2,0))+IF(ISNA(VLOOKUP('Project Details by Yr - MASTER'!$B82,Bridges!$A$9:$N$24,I$2,0)),0,VLOOKUP('Project Details by Yr - MASTER'!$B82,Bridges!$A$9:$N$24,I$2,0))+IF(ISNA(VLOOKUP('Project Details by Yr - MASTER'!$B82,'Parking Lots &amp; Playgrounds'!$A$9:$N$33,I$2,0)),0,VLOOKUP('Project Details by Yr - MASTER'!$B82,'Parking Lots &amp; Playgrounds'!$A$9:$N$33,I$2,0))+IF(ISNA(VLOOKUP($B82,Vehicles!$B$9:$O$50,I$2,0)),0,VLOOKUP($B82,Vehicles!$B$9:$O$50,I$2,0))</f>
        <v>0</v>
      </c>
      <c r="J82" s="8">
        <f>IF(ISNA(VLOOKUP($B82,'Other Capital Needs'!$C$51:$P$95,J$2,0)),0,VLOOKUP($B82,'Other Capital Needs'!$C$51:$P$95,J$2,0))+IF(ISNA(VLOOKUP('Project Details by Yr - MASTER'!$B82,'Public Grounds'!$A$11:$N$49,J$2,0)),0,VLOOKUP('Project Details by Yr - MASTER'!$B82,'Public Grounds'!$A$11:$N$49,J$2,0))+IF(ISNA(VLOOKUP('Project Details by Yr - MASTER'!$B82,'Public Buildings'!$A$10:$N$96,J$2,0)),0,VLOOKUP('Project Details by Yr - MASTER'!$B82,'Public Buildings'!$A$10:$N$96,J$2,0))+IF(ISNA(VLOOKUP('Project Details by Yr - MASTER'!$B82,Bridges!$A$9:$N$24,J$2,0)),0,VLOOKUP('Project Details by Yr - MASTER'!$B82,Bridges!$A$9:$N$24,J$2,0))+IF(ISNA(VLOOKUP('Project Details by Yr - MASTER'!$B82,'Parking Lots &amp; Playgrounds'!$A$9:$N$33,J$2,0)),0,VLOOKUP('Project Details by Yr - MASTER'!$B82,'Parking Lots &amp; Playgrounds'!$A$9:$N$33,J$2,0))+IF(ISNA(VLOOKUP($B82,Vehicles!$B$9:$O$50,J$2,0)),0,VLOOKUP($B82,Vehicles!$B$9:$O$50,J$2,0))</f>
        <v>0</v>
      </c>
      <c r="K82" s="8">
        <f>IF(ISNA(VLOOKUP($B82,'Other Capital Needs'!$C$51:$P$95,K$2,0)),0,VLOOKUP($B82,'Other Capital Needs'!$C$51:$P$95,K$2,0))+IF(ISNA(VLOOKUP('Project Details by Yr - MASTER'!$B82,'Public Grounds'!$A$11:$N$49,K$2,0)),0,VLOOKUP('Project Details by Yr - MASTER'!$B82,'Public Grounds'!$A$11:$N$49,K$2,0))+IF(ISNA(VLOOKUP('Project Details by Yr - MASTER'!$B82,'Public Buildings'!$A$10:$N$96,K$2,0)),0,VLOOKUP('Project Details by Yr - MASTER'!$B82,'Public Buildings'!$A$10:$N$96,K$2,0))+IF(ISNA(VLOOKUP('Project Details by Yr - MASTER'!$B82,Bridges!$A$9:$N$24,K$2,0)),0,VLOOKUP('Project Details by Yr - MASTER'!$B82,Bridges!$A$9:$N$24,K$2,0))+IF(ISNA(VLOOKUP('Project Details by Yr - MASTER'!$B82,'Parking Lots &amp; Playgrounds'!$A$9:$N$33,K$2,0)),0,VLOOKUP('Project Details by Yr - MASTER'!$B82,'Parking Lots &amp; Playgrounds'!$A$9:$N$33,K$2,0))+IF(ISNA(VLOOKUP($B82,Vehicles!$B$9:$O$50,K$2,0)),0,VLOOKUP($B82,Vehicles!$B$9:$O$50,K$2,0))</f>
        <v>0</v>
      </c>
    </row>
    <row r="83" spans="2:11" x14ac:dyDescent="0.25">
      <c r="B83" t="s">
        <v>212</v>
      </c>
      <c r="C83" t="s">
        <v>47</v>
      </c>
      <c r="D83" t="s">
        <v>271</v>
      </c>
      <c r="E83" s="1" t="s">
        <v>16</v>
      </c>
      <c r="G83" s="8">
        <f>IF(ISNA(VLOOKUP($B83,'Other Capital Needs'!$C$51:$P$95,G$2,0)),0,VLOOKUP($B83,'Other Capital Needs'!$C$51:$P$95,G$2,0))+IF(ISNA(VLOOKUP('Project Details by Yr - MASTER'!$B83,'Public Grounds'!$A$11:$N$49,G$2,0)),0,VLOOKUP('Project Details by Yr - MASTER'!$B83,'Public Grounds'!$A$11:$N$49,G$2,0))+IF(ISNA(VLOOKUP('Project Details by Yr - MASTER'!$B83,'Public Buildings'!$A$10:$N$96,G$2,0)),0,VLOOKUP('Project Details by Yr - MASTER'!$B83,'Public Buildings'!$A$10:$N$96,G$2,0))+IF(ISNA(VLOOKUP('Project Details by Yr - MASTER'!$B83,Bridges!$A$9:$N$24,G$2,0)),0,VLOOKUP('Project Details by Yr - MASTER'!$B83,Bridges!$A$9:$N$24,G$2,0))+IF(ISNA(VLOOKUP('Project Details by Yr - MASTER'!$B83,'Parking Lots &amp; Playgrounds'!$A$9:$N$33,G$2,0)),0,VLOOKUP('Project Details by Yr - MASTER'!$B83,'Parking Lots &amp; Playgrounds'!$A$9:$N$33,G$2,0))+IF(ISNA(VLOOKUP($B83,Vehicles!$B$9:$O$50,G$2,0)),0,VLOOKUP($B83,Vehicles!$B$9:$O$50,G$2,0))</f>
        <v>0</v>
      </c>
      <c r="H83" s="8">
        <f>IF(ISNA(VLOOKUP($B83,'Other Capital Needs'!$C$51:$P$95,H$2,0)),0,VLOOKUP($B83,'Other Capital Needs'!$C$51:$P$95,H$2,0))+IF(ISNA(VLOOKUP('Project Details by Yr - MASTER'!$B83,'Public Grounds'!$A$11:$N$49,H$2,0)),0,VLOOKUP('Project Details by Yr - MASTER'!$B83,'Public Grounds'!$A$11:$N$49,H$2,0))+IF(ISNA(VLOOKUP('Project Details by Yr - MASTER'!$B83,'Public Buildings'!$A$10:$N$96,H$2,0)),0,VLOOKUP('Project Details by Yr - MASTER'!$B83,'Public Buildings'!$A$10:$N$96,H$2,0))+IF(ISNA(VLOOKUP('Project Details by Yr - MASTER'!$B83,Bridges!$A$9:$N$24,H$2,0)),0,VLOOKUP('Project Details by Yr - MASTER'!$B83,Bridges!$A$9:$N$24,H$2,0))+IF(ISNA(VLOOKUP('Project Details by Yr - MASTER'!$B83,'Parking Lots &amp; Playgrounds'!$A$9:$N$33,H$2,0)),0,VLOOKUP('Project Details by Yr - MASTER'!$B83,'Parking Lots &amp; Playgrounds'!$A$9:$N$33,H$2,0))+IF(ISNA(VLOOKUP($B83,Vehicles!$B$9:$O$50,H$2,0)),0,VLOOKUP($B83,Vehicles!$B$9:$O$50,H$2,0))</f>
        <v>35000</v>
      </c>
      <c r="I83" s="8">
        <f>IF(ISNA(VLOOKUP($B83,'Other Capital Needs'!$C$51:$P$95,I$2,0)),0,VLOOKUP($B83,'Other Capital Needs'!$C$51:$P$95,I$2,0))+IF(ISNA(VLOOKUP('Project Details by Yr - MASTER'!$B83,'Public Grounds'!$A$11:$N$49,I$2,0)),0,VLOOKUP('Project Details by Yr - MASTER'!$B83,'Public Grounds'!$A$11:$N$49,I$2,0))+IF(ISNA(VLOOKUP('Project Details by Yr - MASTER'!$B83,'Public Buildings'!$A$10:$N$96,I$2,0)),0,VLOOKUP('Project Details by Yr - MASTER'!$B83,'Public Buildings'!$A$10:$N$96,I$2,0))+IF(ISNA(VLOOKUP('Project Details by Yr - MASTER'!$B83,Bridges!$A$9:$N$24,I$2,0)),0,VLOOKUP('Project Details by Yr - MASTER'!$B83,Bridges!$A$9:$N$24,I$2,0))+IF(ISNA(VLOOKUP('Project Details by Yr - MASTER'!$B83,'Parking Lots &amp; Playgrounds'!$A$9:$N$33,I$2,0)),0,VLOOKUP('Project Details by Yr - MASTER'!$B83,'Parking Lots &amp; Playgrounds'!$A$9:$N$33,I$2,0))+IF(ISNA(VLOOKUP($B83,Vehicles!$B$9:$O$50,I$2,0)),0,VLOOKUP($B83,Vehicles!$B$9:$O$50,I$2,0))</f>
        <v>0</v>
      </c>
      <c r="J83" s="8">
        <f>IF(ISNA(VLOOKUP($B83,'Other Capital Needs'!$C$51:$P$95,J$2,0)),0,VLOOKUP($B83,'Other Capital Needs'!$C$51:$P$95,J$2,0))+IF(ISNA(VLOOKUP('Project Details by Yr - MASTER'!$B83,'Public Grounds'!$A$11:$N$49,J$2,0)),0,VLOOKUP('Project Details by Yr - MASTER'!$B83,'Public Grounds'!$A$11:$N$49,J$2,0))+IF(ISNA(VLOOKUP('Project Details by Yr - MASTER'!$B83,'Public Buildings'!$A$10:$N$96,J$2,0)),0,VLOOKUP('Project Details by Yr - MASTER'!$B83,'Public Buildings'!$A$10:$N$96,J$2,0))+IF(ISNA(VLOOKUP('Project Details by Yr - MASTER'!$B83,Bridges!$A$9:$N$24,J$2,0)),0,VLOOKUP('Project Details by Yr - MASTER'!$B83,Bridges!$A$9:$N$24,J$2,0))+IF(ISNA(VLOOKUP('Project Details by Yr - MASTER'!$B83,'Parking Lots &amp; Playgrounds'!$A$9:$N$33,J$2,0)),0,VLOOKUP('Project Details by Yr - MASTER'!$B83,'Parking Lots &amp; Playgrounds'!$A$9:$N$33,J$2,0))+IF(ISNA(VLOOKUP($B83,Vehicles!$B$9:$O$50,J$2,0)),0,VLOOKUP($B83,Vehicles!$B$9:$O$50,J$2,0))</f>
        <v>0</v>
      </c>
      <c r="K83" s="8">
        <f>IF(ISNA(VLOOKUP($B83,'Other Capital Needs'!$C$51:$P$95,K$2,0)),0,VLOOKUP($B83,'Other Capital Needs'!$C$51:$P$95,K$2,0))+IF(ISNA(VLOOKUP('Project Details by Yr - MASTER'!$B83,'Public Grounds'!$A$11:$N$49,K$2,0)),0,VLOOKUP('Project Details by Yr - MASTER'!$B83,'Public Grounds'!$A$11:$N$49,K$2,0))+IF(ISNA(VLOOKUP('Project Details by Yr - MASTER'!$B83,'Public Buildings'!$A$10:$N$96,K$2,0)),0,VLOOKUP('Project Details by Yr - MASTER'!$B83,'Public Buildings'!$A$10:$N$96,K$2,0))+IF(ISNA(VLOOKUP('Project Details by Yr - MASTER'!$B83,Bridges!$A$9:$N$24,K$2,0)),0,VLOOKUP('Project Details by Yr - MASTER'!$B83,Bridges!$A$9:$N$24,K$2,0))+IF(ISNA(VLOOKUP('Project Details by Yr - MASTER'!$B83,'Parking Lots &amp; Playgrounds'!$A$9:$N$33,K$2,0)),0,VLOOKUP('Project Details by Yr - MASTER'!$B83,'Parking Lots &amp; Playgrounds'!$A$9:$N$33,K$2,0))+IF(ISNA(VLOOKUP($B83,Vehicles!$B$9:$O$50,K$2,0)),0,VLOOKUP($B83,Vehicles!$B$9:$O$50,K$2,0))</f>
        <v>0</v>
      </c>
    </row>
    <row r="84" spans="2:11" x14ac:dyDescent="0.25">
      <c r="B84" t="s">
        <v>263</v>
      </c>
      <c r="C84" t="s">
        <v>47</v>
      </c>
      <c r="D84" t="s">
        <v>271</v>
      </c>
      <c r="E84" s="1" t="s">
        <v>13</v>
      </c>
      <c r="G84" s="8">
        <f>IF(ISNA(VLOOKUP($B84,'Other Capital Needs'!$C$51:$P$95,G$2,0)),0,VLOOKUP($B84,'Other Capital Needs'!$C$51:$P$95,G$2,0))+IF(ISNA(VLOOKUP('Project Details by Yr - MASTER'!$B84,'Public Grounds'!$A$11:$N$49,G$2,0)),0,VLOOKUP('Project Details by Yr - MASTER'!$B84,'Public Grounds'!$A$11:$N$49,G$2,0))+IF(ISNA(VLOOKUP('Project Details by Yr - MASTER'!$B84,'Public Buildings'!$A$10:$N$96,G$2,0)),0,VLOOKUP('Project Details by Yr - MASTER'!$B84,'Public Buildings'!$A$10:$N$96,G$2,0))+IF(ISNA(VLOOKUP('Project Details by Yr - MASTER'!$B84,Bridges!$A$9:$N$24,G$2,0)),0,VLOOKUP('Project Details by Yr - MASTER'!$B84,Bridges!$A$9:$N$24,G$2,0))+IF(ISNA(VLOOKUP('Project Details by Yr - MASTER'!$B84,'Parking Lots &amp; Playgrounds'!$A$9:$N$33,G$2,0)),0,VLOOKUP('Project Details by Yr - MASTER'!$B84,'Parking Lots &amp; Playgrounds'!$A$9:$N$33,G$2,0))+IF(ISNA(VLOOKUP($B84,Vehicles!$B$9:$O$50,G$2,0)),0,VLOOKUP($B84,Vehicles!$B$9:$O$50,G$2,0))</f>
        <v>0</v>
      </c>
      <c r="H84" s="8">
        <f>IF(ISNA(VLOOKUP($B84,'Other Capital Needs'!$C$51:$P$95,H$2,0)),0,VLOOKUP($B84,'Other Capital Needs'!$C$51:$P$95,H$2,0))+IF(ISNA(VLOOKUP('Project Details by Yr - MASTER'!$B84,'Public Grounds'!$A$11:$N$49,H$2,0)),0,VLOOKUP('Project Details by Yr - MASTER'!$B84,'Public Grounds'!$A$11:$N$49,H$2,0))+IF(ISNA(VLOOKUP('Project Details by Yr - MASTER'!$B84,'Public Buildings'!$A$10:$N$96,H$2,0)),0,VLOOKUP('Project Details by Yr - MASTER'!$B84,'Public Buildings'!$A$10:$N$96,H$2,0))+IF(ISNA(VLOOKUP('Project Details by Yr - MASTER'!$B84,Bridges!$A$9:$N$24,H$2,0)),0,VLOOKUP('Project Details by Yr - MASTER'!$B84,Bridges!$A$9:$N$24,H$2,0))+IF(ISNA(VLOOKUP('Project Details by Yr - MASTER'!$B84,'Parking Lots &amp; Playgrounds'!$A$9:$N$33,H$2,0)),0,VLOOKUP('Project Details by Yr - MASTER'!$B84,'Parking Lots &amp; Playgrounds'!$A$9:$N$33,H$2,0))+IF(ISNA(VLOOKUP($B84,Vehicles!$B$9:$O$50,H$2,0)),0,VLOOKUP($B84,Vehicles!$B$9:$O$50,H$2,0))</f>
        <v>0</v>
      </c>
      <c r="I84" s="8">
        <f>IF(ISNA(VLOOKUP($B84,'Other Capital Needs'!$C$51:$P$95,I$2,0)),0,VLOOKUP($B84,'Other Capital Needs'!$C$51:$P$95,I$2,0))+IF(ISNA(VLOOKUP('Project Details by Yr - MASTER'!$B84,'Public Grounds'!$A$11:$N$49,I$2,0)),0,VLOOKUP('Project Details by Yr - MASTER'!$B84,'Public Grounds'!$A$11:$N$49,I$2,0))+IF(ISNA(VLOOKUP('Project Details by Yr - MASTER'!$B84,'Public Buildings'!$A$10:$N$96,I$2,0)),0,VLOOKUP('Project Details by Yr - MASTER'!$B84,'Public Buildings'!$A$10:$N$96,I$2,0))+IF(ISNA(VLOOKUP('Project Details by Yr - MASTER'!$B84,Bridges!$A$9:$N$24,I$2,0)),0,VLOOKUP('Project Details by Yr - MASTER'!$B84,Bridges!$A$9:$N$24,I$2,0))+IF(ISNA(VLOOKUP('Project Details by Yr - MASTER'!$B84,'Parking Lots &amp; Playgrounds'!$A$9:$N$33,I$2,0)),0,VLOOKUP('Project Details by Yr - MASTER'!$B84,'Parking Lots &amp; Playgrounds'!$A$9:$N$33,I$2,0))+IF(ISNA(VLOOKUP($B84,Vehicles!$B$9:$O$50,I$2,0)),0,VLOOKUP($B84,Vehicles!$B$9:$O$50,I$2,0))</f>
        <v>450000</v>
      </c>
      <c r="J84" s="8">
        <f>IF(ISNA(VLOOKUP($B84,'Other Capital Needs'!$C$51:$P$95,J$2,0)),0,VLOOKUP($B84,'Other Capital Needs'!$C$51:$P$95,J$2,0))+IF(ISNA(VLOOKUP('Project Details by Yr - MASTER'!$B84,'Public Grounds'!$A$11:$N$49,J$2,0)),0,VLOOKUP('Project Details by Yr - MASTER'!$B84,'Public Grounds'!$A$11:$N$49,J$2,0))+IF(ISNA(VLOOKUP('Project Details by Yr - MASTER'!$B84,'Public Buildings'!$A$10:$N$96,J$2,0)),0,VLOOKUP('Project Details by Yr - MASTER'!$B84,'Public Buildings'!$A$10:$N$96,J$2,0))+IF(ISNA(VLOOKUP('Project Details by Yr - MASTER'!$B84,Bridges!$A$9:$N$24,J$2,0)),0,VLOOKUP('Project Details by Yr - MASTER'!$B84,Bridges!$A$9:$N$24,J$2,0))+IF(ISNA(VLOOKUP('Project Details by Yr - MASTER'!$B84,'Parking Lots &amp; Playgrounds'!$A$9:$N$33,J$2,0)),0,VLOOKUP('Project Details by Yr - MASTER'!$B84,'Parking Lots &amp; Playgrounds'!$A$9:$N$33,J$2,0))+IF(ISNA(VLOOKUP($B84,Vehicles!$B$9:$O$50,J$2,0)),0,VLOOKUP($B84,Vehicles!$B$9:$O$50,J$2,0))</f>
        <v>0</v>
      </c>
      <c r="K84" s="8">
        <f>IF(ISNA(VLOOKUP($B84,'Other Capital Needs'!$C$51:$P$95,K$2,0)),0,VLOOKUP($B84,'Other Capital Needs'!$C$51:$P$95,K$2,0))+IF(ISNA(VLOOKUP('Project Details by Yr - MASTER'!$B84,'Public Grounds'!$A$11:$N$49,K$2,0)),0,VLOOKUP('Project Details by Yr - MASTER'!$B84,'Public Grounds'!$A$11:$N$49,K$2,0))+IF(ISNA(VLOOKUP('Project Details by Yr - MASTER'!$B84,'Public Buildings'!$A$10:$N$96,K$2,0)),0,VLOOKUP('Project Details by Yr - MASTER'!$B84,'Public Buildings'!$A$10:$N$96,K$2,0))+IF(ISNA(VLOOKUP('Project Details by Yr - MASTER'!$B84,Bridges!$A$9:$N$24,K$2,0)),0,VLOOKUP('Project Details by Yr - MASTER'!$B84,Bridges!$A$9:$N$24,K$2,0))+IF(ISNA(VLOOKUP('Project Details by Yr - MASTER'!$B84,'Parking Lots &amp; Playgrounds'!$A$9:$N$33,K$2,0)),0,VLOOKUP('Project Details by Yr - MASTER'!$B84,'Parking Lots &amp; Playgrounds'!$A$9:$N$33,K$2,0))+IF(ISNA(VLOOKUP($B84,Vehicles!$B$9:$O$50,K$2,0)),0,VLOOKUP($B84,Vehicles!$B$9:$O$50,K$2,0))</f>
        <v>0</v>
      </c>
    </row>
    <row r="85" spans="2:11" x14ac:dyDescent="0.25">
      <c r="B85" t="s">
        <v>264</v>
      </c>
      <c r="C85" t="s">
        <v>47</v>
      </c>
      <c r="D85" t="s">
        <v>271</v>
      </c>
      <c r="E85" s="1" t="s">
        <v>13</v>
      </c>
      <c r="G85" s="8">
        <f>IF(ISNA(VLOOKUP($B85,'Other Capital Needs'!$C$51:$P$95,G$2,0)),0,VLOOKUP($B85,'Other Capital Needs'!$C$51:$P$95,G$2,0))+IF(ISNA(VLOOKUP('Project Details by Yr - MASTER'!$B85,'Public Grounds'!$A$11:$N$49,G$2,0)),0,VLOOKUP('Project Details by Yr - MASTER'!$B85,'Public Grounds'!$A$11:$N$49,G$2,0))+IF(ISNA(VLOOKUP('Project Details by Yr - MASTER'!$B85,'Public Buildings'!$A$10:$N$96,G$2,0)),0,VLOOKUP('Project Details by Yr - MASTER'!$B85,'Public Buildings'!$A$10:$N$96,G$2,0))+IF(ISNA(VLOOKUP('Project Details by Yr - MASTER'!$B85,Bridges!$A$9:$N$24,G$2,0)),0,VLOOKUP('Project Details by Yr - MASTER'!$B85,Bridges!$A$9:$N$24,G$2,0))+IF(ISNA(VLOOKUP('Project Details by Yr - MASTER'!$B85,'Parking Lots &amp; Playgrounds'!$A$9:$N$33,G$2,0)),0,VLOOKUP('Project Details by Yr - MASTER'!$B85,'Parking Lots &amp; Playgrounds'!$A$9:$N$33,G$2,0))+IF(ISNA(VLOOKUP($B85,Vehicles!$B$9:$O$50,G$2,0)),0,VLOOKUP($B85,Vehicles!$B$9:$O$50,G$2,0))</f>
        <v>0</v>
      </c>
      <c r="H85" s="8">
        <f>IF(ISNA(VLOOKUP($B85,'Other Capital Needs'!$C$51:$P$95,H$2,0)),0,VLOOKUP($B85,'Other Capital Needs'!$C$51:$P$95,H$2,0))+IF(ISNA(VLOOKUP('Project Details by Yr - MASTER'!$B85,'Public Grounds'!$A$11:$N$49,H$2,0)),0,VLOOKUP('Project Details by Yr - MASTER'!$B85,'Public Grounds'!$A$11:$N$49,H$2,0))+IF(ISNA(VLOOKUP('Project Details by Yr - MASTER'!$B85,'Public Buildings'!$A$10:$N$96,H$2,0)),0,VLOOKUP('Project Details by Yr - MASTER'!$B85,'Public Buildings'!$A$10:$N$96,H$2,0))+IF(ISNA(VLOOKUP('Project Details by Yr - MASTER'!$B85,Bridges!$A$9:$N$24,H$2,0)),0,VLOOKUP('Project Details by Yr - MASTER'!$B85,Bridges!$A$9:$N$24,H$2,0))+IF(ISNA(VLOOKUP('Project Details by Yr - MASTER'!$B85,'Parking Lots &amp; Playgrounds'!$A$9:$N$33,H$2,0)),0,VLOOKUP('Project Details by Yr - MASTER'!$B85,'Parking Lots &amp; Playgrounds'!$A$9:$N$33,H$2,0))+IF(ISNA(VLOOKUP($B85,Vehicles!$B$9:$O$50,H$2,0)),0,VLOOKUP($B85,Vehicles!$B$9:$O$50,H$2,0))</f>
        <v>0</v>
      </c>
      <c r="I85" s="8">
        <f>IF(ISNA(VLOOKUP($B85,'Other Capital Needs'!$C$51:$P$95,I$2,0)),0,VLOOKUP($B85,'Other Capital Needs'!$C$51:$P$95,I$2,0))+IF(ISNA(VLOOKUP('Project Details by Yr - MASTER'!$B85,'Public Grounds'!$A$11:$N$49,I$2,0)),0,VLOOKUP('Project Details by Yr - MASTER'!$B85,'Public Grounds'!$A$11:$N$49,I$2,0))+IF(ISNA(VLOOKUP('Project Details by Yr - MASTER'!$B85,'Public Buildings'!$A$10:$N$96,I$2,0)),0,VLOOKUP('Project Details by Yr - MASTER'!$B85,'Public Buildings'!$A$10:$N$96,I$2,0))+IF(ISNA(VLOOKUP('Project Details by Yr - MASTER'!$B85,Bridges!$A$9:$N$24,I$2,0)),0,VLOOKUP('Project Details by Yr - MASTER'!$B85,Bridges!$A$9:$N$24,I$2,0))+IF(ISNA(VLOOKUP('Project Details by Yr - MASTER'!$B85,'Parking Lots &amp; Playgrounds'!$A$9:$N$33,I$2,0)),0,VLOOKUP('Project Details by Yr - MASTER'!$B85,'Parking Lots &amp; Playgrounds'!$A$9:$N$33,I$2,0))+IF(ISNA(VLOOKUP($B85,Vehicles!$B$9:$O$50,I$2,0)),0,VLOOKUP($B85,Vehicles!$B$9:$O$50,I$2,0))</f>
        <v>350000</v>
      </c>
      <c r="J85" s="8">
        <f>IF(ISNA(VLOOKUP($B85,'Other Capital Needs'!$C$51:$P$95,J$2,0)),0,VLOOKUP($B85,'Other Capital Needs'!$C$51:$P$95,J$2,0))+IF(ISNA(VLOOKUP('Project Details by Yr - MASTER'!$B85,'Public Grounds'!$A$11:$N$49,J$2,0)),0,VLOOKUP('Project Details by Yr - MASTER'!$B85,'Public Grounds'!$A$11:$N$49,J$2,0))+IF(ISNA(VLOOKUP('Project Details by Yr - MASTER'!$B85,'Public Buildings'!$A$10:$N$96,J$2,0)),0,VLOOKUP('Project Details by Yr - MASTER'!$B85,'Public Buildings'!$A$10:$N$96,J$2,0))+IF(ISNA(VLOOKUP('Project Details by Yr - MASTER'!$B85,Bridges!$A$9:$N$24,J$2,0)),0,VLOOKUP('Project Details by Yr - MASTER'!$B85,Bridges!$A$9:$N$24,J$2,0))+IF(ISNA(VLOOKUP('Project Details by Yr - MASTER'!$B85,'Parking Lots &amp; Playgrounds'!$A$9:$N$33,J$2,0)),0,VLOOKUP('Project Details by Yr - MASTER'!$B85,'Parking Lots &amp; Playgrounds'!$A$9:$N$33,J$2,0))+IF(ISNA(VLOOKUP($B85,Vehicles!$B$9:$O$50,J$2,0)),0,VLOOKUP($B85,Vehicles!$B$9:$O$50,J$2,0))</f>
        <v>0</v>
      </c>
      <c r="K85" s="8">
        <f>IF(ISNA(VLOOKUP($B85,'Other Capital Needs'!$C$51:$P$95,K$2,0)),0,VLOOKUP($B85,'Other Capital Needs'!$C$51:$P$95,K$2,0))+IF(ISNA(VLOOKUP('Project Details by Yr - MASTER'!$B85,'Public Grounds'!$A$11:$N$49,K$2,0)),0,VLOOKUP('Project Details by Yr - MASTER'!$B85,'Public Grounds'!$A$11:$N$49,K$2,0))+IF(ISNA(VLOOKUP('Project Details by Yr - MASTER'!$B85,'Public Buildings'!$A$10:$N$96,K$2,0)),0,VLOOKUP('Project Details by Yr - MASTER'!$B85,'Public Buildings'!$A$10:$N$96,K$2,0))+IF(ISNA(VLOOKUP('Project Details by Yr - MASTER'!$B85,Bridges!$A$9:$N$24,K$2,0)),0,VLOOKUP('Project Details by Yr - MASTER'!$B85,Bridges!$A$9:$N$24,K$2,0))+IF(ISNA(VLOOKUP('Project Details by Yr - MASTER'!$B85,'Parking Lots &amp; Playgrounds'!$A$9:$N$33,K$2,0)),0,VLOOKUP('Project Details by Yr - MASTER'!$B85,'Parking Lots &amp; Playgrounds'!$A$9:$N$33,K$2,0))+IF(ISNA(VLOOKUP($B85,Vehicles!$B$9:$O$50,K$2,0)),0,VLOOKUP($B85,Vehicles!$B$9:$O$50,K$2,0))</f>
        <v>0</v>
      </c>
    </row>
    <row r="86" spans="2:11" x14ac:dyDescent="0.25">
      <c r="B86" t="s">
        <v>213</v>
      </c>
      <c r="C86" t="s">
        <v>47</v>
      </c>
      <c r="D86" t="s">
        <v>271</v>
      </c>
      <c r="E86" s="1" t="s">
        <v>16</v>
      </c>
      <c r="G86" s="8">
        <f>IF(ISNA(VLOOKUP($B86,'Other Capital Needs'!$C$51:$P$95,G$2,0)),0,VLOOKUP($B86,'Other Capital Needs'!$C$51:$P$95,G$2,0))+IF(ISNA(VLOOKUP('Project Details by Yr - MASTER'!$B86,'Public Grounds'!$A$11:$N$49,G$2,0)),0,VLOOKUP('Project Details by Yr - MASTER'!$B86,'Public Grounds'!$A$11:$N$49,G$2,0))+IF(ISNA(VLOOKUP('Project Details by Yr - MASTER'!$B86,'Public Buildings'!$A$10:$N$96,G$2,0)),0,VLOOKUP('Project Details by Yr - MASTER'!$B86,'Public Buildings'!$A$10:$N$96,G$2,0))+IF(ISNA(VLOOKUP('Project Details by Yr - MASTER'!$B86,Bridges!$A$9:$N$24,G$2,0)),0,VLOOKUP('Project Details by Yr - MASTER'!$B86,Bridges!$A$9:$N$24,G$2,0))+IF(ISNA(VLOOKUP('Project Details by Yr - MASTER'!$B86,'Parking Lots &amp; Playgrounds'!$A$9:$N$33,G$2,0)),0,VLOOKUP('Project Details by Yr - MASTER'!$B86,'Parking Lots &amp; Playgrounds'!$A$9:$N$33,G$2,0))+IF(ISNA(VLOOKUP($B86,Vehicles!$B$9:$O$50,G$2,0)),0,VLOOKUP($B86,Vehicles!$B$9:$O$50,G$2,0))</f>
        <v>0</v>
      </c>
      <c r="H86" s="8">
        <f>IF(ISNA(VLOOKUP($B86,'Other Capital Needs'!$C$51:$P$95,H$2,0)),0,VLOOKUP($B86,'Other Capital Needs'!$C$51:$P$95,H$2,0))+IF(ISNA(VLOOKUP('Project Details by Yr - MASTER'!$B86,'Public Grounds'!$A$11:$N$49,H$2,0)),0,VLOOKUP('Project Details by Yr - MASTER'!$B86,'Public Grounds'!$A$11:$N$49,H$2,0))+IF(ISNA(VLOOKUP('Project Details by Yr - MASTER'!$B86,'Public Buildings'!$A$10:$N$96,H$2,0)),0,VLOOKUP('Project Details by Yr - MASTER'!$B86,'Public Buildings'!$A$10:$N$96,H$2,0))+IF(ISNA(VLOOKUP('Project Details by Yr - MASTER'!$B86,Bridges!$A$9:$N$24,H$2,0)),0,VLOOKUP('Project Details by Yr - MASTER'!$B86,Bridges!$A$9:$N$24,H$2,0))+IF(ISNA(VLOOKUP('Project Details by Yr - MASTER'!$B86,'Parking Lots &amp; Playgrounds'!$A$9:$N$33,H$2,0)),0,VLOOKUP('Project Details by Yr - MASTER'!$B86,'Parking Lots &amp; Playgrounds'!$A$9:$N$33,H$2,0))+IF(ISNA(VLOOKUP($B86,Vehicles!$B$9:$O$50,H$2,0)),0,VLOOKUP($B86,Vehicles!$B$9:$O$50,H$2,0))</f>
        <v>75000</v>
      </c>
      <c r="I86" s="8">
        <f>IF(ISNA(VLOOKUP($B86,'Other Capital Needs'!$C$51:$P$95,I$2,0)),0,VLOOKUP($B86,'Other Capital Needs'!$C$51:$P$95,I$2,0))+IF(ISNA(VLOOKUP('Project Details by Yr - MASTER'!$B86,'Public Grounds'!$A$11:$N$49,I$2,0)),0,VLOOKUP('Project Details by Yr - MASTER'!$B86,'Public Grounds'!$A$11:$N$49,I$2,0))+IF(ISNA(VLOOKUP('Project Details by Yr - MASTER'!$B86,'Public Buildings'!$A$10:$N$96,I$2,0)),0,VLOOKUP('Project Details by Yr - MASTER'!$B86,'Public Buildings'!$A$10:$N$96,I$2,0))+IF(ISNA(VLOOKUP('Project Details by Yr - MASTER'!$B86,Bridges!$A$9:$N$24,I$2,0)),0,VLOOKUP('Project Details by Yr - MASTER'!$B86,Bridges!$A$9:$N$24,I$2,0))+IF(ISNA(VLOOKUP('Project Details by Yr - MASTER'!$B86,'Parking Lots &amp; Playgrounds'!$A$9:$N$33,I$2,0)),0,VLOOKUP('Project Details by Yr - MASTER'!$B86,'Parking Lots &amp; Playgrounds'!$A$9:$N$33,I$2,0))+IF(ISNA(VLOOKUP($B86,Vehicles!$B$9:$O$50,I$2,0)),0,VLOOKUP($B86,Vehicles!$B$9:$O$50,I$2,0))</f>
        <v>0</v>
      </c>
      <c r="J86" s="8">
        <f>IF(ISNA(VLOOKUP($B86,'Other Capital Needs'!$C$51:$P$95,J$2,0)),0,VLOOKUP($B86,'Other Capital Needs'!$C$51:$P$95,J$2,0))+IF(ISNA(VLOOKUP('Project Details by Yr - MASTER'!$B86,'Public Grounds'!$A$11:$N$49,J$2,0)),0,VLOOKUP('Project Details by Yr - MASTER'!$B86,'Public Grounds'!$A$11:$N$49,J$2,0))+IF(ISNA(VLOOKUP('Project Details by Yr - MASTER'!$B86,'Public Buildings'!$A$10:$N$96,J$2,0)),0,VLOOKUP('Project Details by Yr - MASTER'!$B86,'Public Buildings'!$A$10:$N$96,J$2,0))+IF(ISNA(VLOOKUP('Project Details by Yr - MASTER'!$B86,Bridges!$A$9:$N$24,J$2,0)),0,VLOOKUP('Project Details by Yr - MASTER'!$B86,Bridges!$A$9:$N$24,J$2,0))+IF(ISNA(VLOOKUP('Project Details by Yr - MASTER'!$B86,'Parking Lots &amp; Playgrounds'!$A$9:$N$33,J$2,0)),0,VLOOKUP('Project Details by Yr - MASTER'!$B86,'Parking Lots &amp; Playgrounds'!$A$9:$N$33,J$2,0))+IF(ISNA(VLOOKUP($B86,Vehicles!$B$9:$O$50,J$2,0)),0,VLOOKUP($B86,Vehicles!$B$9:$O$50,J$2,0))</f>
        <v>0</v>
      </c>
      <c r="K86" s="8">
        <f>IF(ISNA(VLOOKUP($B86,'Other Capital Needs'!$C$51:$P$95,K$2,0)),0,VLOOKUP($B86,'Other Capital Needs'!$C$51:$P$95,K$2,0))+IF(ISNA(VLOOKUP('Project Details by Yr - MASTER'!$B86,'Public Grounds'!$A$11:$N$49,K$2,0)),0,VLOOKUP('Project Details by Yr - MASTER'!$B86,'Public Grounds'!$A$11:$N$49,K$2,0))+IF(ISNA(VLOOKUP('Project Details by Yr - MASTER'!$B86,'Public Buildings'!$A$10:$N$96,K$2,0)),0,VLOOKUP('Project Details by Yr - MASTER'!$B86,'Public Buildings'!$A$10:$N$96,K$2,0))+IF(ISNA(VLOOKUP('Project Details by Yr - MASTER'!$B86,Bridges!$A$9:$N$24,K$2,0)),0,VLOOKUP('Project Details by Yr - MASTER'!$B86,Bridges!$A$9:$N$24,K$2,0))+IF(ISNA(VLOOKUP('Project Details by Yr - MASTER'!$B86,'Parking Lots &amp; Playgrounds'!$A$9:$N$33,K$2,0)),0,VLOOKUP('Project Details by Yr - MASTER'!$B86,'Parking Lots &amp; Playgrounds'!$A$9:$N$33,K$2,0))+IF(ISNA(VLOOKUP($B86,Vehicles!$B$9:$O$50,K$2,0)),0,VLOOKUP($B86,Vehicles!$B$9:$O$50,K$2,0))</f>
        <v>0</v>
      </c>
    </row>
    <row r="87" spans="2:11" x14ac:dyDescent="0.25">
      <c r="B87" t="s">
        <v>214</v>
      </c>
      <c r="C87" t="s">
        <v>47</v>
      </c>
      <c r="D87" t="s">
        <v>271</v>
      </c>
      <c r="E87" s="1"/>
      <c r="G87" s="8">
        <f>IF(ISNA(VLOOKUP($B87,'Other Capital Needs'!$C$51:$P$95,G$2,0)),0,VLOOKUP($B87,'Other Capital Needs'!$C$51:$P$95,G$2,0))+IF(ISNA(VLOOKUP('Project Details by Yr - MASTER'!$B87,'Public Grounds'!$A$11:$N$49,G$2,0)),0,VLOOKUP('Project Details by Yr - MASTER'!$B87,'Public Grounds'!$A$11:$N$49,G$2,0))+IF(ISNA(VLOOKUP('Project Details by Yr - MASTER'!$B87,'Public Buildings'!$A$10:$N$96,G$2,0)),0,VLOOKUP('Project Details by Yr - MASTER'!$B87,'Public Buildings'!$A$10:$N$96,G$2,0))+IF(ISNA(VLOOKUP('Project Details by Yr - MASTER'!$B87,Bridges!$A$9:$N$24,G$2,0)),0,VLOOKUP('Project Details by Yr - MASTER'!$B87,Bridges!$A$9:$N$24,G$2,0))+IF(ISNA(VLOOKUP('Project Details by Yr - MASTER'!$B87,'Parking Lots &amp; Playgrounds'!$A$9:$N$33,G$2,0)),0,VLOOKUP('Project Details by Yr - MASTER'!$B87,'Parking Lots &amp; Playgrounds'!$A$9:$N$33,G$2,0))+IF(ISNA(VLOOKUP($B87,Vehicles!$B$9:$O$50,G$2,0)),0,VLOOKUP($B87,Vehicles!$B$9:$O$50,G$2,0))</f>
        <v>0</v>
      </c>
      <c r="H87" s="8">
        <f>IF(ISNA(VLOOKUP($B87,'Other Capital Needs'!$C$51:$P$95,H$2,0)),0,VLOOKUP($B87,'Other Capital Needs'!$C$51:$P$95,H$2,0))+IF(ISNA(VLOOKUP('Project Details by Yr - MASTER'!$B87,'Public Grounds'!$A$11:$N$49,H$2,0)),0,VLOOKUP('Project Details by Yr - MASTER'!$B87,'Public Grounds'!$A$11:$N$49,H$2,0))+IF(ISNA(VLOOKUP('Project Details by Yr - MASTER'!$B87,'Public Buildings'!$A$10:$N$96,H$2,0)),0,VLOOKUP('Project Details by Yr - MASTER'!$B87,'Public Buildings'!$A$10:$N$96,H$2,0))+IF(ISNA(VLOOKUP('Project Details by Yr - MASTER'!$B87,Bridges!$A$9:$N$24,H$2,0)),0,VLOOKUP('Project Details by Yr - MASTER'!$B87,Bridges!$A$9:$N$24,H$2,0))+IF(ISNA(VLOOKUP('Project Details by Yr - MASTER'!$B87,'Parking Lots &amp; Playgrounds'!$A$9:$N$33,H$2,0)),0,VLOOKUP('Project Details by Yr - MASTER'!$B87,'Parking Lots &amp; Playgrounds'!$A$9:$N$33,H$2,0))+IF(ISNA(VLOOKUP($B87,Vehicles!$B$9:$O$50,H$2,0)),0,VLOOKUP($B87,Vehicles!$B$9:$O$50,H$2,0))</f>
        <v>0</v>
      </c>
      <c r="I87" s="8">
        <f>IF(ISNA(VLOOKUP($B87,'Other Capital Needs'!$C$51:$P$95,I$2,0)),0,VLOOKUP($B87,'Other Capital Needs'!$C$51:$P$95,I$2,0))+IF(ISNA(VLOOKUP('Project Details by Yr - MASTER'!$B87,'Public Grounds'!$A$11:$N$49,I$2,0)),0,VLOOKUP('Project Details by Yr - MASTER'!$B87,'Public Grounds'!$A$11:$N$49,I$2,0))+IF(ISNA(VLOOKUP('Project Details by Yr - MASTER'!$B87,'Public Buildings'!$A$10:$N$96,I$2,0)),0,VLOOKUP('Project Details by Yr - MASTER'!$B87,'Public Buildings'!$A$10:$N$96,I$2,0))+IF(ISNA(VLOOKUP('Project Details by Yr - MASTER'!$B87,Bridges!$A$9:$N$24,I$2,0)),0,VLOOKUP('Project Details by Yr - MASTER'!$B87,Bridges!$A$9:$N$24,I$2,0))+IF(ISNA(VLOOKUP('Project Details by Yr - MASTER'!$B87,'Parking Lots &amp; Playgrounds'!$A$9:$N$33,I$2,0)),0,VLOOKUP('Project Details by Yr - MASTER'!$B87,'Parking Lots &amp; Playgrounds'!$A$9:$N$33,I$2,0))+IF(ISNA(VLOOKUP($B87,Vehicles!$B$9:$O$50,I$2,0)),0,VLOOKUP($B87,Vehicles!$B$9:$O$50,I$2,0))</f>
        <v>0</v>
      </c>
      <c r="J87" s="8">
        <f>IF(ISNA(VLOOKUP($B87,'Other Capital Needs'!$C$51:$P$95,J$2,0)),0,VLOOKUP($B87,'Other Capital Needs'!$C$51:$P$95,J$2,0))+IF(ISNA(VLOOKUP('Project Details by Yr - MASTER'!$B87,'Public Grounds'!$A$11:$N$49,J$2,0)),0,VLOOKUP('Project Details by Yr - MASTER'!$B87,'Public Grounds'!$A$11:$N$49,J$2,0))+IF(ISNA(VLOOKUP('Project Details by Yr - MASTER'!$B87,'Public Buildings'!$A$10:$N$96,J$2,0)),0,VLOOKUP('Project Details by Yr - MASTER'!$B87,'Public Buildings'!$A$10:$N$96,J$2,0))+IF(ISNA(VLOOKUP('Project Details by Yr - MASTER'!$B87,Bridges!$A$9:$N$24,J$2,0)),0,VLOOKUP('Project Details by Yr - MASTER'!$B87,Bridges!$A$9:$N$24,J$2,0))+IF(ISNA(VLOOKUP('Project Details by Yr - MASTER'!$B87,'Parking Lots &amp; Playgrounds'!$A$9:$N$33,J$2,0)),0,VLOOKUP('Project Details by Yr - MASTER'!$B87,'Parking Lots &amp; Playgrounds'!$A$9:$N$33,J$2,0))+IF(ISNA(VLOOKUP($B87,Vehicles!$B$9:$O$50,J$2,0)),0,VLOOKUP($B87,Vehicles!$B$9:$O$50,J$2,0))</f>
        <v>0</v>
      </c>
      <c r="K87" s="8">
        <f>IF(ISNA(VLOOKUP($B87,'Other Capital Needs'!$C$51:$P$95,K$2,0)),0,VLOOKUP($B87,'Other Capital Needs'!$C$51:$P$95,K$2,0))+IF(ISNA(VLOOKUP('Project Details by Yr - MASTER'!$B87,'Public Grounds'!$A$11:$N$49,K$2,0)),0,VLOOKUP('Project Details by Yr - MASTER'!$B87,'Public Grounds'!$A$11:$N$49,K$2,0))+IF(ISNA(VLOOKUP('Project Details by Yr - MASTER'!$B87,'Public Buildings'!$A$10:$N$96,K$2,0)),0,VLOOKUP('Project Details by Yr - MASTER'!$B87,'Public Buildings'!$A$10:$N$96,K$2,0))+IF(ISNA(VLOOKUP('Project Details by Yr - MASTER'!$B87,Bridges!$A$9:$N$24,K$2,0)),0,VLOOKUP('Project Details by Yr - MASTER'!$B87,Bridges!$A$9:$N$24,K$2,0))+IF(ISNA(VLOOKUP('Project Details by Yr - MASTER'!$B87,'Parking Lots &amp; Playgrounds'!$A$9:$N$33,K$2,0)),0,VLOOKUP('Project Details by Yr - MASTER'!$B87,'Parking Lots &amp; Playgrounds'!$A$9:$N$33,K$2,0))+IF(ISNA(VLOOKUP($B87,Vehicles!$B$9:$O$50,K$2,0)),0,VLOOKUP($B87,Vehicles!$B$9:$O$50,K$2,0))</f>
        <v>0</v>
      </c>
    </row>
    <row r="88" spans="2:11" x14ac:dyDescent="0.25">
      <c r="B88" t="s">
        <v>215</v>
      </c>
      <c r="C88" t="s">
        <v>47</v>
      </c>
      <c r="D88" t="s">
        <v>271</v>
      </c>
      <c r="E88" s="1"/>
      <c r="G88" s="8">
        <f>IF(ISNA(VLOOKUP($B88,'Other Capital Needs'!$C$51:$P$95,G$2,0)),0,VLOOKUP($B88,'Other Capital Needs'!$C$51:$P$95,G$2,0))+IF(ISNA(VLOOKUP('Project Details by Yr - MASTER'!$B88,'Public Grounds'!$A$11:$N$49,G$2,0)),0,VLOOKUP('Project Details by Yr - MASTER'!$B88,'Public Grounds'!$A$11:$N$49,G$2,0))+IF(ISNA(VLOOKUP('Project Details by Yr - MASTER'!$B88,'Public Buildings'!$A$10:$N$96,G$2,0)),0,VLOOKUP('Project Details by Yr - MASTER'!$B88,'Public Buildings'!$A$10:$N$96,G$2,0))+IF(ISNA(VLOOKUP('Project Details by Yr - MASTER'!$B88,Bridges!$A$9:$N$24,G$2,0)),0,VLOOKUP('Project Details by Yr - MASTER'!$B88,Bridges!$A$9:$N$24,G$2,0))+IF(ISNA(VLOOKUP('Project Details by Yr - MASTER'!$B88,'Parking Lots &amp; Playgrounds'!$A$9:$N$33,G$2,0)),0,VLOOKUP('Project Details by Yr - MASTER'!$B88,'Parking Lots &amp; Playgrounds'!$A$9:$N$33,G$2,0))+IF(ISNA(VLOOKUP($B88,Vehicles!$B$9:$O$50,G$2,0)),0,VLOOKUP($B88,Vehicles!$B$9:$O$50,G$2,0))</f>
        <v>0</v>
      </c>
      <c r="H88" s="8">
        <f>IF(ISNA(VLOOKUP($B88,'Other Capital Needs'!$C$51:$P$95,H$2,0)),0,VLOOKUP($B88,'Other Capital Needs'!$C$51:$P$95,H$2,0))+IF(ISNA(VLOOKUP('Project Details by Yr - MASTER'!$B88,'Public Grounds'!$A$11:$N$49,H$2,0)),0,VLOOKUP('Project Details by Yr - MASTER'!$B88,'Public Grounds'!$A$11:$N$49,H$2,0))+IF(ISNA(VLOOKUP('Project Details by Yr - MASTER'!$B88,'Public Buildings'!$A$10:$N$96,H$2,0)),0,VLOOKUP('Project Details by Yr - MASTER'!$B88,'Public Buildings'!$A$10:$N$96,H$2,0))+IF(ISNA(VLOOKUP('Project Details by Yr - MASTER'!$B88,Bridges!$A$9:$N$24,H$2,0)),0,VLOOKUP('Project Details by Yr - MASTER'!$B88,Bridges!$A$9:$N$24,H$2,0))+IF(ISNA(VLOOKUP('Project Details by Yr - MASTER'!$B88,'Parking Lots &amp; Playgrounds'!$A$9:$N$33,H$2,0)),0,VLOOKUP('Project Details by Yr - MASTER'!$B88,'Parking Lots &amp; Playgrounds'!$A$9:$N$33,H$2,0))+IF(ISNA(VLOOKUP($B88,Vehicles!$B$9:$O$50,H$2,0)),0,VLOOKUP($B88,Vehicles!$B$9:$O$50,H$2,0))</f>
        <v>0</v>
      </c>
      <c r="I88" s="8">
        <f>IF(ISNA(VLOOKUP($B88,'Other Capital Needs'!$C$51:$P$95,I$2,0)),0,VLOOKUP($B88,'Other Capital Needs'!$C$51:$P$95,I$2,0))+IF(ISNA(VLOOKUP('Project Details by Yr - MASTER'!$B88,'Public Grounds'!$A$11:$N$49,I$2,0)),0,VLOOKUP('Project Details by Yr - MASTER'!$B88,'Public Grounds'!$A$11:$N$49,I$2,0))+IF(ISNA(VLOOKUP('Project Details by Yr - MASTER'!$B88,'Public Buildings'!$A$10:$N$96,I$2,0)),0,VLOOKUP('Project Details by Yr - MASTER'!$B88,'Public Buildings'!$A$10:$N$96,I$2,0))+IF(ISNA(VLOOKUP('Project Details by Yr - MASTER'!$B88,Bridges!$A$9:$N$24,I$2,0)),0,VLOOKUP('Project Details by Yr - MASTER'!$B88,Bridges!$A$9:$N$24,I$2,0))+IF(ISNA(VLOOKUP('Project Details by Yr - MASTER'!$B88,'Parking Lots &amp; Playgrounds'!$A$9:$N$33,I$2,0)),0,VLOOKUP('Project Details by Yr - MASTER'!$B88,'Parking Lots &amp; Playgrounds'!$A$9:$N$33,I$2,0))+IF(ISNA(VLOOKUP($B88,Vehicles!$B$9:$O$50,I$2,0)),0,VLOOKUP($B88,Vehicles!$B$9:$O$50,I$2,0))</f>
        <v>0</v>
      </c>
      <c r="J88" s="8">
        <f>IF(ISNA(VLOOKUP($B88,'Other Capital Needs'!$C$51:$P$95,J$2,0)),0,VLOOKUP($B88,'Other Capital Needs'!$C$51:$P$95,J$2,0))+IF(ISNA(VLOOKUP('Project Details by Yr - MASTER'!$B88,'Public Grounds'!$A$11:$N$49,J$2,0)),0,VLOOKUP('Project Details by Yr - MASTER'!$B88,'Public Grounds'!$A$11:$N$49,J$2,0))+IF(ISNA(VLOOKUP('Project Details by Yr - MASTER'!$B88,'Public Buildings'!$A$10:$N$96,J$2,0)),0,VLOOKUP('Project Details by Yr - MASTER'!$B88,'Public Buildings'!$A$10:$N$96,J$2,0))+IF(ISNA(VLOOKUP('Project Details by Yr - MASTER'!$B88,Bridges!$A$9:$N$24,J$2,0)),0,VLOOKUP('Project Details by Yr - MASTER'!$B88,Bridges!$A$9:$N$24,J$2,0))+IF(ISNA(VLOOKUP('Project Details by Yr - MASTER'!$B88,'Parking Lots &amp; Playgrounds'!$A$9:$N$33,J$2,0)),0,VLOOKUP('Project Details by Yr - MASTER'!$B88,'Parking Lots &amp; Playgrounds'!$A$9:$N$33,J$2,0))+IF(ISNA(VLOOKUP($B88,Vehicles!$B$9:$O$50,J$2,0)),0,VLOOKUP($B88,Vehicles!$B$9:$O$50,J$2,0))</f>
        <v>0</v>
      </c>
      <c r="K88" s="8">
        <f>IF(ISNA(VLOOKUP($B88,'Other Capital Needs'!$C$51:$P$95,K$2,0)),0,VLOOKUP($B88,'Other Capital Needs'!$C$51:$P$95,K$2,0))+IF(ISNA(VLOOKUP('Project Details by Yr - MASTER'!$B88,'Public Grounds'!$A$11:$N$49,K$2,0)),0,VLOOKUP('Project Details by Yr - MASTER'!$B88,'Public Grounds'!$A$11:$N$49,K$2,0))+IF(ISNA(VLOOKUP('Project Details by Yr - MASTER'!$B88,'Public Buildings'!$A$10:$N$96,K$2,0)),0,VLOOKUP('Project Details by Yr - MASTER'!$B88,'Public Buildings'!$A$10:$N$96,K$2,0))+IF(ISNA(VLOOKUP('Project Details by Yr - MASTER'!$B88,Bridges!$A$9:$N$24,K$2,0)),0,VLOOKUP('Project Details by Yr - MASTER'!$B88,Bridges!$A$9:$N$24,K$2,0))+IF(ISNA(VLOOKUP('Project Details by Yr - MASTER'!$B88,'Parking Lots &amp; Playgrounds'!$A$9:$N$33,K$2,0)),0,VLOOKUP('Project Details by Yr - MASTER'!$B88,'Parking Lots &amp; Playgrounds'!$A$9:$N$33,K$2,0))+IF(ISNA(VLOOKUP($B88,Vehicles!$B$9:$O$50,K$2,0)),0,VLOOKUP($B88,Vehicles!$B$9:$O$50,K$2,0))</f>
        <v>0</v>
      </c>
    </row>
    <row r="89" spans="2:11" x14ac:dyDescent="0.25">
      <c r="B89" t="s">
        <v>216</v>
      </c>
      <c r="C89" t="s">
        <v>47</v>
      </c>
      <c r="D89" t="s">
        <v>271</v>
      </c>
      <c r="E89" s="1" t="s">
        <v>16</v>
      </c>
      <c r="G89" s="8">
        <f>IF(ISNA(VLOOKUP($B89,'Other Capital Needs'!$C$51:$P$95,G$2,0)),0,VLOOKUP($B89,'Other Capital Needs'!$C$51:$P$95,G$2,0))+IF(ISNA(VLOOKUP('Project Details by Yr - MASTER'!$B89,'Public Grounds'!$A$11:$N$49,G$2,0)),0,VLOOKUP('Project Details by Yr - MASTER'!$B89,'Public Grounds'!$A$11:$N$49,G$2,0))+IF(ISNA(VLOOKUP('Project Details by Yr - MASTER'!$B89,'Public Buildings'!$A$10:$N$96,G$2,0)),0,VLOOKUP('Project Details by Yr - MASTER'!$B89,'Public Buildings'!$A$10:$N$96,G$2,0))+IF(ISNA(VLOOKUP('Project Details by Yr - MASTER'!$B89,Bridges!$A$9:$N$24,G$2,0)),0,VLOOKUP('Project Details by Yr - MASTER'!$B89,Bridges!$A$9:$N$24,G$2,0))+IF(ISNA(VLOOKUP('Project Details by Yr - MASTER'!$B89,'Parking Lots &amp; Playgrounds'!$A$9:$N$33,G$2,0)),0,VLOOKUP('Project Details by Yr - MASTER'!$B89,'Parking Lots &amp; Playgrounds'!$A$9:$N$33,G$2,0))+IF(ISNA(VLOOKUP($B89,Vehicles!$B$9:$O$50,G$2,0)),0,VLOOKUP($B89,Vehicles!$B$9:$O$50,G$2,0))</f>
        <v>0</v>
      </c>
      <c r="H89" s="8">
        <f>IF(ISNA(VLOOKUP($B89,'Other Capital Needs'!$C$51:$P$95,H$2,0)),0,VLOOKUP($B89,'Other Capital Needs'!$C$51:$P$95,H$2,0))+IF(ISNA(VLOOKUP('Project Details by Yr - MASTER'!$B89,'Public Grounds'!$A$11:$N$49,H$2,0)),0,VLOOKUP('Project Details by Yr - MASTER'!$B89,'Public Grounds'!$A$11:$N$49,H$2,0))+IF(ISNA(VLOOKUP('Project Details by Yr - MASTER'!$B89,'Public Buildings'!$A$10:$N$96,H$2,0)),0,VLOOKUP('Project Details by Yr - MASTER'!$B89,'Public Buildings'!$A$10:$N$96,H$2,0))+IF(ISNA(VLOOKUP('Project Details by Yr - MASTER'!$B89,Bridges!$A$9:$N$24,H$2,0)),0,VLOOKUP('Project Details by Yr - MASTER'!$B89,Bridges!$A$9:$N$24,H$2,0))+IF(ISNA(VLOOKUP('Project Details by Yr - MASTER'!$B89,'Parking Lots &amp; Playgrounds'!$A$9:$N$33,H$2,0)),0,VLOOKUP('Project Details by Yr - MASTER'!$B89,'Parking Lots &amp; Playgrounds'!$A$9:$N$33,H$2,0))+IF(ISNA(VLOOKUP($B89,Vehicles!$B$9:$O$50,H$2,0)),0,VLOOKUP($B89,Vehicles!$B$9:$O$50,H$2,0))</f>
        <v>0</v>
      </c>
      <c r="I89" s="8">
        <f>IF(ISNA(VLOOKUP($B89,'Other Capital Needs'!$C$51:$P$95,I$2,0)),0,VLOOKUP($B89,'Other Capital Needs'!$C$51:$P$95,I$2,0))+IF(ISNA(VLOOKUP('Project Details by Yr - MASTER'!$B89,'Public Grounds'!$A$11:$N$49,I$2,0)),0,VLOOKUP('Project Details by Yr - MASTER'!$B89,'Public Grounds'!$A$11:$N$49,I$2,0))+IF(ISNA(VLOOKUP('Project Details by Yr - MASTER'!$B89,'Public Buildings'!$A$10:$N$96,I$2,0)),0,VLOOKUP('Project Details by Yr - MASTER'!$B89,'Public Buildings'!$A$10:$N$96,I$2,0))+IF(ISNA(VLOOKUP('Project Details by Yr - MASTER'!$B89,Bridges!$A$9:$N$24,I$2,0)),0,VLOOKUP('Project Details by Yr - MASTER'!$B89,Bridges!$A$9:$N$24,I$2,0))+IF(ISNA(VLOOKUP('Project Details by Yr - MASTER'!$B89,'Parking Lots &amp; Playgrounds'!$A$9:$N$33,I$2,0)),0,VLOOKUP('Project Details by Yr - MASTER'!$B89,'Parking Lots &amp; Playgrounds'!$A$9:$N$33,I$2,0))+IF(ISNA(VLOOKUP($B89,Vehicles!$B$9:$O$50,I$2,0)),0,VLOOKUP($B89,Vehicles!$B$9:$O$50,I$2,0))</f>
        <v>0</v>
      </c>
      <c r="J89" s="8">
        <f>IF(ISNA(VLOOKUP($B89,'Other Capital Needs'!$C$51:$P$95,J$2,0)),0,VLOOKUP($B89,'Other Capital Needs'!$C$51:$P$95,J$2,0))+IF(ISNA(VLOOKUP('Project Details by Yr - MASTER'!$B89,'Public Grounds'!$A$11:$N$49,J$2,0)),0,VLOOKUP('Project Details by Yr - MASTER'!$B89,'Public Grounds'!$A$11:$N$49,J$2,0))+IF(ISNA(VLOOKUP('Project Details by Yr - MASTER'!$B89,'Public Buildings'!$A$10:$N$96,J$2,0)),0,VLOOKUP('Project Details by Yr - MASTER'!$B89,'Public Buildings'!$A$10:$N$96,J$2,0))+IF(ISNA(VLOOKUP('Project Details by Yr - MASTER'!$B89,Bridges!$A$9:$N$24,J$2,0)),0,VLOOKUP('Project Details by Yr - MASTER'!$B89,Bridges!$A$9:$N$24,J$2,0))+IF(ISNA(VLOOKUP('Project Details by Yr - MASTER'!$B89,'Parking Lots &amp; Playgrounds'!$A$9:$N$33,J$2,0)),0,VLOOKUP('Project Details by Yr - MASTER'!$B89,'Parking Lots &amp; Playgrounds'!$A$9:$N$33,J$2,0))+IF(ISNA(VLOOKUP($B89,Vehicles!$B$9:$O$50,J$2,0)),0,VLOOKUP($B89,Vehicles!$B$9:$O$50,J$2,0))</f>
        <v>0</v>
      </c>
      <c r="K89" s="8">
        <f>IF(ISNA(VLOOKUP($B89,'Other Capital Needs'!$C$51:$P$95,K$2,0)),0,VLOOKUP($B89,'Other Capital Needs'!$C$51:$P$95,K$2,0))+IF(ISNA(VLOOKUP('Project Details by Yr - MASTER'!$B89,'Public Grounds'!$A$11:$N$49,K$2,0)),0,VLOOKUP('Project Details by Yr - MASTER'!$B89,'Public Grounds'!$A$11:$N$49,K$2,0))+IF(ISNA(VLOOKUP('Project Details by Yr - MASTER'!$B89,'Public Buildings'!$A$10:$N$96,K$2,0)),0,VLOOKUP('Project Details by Yr - MASTER'!$B89,'Public Buildings'!$A$10:$N$96,K$2,0))+IF(ISNA(VLOOKUP('Project Details by Yr - MASTER'!$B89,Bridges!$A$9:$N$24,K$2,0)),0,VLOOKUP('Project Details by Yr - MASTER'!$B89,Bridges!$A$9:$N$24,K$2,0))+IF(ISNA(VLOOKUP('Project Details by Yr - MASTER'!$B89,'Parking Lots &amp; Playgrounds'!$A$9:$N$33,K$2,0)),0,VLOOKUP('Project Details by Yr - MASTER'!$B89,'Parking Lots &amp; Playgrounds'!$A$9:$N$33,K$2,0))+IF(ISNA(VLOOKUP($B89,Vehicles!$B$9:$O$50,K$2,0)),0,VLOOKUP($B89,Vehicles!$B$9:$O$50,K$2,0))</f>
        <v>0</v>
      </c>
    </row>
    <row r="90" spans="2:11" x14ac:dyDescent="0.25">
      <c r="B90" t="s">
        <v>224</v>
      </c>
      <c r="C90" t="s">
        <v>47</v>
      </c>
      <c r="D90" t="s">
        <v>271</v>
      </c>
      <c r="E90" s="1" t="s">
        <v>16</v>
      </c>
      <c r="G90" s="8">
        <f>IF(ISNA(VLOOKUP($B90,'Other Capital Needs'!$C$51:$P$95,G$2,0)),0,VLOOKUP($B90,'Other Capital Needs'!$C$51:$P$95,G$2,0))+IF(ISNA(VLOOKUP('Project Details by Yr - MASTER'!$B90,'Public Grounds'!$A$11:$N$49,G$2,0)),0,VLOOKUP('Project Details by Yr - MASTER'!$B90,'Public Grounds'!$A$11:$N$49,G$2,0))+IF(ISNA(VLOOKUP('Project Details by Yr - MASTER'!$B90,'Public Buildings'!$A$10:$N$96,G$2,0)),0,VLOOKUP('Project Details by Yr - MASTER'!$B90,'Public Buildings'!$A$10:$N$96,G$2,0))+IF(ISNA(VLOOKUP('Project Details by Yr - MASTER'!$B90,Bridges!$A$9:$N$24,G$2,0)),0,VLOOKUP('Project Details by Yr - MASTER'!$B90,Bridges!$A$9:$N$24,G$2,0))+IF(ISNA(VLOOKUP('Project Details by Yr - MASTER'!$B90,'Parking Lots &amp; Playgrounds'!$A$9:$N$33,G$2,0)),0,VLOOKUP('Project Details by Yr - MASTER'!$B90,'Parking Lots &amp; Playgrounds'!$A$9:$N$33,G$2,0))+IF(ISNA(VLOOKUP($B90,Vehicles!$B$9:$O$50,G$2,0)),0,VLOOKUP($B90,Vehicles!$B$9:$O$50,G$2,0))</f>
        <v>45000</v>
      </c>
      <c r="H90" s="8">
        <f>IF(ISNA(VLOOKUP($B90,'Other Capital Needs'!$C$51:$P$95,H$2,0)),0,VLOOKUP($B90,'Other Capital Needs'!$C$51:$P$95,H$2,0))+IF(ISNA(VLOOKUP('Project Details by Yr - MASTER'!$B90,'Public Grounds'!$A$11:$N$49,H$2,0)),0,VLOOKUP('Project Details by Yr - MASTER'!$B90,'Public Grounds'!$A$11:$N$49,H$2,0))+IF(ISNA(VLOOKUP('Project Details by Yr - MASTER'!$B90,'Public Buildings'!$A$10:$N$96,H$2,0)),0,VLOOKUP('Project Details by Yr - MASTER'!$B90,'Public Buildings'!$A$10:$N$96,H$2,0))+IF(ISNA(VLOOKUP('Project Details by Yr - MASTER'!$B90,Bridges!$A$9:$N$24,H$2,0)),0,VLOOKUP('Project Details by Yr - MASTER'!$B90,Bridges!$A$9:$N$24,H$2,0))+IF(ISNA(VLOOKUP('Project Details by Yr - MASTER'!$B90,'Parking Lots &amp; Playgrounds'!$A$9:$N$33,H$2,0)),0,VLOOKUP('Project Details by Yr - MASTER'!$B90,'Parking Lots &amp; Playgrounds'!$A$9:$N$33,H$2,0))+IF(ISNA(VLOOKUP($B90,Vehicles!$B$9:$O$50,H$2,0)),0,VLOOKUP($B90,Vehicles!$B$9:$O$50,H$2,0))</f>
        <v>45000</v>
      </c>
      <c r="I90" s="8">
        <f>IF(ISNA(VLOOKUP($B90,'Other Capital Needs'!$C$51:$P$95,I$2,0)),0,VLOOKUP($B90,'Other Capital Needs'!$C$51:$P$95,I$2,0))+IF(ISNA(VLOOKUP('Project Details by Yr - MASTER'!$B90,'Public Grounds'!$A$11:$N$49,I$2,0)),0,VLOOKUP('Project Details by Yr - MASTER'!$B90,'Public Grounds'!$A$11:$N$49,I$2,0))+IF(ISNA(VLOOKUP('Project Details by Yr - MASTER'!$B90,'Public Buildings'!$A$10:$N$96,I$2,0)),0,VLOOKUP('Project Details by Yr - MASTER'!$B90,'Public Buildings'!$A$10:$N$96,I$2,0))+IF(ISNA(VLOOKUP('Project Details by Yr - MASTER'!$B90,Bridges!$A$9:$N$24,I$2,0)),0,VLOOKUP('Project Details by Yr - MASTER'!$B90,Bridges!$A$9:$N$24,I$2,0))+IF(ISNA(VLOOKUP('Project Details by Yr - MASTER'!$B90,'Parking Lots &amp; Playgrounds'!$A$9:$N$33,I$2,0)),0,VLOOKUP('Project Details by Yr - MASTER'!$B90,'Parking Lots &amp; Playgrounds'!$A$9:$N$33,I$2,0))+IF(ISNA(VLOOKUP($B90,Vehicles!$B$9:$O$50,I$2,0)),0,VLOOKUP($B90,Vehicles!$B$9:$O$50,I$2,0))</f>
        <v>45000</v>
      </c>
      <c r="J90" s="8">
        <f>IF(ISNA(VLOOKUP($B90,'Other Capital Needs'!$C$51:$P$95,J$2,0)),0,VLOOKUP($B90,'Other Capital Needs'!$C$51:$P$95,J$2,0))+IF(ISNA(VLOOKUP('Project Details by Yr - MASTER'!$B90,'Public Grounds'!$A$11:$N$49,J$2,0)),0,VLOOKUP('Project Details by Yr - MASTER'!$B90,'Public Grounds'!$A$11:$N$49,J$2,0))+IF(ISNA(VLOOKUP('Project Details by Yr - MASTER'!$B90,'Public Buildings'!$A$10:$N$96,J$2,0)),0,VLOOKUP('Project Details by Yr - MASTER'!$B90,'Public Buildings'!$A$10:$N$96,J$2,0))+IF(ISNA(VLOOKUP('Project Details by Yr - MASTER'!$B90,Bridges!$A$9:$N$24,J$2,0)),0,VLOOKUP('Project Details by Yr - MASTER'!$B90,Bridges!$A$9:$N$24,J$2,0))+IF(ISNA(VLOOKUP('Project Details by Yr - MASTER'!$B90,'Parking Lots &amp; Playgrounds'!$A$9:$N$33,J$2,0)),0,VLOOKUP('Project Details by Yr - MASTER'!$B90,'Parking Lots &amp; Playgrounds'!$A$9:$N$33,J$2,0))+IF(ISNA(VLOOKUP($B90,Vehicles!$B$9:$O$50,J$2,0)),0,VLOOKUP($B90,Vehicles!$B$9:$O$50,J$2,0))</f>
        <v>45000</v>
      </c>
      <c r="K90" s="8">
        <f>IF(ISNA(VLOOKUP($B90,'Other Capital Needs'!$C$51:$P$95,K$2,0)),0,VLOOKUP($B90,'Other Capital Needs'!$C$51:$P$95,K$2,0))+IF(ISNA(VLOOKUP('Project Details by Yr - MASTER'!$B90,'Public Grounds'!$A$11:$N$49,K$2,0)),0,VLOOKUP('Project Details by Yr - MASTER'!$B90,'Public Grounds'!$A$11:$N$49,K$2,0))+IF(ISNA(VLOOKUP('Project Details by Yr - MASTER'!$B90,'Public Buildings'!$A$10:$N$96,K$2,0)),0,VLOOKUP('Project Details by Yr - MASTER'!$B90,'Public Buildings'!$A$10:$N$96,K$2,0))+IF(ISNA(VLOOKUP('Project Details by Yr - MASTER'!$B90,Bridges!$A$9:$N$24,K$2,0)),0,VLOOKUP('Project Details by Yr - MASTER'!$B90,Bridges!$A$9:$N$24,K$2,0))+IF(ISNA(VLOOKUP('Project Details by Yr - MASTER'!$B90,'Parking Lots &amp; Playgrounds'!$A$9:$N$33,K$2,0)),0,VLOOKUP('Project Details by Yr - MASTER'!$B90,'Parking Lots &amp; Playgrounds'!$A$9:$N$33,K$2,0))+IF(ISNA(VLOOKUP($B90,Vehicles!$B$9:$O$50,K$2,0)),0,VLOOKUP($B90,Vehicles!$B$9:$O$50,K$2,0))</f>
        <v>45000</v>
      </c>
    </row>
    <row r="91" spans="2:11" x14ac:dyDescent="0.25">
      <c r="B91" s="26" t="s">
        <v>217</v>
      </c>
      <c r="C91" s="26" t="s">
        <v>47</v>
      </c>
      <c r="D91" s="26" t="s">
        <v>271</v>
      </c>
      <c r="E91" s="31" t="s">
        <v>16</v>
      </c>
      <c r="F91" s="26"/>
      <c r="G91" s="8">
        <f>IF(ISNA(VLOOKUP($B91,'Other Capital Needs'!$C$51:$P$95,G$2,0)),0,VLOOKUP($B91,'Other Capital Needs'!$C$51:$P$95,G$2,0))+IF(ISNA(VLOOKUP('Project Details by Yr - MASTER'!$B91,'Public Grounds'!$A$11:$N$49,G$2,0)),0,VLOOKUP('Project Details by Yr - MASTER'!$B91,'Public Grounds'!$A$11:$N$49,G$2,0))+IF(ISNA(VLOOKUP('Project Details by Yr - MASTER'!$B91,'Public Buildings'!$A$10:$N$96,G$2,0)),0,VLOOKUP('Project Details by Yr - MASTER'!$B91,'Public Buildings'!$A$10:$N$96,G$2,0))+IF(ISNA(VLOOKUP('Project Details by Yr - MASTER'!$B91,Bridges!$A$9:$N$24,G$2,0)),0,VLOOKUP('Project Details by Yr - MASTER'!$B91,Bridges!$A$9:$N$24,G$2,0))+IF(ISNA(VLOOKUP('Project Details by Yr - MASTER'!$B91,'Parking Lots &amp; Playgrounds'!$A$9:$N$33,G$2,0)),0,VLOOKUP('Project Details by Yr - MASTER'!$B91,'Parking Lots &amp; Playgrounds'!$A$9:$N$33,G$2,0))+IF(ISNA(VLOOKUP($B91,Vehicles!$B$9:$O$50,G$2,0)),0,VLOOKUP($B91,Vehicles!$B$9:$O$50,G$2,0))</f>
        <v>0</v>
      </c>
      <c r="H91" s="8">
        <f>IF(ISNA(VLOOKUP($B91,'Other Capital Needs'!$C$51:$P$95,H$2,0)),0,VLOOKUP($B91,'Other Capital Needs'!$C$51:$P$95,H$2,0))+IF(ISNA(VLOOKUP('Project Details by Yr - MASTER'!$B91,'Public Grounds'!$A$11:$N$49,H$2,0)),0,VLOOKUP('Project Details by Yr - MASTER'!$B91,'Public Grounds'!$A$11:$N$49,H$2,0))+IF(ISNA(VLOOKUP('Project Details by Yr - MASTER'!$B91,'Public Buildings'!$A$10:$N$96,H$2,0)),0,VLOOKUP('Project Details by Yr - MASTER'!$B91,'Public Buildings'!$A$10:$N$96,H$2,0))+IF(ISNA(VLOOKUP('Project Details by Yr - MASTER'!$B91,Bridges!$A$9:$N$24,H$2,0)),0,VLOOKUP('Project Details by Yr - MASTER'!$B91,Bridges!$A$9:$N$24,H$2,0))+IF(ISNA(VLOOKUP('Project Details by Yr - MASTER'!$B91,'Parking Lots &amp; Playgrounds'!$A$9:$N$33,H$2,0)),0,VLOOKUP('Project Details by Yr - MASTER'!$B91,'Parking Lots &amp; Playgrounds'!$A$9:$N$33,H$2,0))+IF(ISNA(VLOOKUP($B91,Vehicles!$B$9:$O$50,H$2,0)),0,VLOOKUP($B91,Vehicles!$B$9:$O$50,H$2,0))</f>
        <v>475000</v>
      </c>
      <c r="I91" s="8">
        <f>IF(ISNA(VLOOKUP($B91,'Other Capital Needs'!$C$51:$P$95,I$2,0)),0,VLOOKUP($B91,'Other Capital Needs'!$C$51:$P$95,I$2,0))+IF(ISNA(VLOOKUP('Project Details by Yr - MASTER'!$B91,'Public Grounds'!$A$11:$N$49,I$2,0)),0,VLOOKUP('Project Details by Yr - MASTER'!$B91,'Public Grounds'!$A$11:$N$49,I$2,0))+IF(ISNA(VLOOKUP('Project Details by Yr - MASTER'!$B91,'Public Buildings'!$A$10:$N$96,I$2,0)),0,VLOOKUP('Project Details by Yr - MASTER'!$B91,'Public Buildings'!$A$10:$N$96,I$2,0))+IF(ISNA(VLOOKUP('Project Details by Yr - MASTER'!$B91,Bridges!$A$9:$N$24,I$2,0)),0,VLOOKUP('Project Details by Yr - MASTER'!$B91,Bridges!$A$9:$N$24,I$2,0))+IF(ISNA(VLOOKUP('Project Details by Yr - MASTER'!$B91,'Parking Lots &amp; Playgrounds'!$A$9:$N$33,I$2,0)),0,VLOOKUP('Project Details by Yr - MASTER'!$B91,'Parking Lots &amp; Playgrounds'!$A$9:$N$33,I$2,0))+IF(ISNA(VLOOKUP($B91,Vehicles!$B$9:$O$50,I$2,0)),0,VLOOKUP($B91,Vehicles!$B$9:$O$50,I$2,0))</f>
        <v>0</v>
      </c>
      <c r="J91" s="8">
        <f>IF(ISNA(VLOOKUP($B91,'Other Capital Needs'!$C$51:$P$95,J$2,0)),0,VLOOKUP($B91,'Other Capital Needs'!$C$51:$P$95,J$2,0))+IF(ISNA(VLOOKUP('Project Details by Yr - MASTER'!$B91,'Public Grounds'!$A$11:$N$49,J$2,0)),0,VLOOKUP('Project Details by Yr - MASTER'!$B91,'Public Grounds'!$A$11:$N$49,J$2,0))+IF(ISNA(VLOOKUP('Project Details by Yr - MASTER'!$B91,'Public Buildings'!$A$10:$N$96,J$2,0)),0,VLOOKUP('Project Details by Yr - MASTER'!$B91,'Public Buildings'!$A$10:$N$96,J$2,0))+IF(ISNA(VLOOKUP('Project Details by Yr - MASTER'!$B91,Bridges!$A$9:$N$24,J$2,0)),0,VLOOKUP('Project Details by Yr - MASTER'!$B91,Bridges!$A$9:$N$24,J$2,0))+IF(ISNA(VLOOKUP('Project Details by Yr - MASTER'!$B91,'Parking Lots &amp; Playgrounds'!$A$9:$N$33,J$2,0)),0,VLOOKUP('Project Details by Yr - MASTER'!$B91,'Parking Lots &amp; Playgrounds'!$A$9:$N$33,J$2,0))+IF(ISNA(VLOOKUP($B91,Vehicles!$B$9:$O$50,J$2,0)),0,VLOOKUP($B91,Vehicles!$B$9:$O$50,J$2,0))</f>
        <v>0</v>
      </c>
      <c r="K91" s="8">
        <f>IF(ISNA(VLOOKUP($B91,'Other Capital Needs'!$C$51:$P$95,K$2,0)),0,VLOOKUP($B91,'Other Capital Needs'!$C$51:$P$95,K$2,0))+IF(ISNA(VLOOKUP('Project Details by Yr - MASTER'!$B91,'Public Grounds'!$A$11:$N$49,K$2,0)),0,VLOOKUP('Project Details by Yr - MASTER'!$B91,'Public Grounds'!$A$11:$N$49,K$2,0))+IF(ISNA(VLOOKUP('Project Details by Yr - MASTER'!$B91,'Public Buildings'!$A$10:$N$96,K$2,0)),0,VLOOKUP('Project Details by Yr - MASTER'!$B91,'Public Buildings'!$A$10:$N$96,K$2,0))+IF(ISNA(VLOOKUP('Project Details by Yr - MASTER'!$B91,Bridges!$A$9:$N$24,K$2,0)),0,VLOOKUP('Project Details by Yr - MASTER'!$B91,Bridges!$A$9:$N$24,K$2,0))+IF(ISNA(VLOOKUP('Project Details by Yr - MASTER'!$B91,'Parking Lots &amp; Playgrounds'!$A$9:$N$33,K$2,0)),0,VLOOKUP('Project Details by Yr - MASTER'!$B91,'Parking Lots &amp; Playgrounds'!$A$9:$N$33,K$2,0))+IF(ISNA(VLOOKUP($B91,Vehicles!$B$9:$O$50,K$2,0)),0,VLOOKUP($B91,Vehicles!$B$9:$O$50,K$2,0))</f>
        <v>0</v>
      </c>
    </row>
    <row r="92" spans="2:11" x14ac:dyDescent="0.25">
      <c r="B92" s="34" t="s">
        <v>218</v>
      </c>
      <c r="C92" s="34"/>
      <c r="D92" s="34"/>
      <c r="E92" s="31"/>
      <c r="F92" s="26"/>
      <c r="G92" s="8">
        <f>IF(ISNA(VLOOKUP($B92,'Other Capital Needs'!$C$51:$P$95,G$2,0)),0,VLOOKUP($B92,'Other Capital Needs'!$C$51:$P$95,G$2,0))+IF(ISNA(VLOOKUP('Project Details by Yr - MASTER'!$B92,'Public Grounds'!$A$11:$N$49,G$2,0)),0,VLOOKUP('Project Details by Yr - MASTER'!$B92,'Public Grounds'!$A$11:$N$49,G$2,0))+IF(ISNA(VLOOKUP('Project Details by Yr - MASTER'!$B92,'Public Buildings'!$A$10:$N$96,G$2,0)),0,VLOOKUP('Project Details by Yr - MASTER'!$B92,'Public Buildings'!$A$10:$N$96,G$2,0))+IF(ISNA(VLOOKUP('Project Details by Yr - MASTER'!$B92,Bridges!$A$9:$N$24,G$2,0)),0,VLOOKUP('Project Details by Yr - MASTER'!$B92,Bridges!$A$9:$N$24,G$2,0))+IF(ISNA(VLOOKUP('Project Details by Yr - MASTER'!$B92,'Parking Lots &amp; Playgrounds'!$A$9:$N$33,G$2,0)),0,VLOOKUP('Project Details by Yr - MASTER'!$B92,'Parking Lots &amp; Playgrounds'!$A$9:$N$33,G$2,0))+IF(ISNA(VLOOKUP($B92,Vehicles!$B$9:$O$50,G$2,0)),0,VLOOKUP($B92,Vehicles!$B$9:$O$50,G$2,0))</f>
        <v>0</v>
      </c>
      <c r="H92" s="8">
        <f>IF(ISNA(VLOOKUP($B92,'Other Capital Needs'!$C$51:$P$95,H$2,0)),0,VLOOKUP($B92,'Other Capital Needs'!$C$51:$P$95,H$2,0))+IF(ISNA(VLOOKUP('Project Details by Yr - MASTER'!$B92,'Public Grounds'!$A$11:$N$49,H$2,0)),0,VLOOKUP('Project Details by Yr - MASTER'!$B92,'Public Grounds'!$A$11:$N$49,H$2,0))+IF(ISNA(VLOOKUP('Project Details by Yr - MASTER'!$B92,'Public Buildings'!$A$10:$N$96,H$2,0)),0,VLOOKUP('Project Details by Yr - MASTER'!$B92,'Public Buildings'!$A$10:$N$96,H$2,0))+IF(ISNA(VLOOKUP('Project Details by Yr - MASTER'!$B92,Bridges!$A$9:$N$24,H$2,0)),0,VLOOKUP('Project Details by Yr - MASTER'!$B92,Bridges!$A$9:$N$24,H$2,0))+IF(ISNA(VLOOKUP('Project Details by Yr - MASTER'!$B92,'Parking Lots &amp; Playgrounds'!$A$9:$N$33,H$2,0)),0,VLOOKUP('Project Details by Yr - MASTER'!$B92,'Parking Lots &amp; Playgrounds'!$A$9:$N$33,H$2,0))+IF(ISNA(VLOOKUP($B92,Vehicles!$B$9:$O$50,H$2,0)),0,VLOOKUP($B92,Vehicles!$B$9:$O$50,H$2,0))</f>
        <v>0</v>
      </c>
      <c r="I92" s="8">
        <f>IF(ISNA(VLOOKUP($B92,'Other Capital Needs'!$C$51:$P$95,I$2,0)),0,VLOOKUP($B92,'Other Capital Needs'!$C$51:$P$95,I$2,0))+IF(ISNA(VLOOKUP('Project Details by Yr - MASTER'!$B92,'Public Grounds'!$A$11:$N$49,I$2,0)),0,VLOOKUP('Project Details by Yr - MASTER'!$B92,'Public Grounds'!$A$11:$N$49,I$2,0))+IF(ISNA(VLOOKUP('Project Details by Yr - MASTER'!$B92,'Public Buildings'!$A$10:$N$96,I$2,0)),0,VLOOKUP('Project Details by Yr - MASTER'!$B92,'Public Buildings'!$A$10:$N$96,I$2,0))+IF(ISNA(VLOOKUP('Project Details by Yr - MASTER'!$B92,Bridges!$A$9:$N$24,I$2,0)),0,VLOOKUP('Project Details by Yr - MASTER'!$B92,Bridges!$A$9:$N$24,I$2,0))+IF(ISNA(VLOOKUP('Project Details by Yr - MASTER'!$B92,'Parking Lots &amp; Playgrounds'!$A$9:$N$33,I$2,0)),0,VLOOKUP('Project Details by Yr - MASTER'!$B92,'Parking Lots &amp; Playgrounds'!$A$9:$N$33,I$2,0))+IF(ISNA(VLOOKUP($B92,Vehicles!$B$9:$O$50,I$2,0)),0,VLOOKUP($B92,Vehicles!$B$9:$O$50,I$2,0))</f>
        <v>0</v>
      </c>
      <c r="J92" s="8">
        <f>IF(ISNA(VLOOKUP($B92,'Other Capital Needs'!$C$51:$P$95,J$2,0)),0,VLOOKUP($B92,'Other Capital Needs'!$C$51:$P$95,J$2,0))+IF(ISNA(VLOOKUP('Project Details by Yr - MASTER'!$B92,'Public Grounds'!$A$11:$N$49,J$2,0)),0,VLOOKUP('Project Details by Yr - MASTER'!$B92,'Public Grounds'!$A$11:$N$49,J$2,0))+IF(ISNA(VLOOKUP('Project Details by Yr - MASTER'!$B92,'Public Buildings'!$A$10:$N$96,J$2,0)),0,VLOOKUP('Project Details by Yr - MASTER'!$B92,'Public Buildings'!$A$10:$N$96,J$2,0))+IF(ISNA(VLOOKUP('Project Details by Yr - MASTER'!$B92,Bridges!$A$9:$N$24,J$2,0)),0,VLOOKUP('Project Details by Yr - MASTER'!$B92,Bridges!$A$9:$N$24,J$2,0))+IF(ISNA(VLOOKUP('Project Details by Yr - MASTER'!$B92,'Parking Lots &amp; Playgrounds'!$A$9:$N$33,J$2,0)),0,VLOOKUP('Project Details by Yr - MASTER'!$B92,'Parking Lots &amp; Playgrounds'!$A$9:$N$33,J$2,0))+IF(ISNA(VLOOKUP($B92,Vehicles!$B$9:$O$50,J$2,0)),0,VLOOKUP($B92,Vehicles!$B$9:$O$50,J$2,0))</f>
        <v>0</v>
      </c>
      <c r="K92" s="8">
        <f>IF(ISNA(VLOOKUP($B92,'Other Capital Needs'!$C$51:$P$95,K$2,0)),0,VLOOKUP($B92,'Other Capital Needs'!$C$51:$P$95,K$2,0))+IF(ISNA(VLOOKUP('Project Details by Yr - MASTER'!$B92,'Public Grounds'!$A$11:$N$49,K$2,0)),0,VLOOKUP('Project Details by Yr - MASTER'!$B92,'Public Grounds'!$A$11:$N$49,K$2,0))+IF(ISNA(VLOOKUP('Project Details by Yr - MASTER'!$B92,'Public Buildings'!$A$10:$N$96,K$2,0)),0,VLOOKUP('Project Details by Yr - MASTER'!$B92,'Public Buildings'!$A$10:$N$96,K$2,0))+IF(ISNA(VLOOKUP('Project Details by Yr - MASTER'!$B92,Bridges!$A$9:$N$24,K$2,0)),0,VLOOKUP('Project Details by Yr - MASTER'!$B92,Bridges!$A$9:$N$24,K$2,0))+IF(ISNA(VLOOKUP('Project Details by Yr - MASTER'!$B92,'Parking Lots &amp; Playgrounds'!$A$9:$N$33,K$2,0)),0,VLOOKUP('Project Details by Yr - MASTER'!$B92,'Parking Lots &amp; Playgrounds'!$A$9:$N$33,K$2,0))+IF(ISNA(VLOOKUP($B92,Vehicles!$B$9:$O$50,K$2,0)),0,VLOOKUP($B92,Vehicles!$B$9:$O$50,K$2,0))</f>
        <v>0</v>
      </c>
    </row>
    <row r="93" spans="2:11" x14ac:dyDescent="0.25">
      <c r="B93" s="26" t="s">
        <v>219</v>
      </c>
      <c r="C93" s="26" t="s">
        <v>47</v>
      </c>
      <c r="D93" s="26" t="s">
        <v>271</v>
      </c>
      <c r="E93" s="31" t="s">
        <v>16</v>
      </c>
      <c r="F93" s="26"/>
      <c r="G93" s="8">
        <f>IF(ISNA(VLOOKUP($B93,'Other Capital Needs'!$C$51:$P$95,G$2,0)),0,VLOOKUP($B93,'Other Capital Needs'!$C$51:$P$95,G$2,0))+IF(ISNA(VLOOKUP('Project Details by Yr - MASTER'!$B93,'Public Grounds'!$A$11:$N$49,G$2,0)),0,VLOOKUP('Project Details by Yr - MASTER'!$B93,'Public Grounds'!$A$11:$N$49,G$2,0))+IF(ISNA(VLOOKUP('Project Details by Yr - MASTER'!$B93,'Public Buildings'!$A$10:$N$96,G$2,0)),0,VLOOKUP('Project Details by Yr - MASTER'!$B93,'Public Buildings'!$A$10:$N$96,G$2,0))+IF(ISNA(VLOOKUP('Project Details by Yr - MASTER'!$B93,Bridges!$A$9:$N$24,G$2,0)),0,VLOOKUP('Project Details by Yr - MASTER'!$B93,Bridges!$A$9:$N$24,G$2,0))+IF(ISNA(VLOOKUP('Project Details by Yr - MASTER'!$B93,'Parking Lots &amp; Playgrounds'!$A$9:$N$33,G$2,0)),0,VLOOKUP('Project Details by Yr - MASTER'!$B93,'Parking Lots &amp; Playgrounds'!$A$9:$N$33,G$2,0))+IF(ISNA(VLOOKUP($B93,Vehicles!$B$9:$O$50,G$2,0)),0,VLOOKUP($B93,Vehicles!$B$9:$O$50,G$2,0))</f>
        <v>325000</v>
      </c>
      <c r="H93" s="8">
        <f>IF(ISNA(VLOOKUP($B93,'Other Capital Needs'!$C$51:$P$95,H$2,0)),0,VLOOKUP($B93,'Other Capital Needs'!$C$51:$P$95,H$2,0))+IF(ISNA(VLOOKUP('Project Details by Yr - MASTER'!$B93,'Public Grounds'!$A$11:$N$49,H$2,0)),0,VLOOKUP('Project Details by Yr - MASTER'!$B93,'Public Grounds'!$A$11:$N$49,H$2,0))+IF(ISNA(VLOOKUP('Project Details by Yr - MASTER'!$B93,'Public Buildings'!$A$10:$N$96,H$2,0)),0,VLOOKUP('Project Details by Yr - MASTER'!$B93,'Public Buildings'!$A$10:$N$96,H$2,0))+IF(ISNA(VLOOKUP('Project Details by Yr - MASTER'!$B93,Bridges!$A$9:$N$24,H$2,0)),0,VLOOKUP('Project Details by Yr - MASTER'!$B93,Bridges!$A$9:$N$24,H$2,0))+IF(ISNA(VLOOKUP('Project Details by Yr - MASTER'!$B93,'Parking Lots &amp; Playgrounds'!$A$9:$N$33,H$2,0)),0,VLOOKUP('Project Details by Yr - MASTER'!$B93,'Parking Lots &amp; Playgrounds'!$A$9:$N$33,H$2,0))+IF(ISNA(VLOOKUP($B93,Vehicles!$B$9:$O$50,H$2,0)),0,VLOOKUP($B93,Vehicles!$B$9:$O$50,H$2,0))</f>
        <v>0</v>
      </c>
      <c r="I93" s="8">
        <f>IF(ISNA(VLOOKUP($B93,'Other Capital Needs'!$C$51:$P$95,I$2,0)),0,VLOOKUP($B93,'Other Capital Needs'!$C$51:$P$95,I$2,0))+IF(ISNA(VLOOKUP('Project Details by Yr - MASTER'!$B93,'Public Grounds'!$A$11:$N$49,I$2,0)),0,VLOOKUP('Project Details by Yr - MASTER'!$B93,'Public Grounds'!$A$11:$N$49,I$2,0))+IF(ISNA(VLOOKUP('Project Details by Yr - MASTER'!$B93,'Public Buildings'!$A$10:$N$96,I$2,0)),0,VLOOKUP('Project Details by Yr - MASTER'!$B93,'Public Buildings'!$A$10:$N$96,I$2,0))+IF(ISNA(VLOOKUP('Project Details by Yr - MASTER'!$B93,Bridges!$A$9:$N$24,I$2,0)),0,VLOOKUP('Project Details by Yr - MASTER'!$B93,Bridges!$A$9:$N$24,I$2,0))+IF(ISNA(VLOOKUP('Project Details by Yr - MASTER'!$B93,'Parking Lots &amp; Playgrounds'!$A$9:$N$33,I$2,0)),0,VLOOKUP('Project Details by Yr - MASTER'!$B93,'Parking Lots &amp; Playgrounds'!$A$9:$N$33,I$2,0))+IF(ISNA(VLOOKUP($B93,Vehicles!$B$9:$O$50,I$2,0)),0,VLOOKUP($B93,Vehicles!$B$9:$O$50,I$2,0))</f>
        <v>0</v>
      </c>
      <c r="J93" s="8">
        <f>IF(ISNA(VLOOKUP($B93,'Other Capital Needs'!$C$51:$P$95,J$2,0)),0,VLOOKUP($B93,'Other Capital Needs'!$C$51:$P$95,J$2,0))+IF(ISNA(VLOOKUP('Project Details by Yr - MASTER'!$B93,'Public Grounds'!$A$11:$N$49,J$2,0)),0,VLOOKUP('Project Details by Yr - MASTER'!$B93,'Public Grounds'!$A$11:$N$49,J$2,0))+IF(ISNA(VLOOKUP('Project Details by Yr - MASTER'!$B93,'Public Buildings'!$A$10:$N$96,J$2,0)),0,VLOOKUP('Project Details by Yr - MASTER'!$B93,'Public Buildings'!$A$10:$N$96,J$2,0))+IF(ISNA(VLOOKUP('Project Details by Yr - MASTER'!$B93,Bridges!$A$9:$N$24,J$2,0)),0,VLOOKUP('Project Details by Yr - MASTER'!$B93,Bridges!$A$9:$N$24,J$2,0))+IF(ISNA(VLOOKUP('Project Details by Yr - MASTER'!$B93,'Parking Lots &amp; Playgrounds'!$A$9:$N$33,J$2,0)),0,VLOOKUP('Project Details by Yr - MASTER'!$B93,'Parking Lots &amp; Playgrounds'!$A$9:$N$33,J$2,0))+IF(ISNA(VLOOKUP($B93,Vehicles!$B$9:$O$50,J$2,0)),0,VLOOKUP($B93,Vehicles!$B$9:$O$50,J$2,0))</f>
        <v>0</v>
      </c>
      <c r="K93" s="8">
        <f>IF(ISNA(VLOOKUP($B93,'Other Capital Needs'!$C$51:$P$95,K$2,0)),0,VLOOKUP($B93,'Other Capital Needs'!$C$51:$P$95,K$2,0))+IF(ISNA(VLOOKUP('Project Details by Yr - MASTER'!$B93,'Public Grounds'!$A$11:$N$49,K$2,0)),0,VLOOKUP('Project Details by Yr - MASTER'!$B93,'Public Grounds'!$A$11:$N$49,K$2,0))+IF(ISNA(VLOOKUP('Project Details by Yr - MASTER'!$B93,'Public Buildings'!$A$10:$N$96,K$2,0)),0,VLOOKUP('Project Details by Yr - MASTER'!$B93,'Public Buildings'!$A$10:$N$96,K$2,0))+IF(ISNA(VLOOKUP('Project Details by Yr - MASTER'!$B93,Bridges!$A$9:$N$24,K$2,0)),0,VLOOKUP('Project Details by Yr - MASTER'!$B93,Bridges!$A$9:$N$24,K$2,0))+IF(ISNA(VLOOKUP('Project Details by Yr - MASTER'!$B93,'Parking Lots &amp; Playgrounds'!$A$9:$N$33,K$2,0)),0,VLOOKUP('Project Details by Yr - MASTER'!$B93,'Parking Lots &amp; Playgrounds'!$A$9:$N$33,K$2,0))+IF(ISNA(VLOOKUP($B93,Vehicles!$B$9:$O$50,K$2,0)),0,VLOOKUP($B93,Vehicles!$B$9:$O$50,K$2,0))</f>
        <v>0</v>
      </c>
    </row>
    <row r="94" spans="2:11" x14ac:dyDescent="0.25">
      <c r="B94" s="26" t="s">
        <v>220</v>
      </c>
      <c r="C94" s="26" t="s">
        <v>47</v>
      </c>
      <c r="D94" s="26" t="s">
        <v>271</v>
      </c>
      <c r="E94" s="31" t="s">
        <v>16</v>
      </c>
      <c r="F94" s="26"/>
      <c r="G94" s="8">
        <f>IF(ISNA(VLOOKUP($B94,'Other Capital Needs'!$C$51:$P$95,G$2,0)),0,VLOOKUP($B94,'Other Capital Needs'!$C$51:$P$95,G$2,0))+IF(ISNA(VLOOKUP('Project Details by Yr - MASTER'!$B94,'Public Grounds'!$A$11:$N$49,G$2,0)),0,VLOOKUP('Project Details by Yr - MASTER'!$B94,'Public Grounds'!$A$11:$N$49,G$2,0))+IF(ISNA(VLOOKUP('Project Details by Yr - MASTER'!$B94,'Public Buildings'!$A$10:$N$96,G$2,0)),0,VLOOKUP('Project Details by Yr - MASTER'!$B94,'Public Buildings'!$A$10:$N$96,G$2,0))+IF(ISNA(VLOOKUP('Project Details by Yr - MASTER'!$B94,Bridges!$A$9:$N$24,G$2,0)),0,VLOOKUP('Project Details by Yr - MASTER'!$B94,Bridges!$A$9:$N$24,G$2,0))+IF(ISNA(VLOOKUP('Project Details by Yr - MASTER'!$B94,'Parking Lots &amp; Playgrounds'!$A$9:$N$33,G$2,0)),0,VLOOKUP('Project Details by Yr - MASTER'!$B94,'Parking Lots &amp; Playgrounds'!$A$9:$N$33,G$2,0))+IF(ISNA(VLOOKUP($B94,Vehicles!$B$9:$O$50,G$2,0)),0,VLOOKUP($B94,Vehicles!$B$9:$O$50,G$2,0))</f>
        <v>0</v>
      </c>
      <c r="H94" s="8">
        <f>IF(ISNA(VLOOKUP($B94,'Other Capital Needs'!$C$51:$P$95,H$2,0)),0,VLOOKUP($B94,'Other Capital Needs'!$C$51:$P$95,H$2,0))+IF(ISNA(VLOOKUP('Project Details by Yr - MASTER'!$B94,'Public Grounds'!$A$11:$N$49,H$2,0)),0,VLOOKUP('Project Details by Yr - MASTER'!$B94,'Public Grounds'!$A$11:$N$49,H$2,0))+IF(ISNA(VLOOKUP('Project Details by Yr - MASTER'!$B94,'Public Buildings'!$A$10:$N$96,H$2,0)),0,VLOOKUP('Project Details by Yr - MASTER'!$B94,'Public Buildings'!$A$10:$N$96,H$2,0))+IF(ISNA(VLOOKUP('Project Details by Yr - MASTER'!$B94,Bridges!$A$9:$N$24,H$2,0)),0,VLOOKUP('Project Details by Yr - MASTER'!$B94,Bridges!$A$9:$N$24,H$2,0))+IF(ISNA(VLOOKUP('Project Details by Yr - MASTER'!$B94,'Parking Lots &amp; Playgrounds'!$A$9:$N$33,H$2,0)),0,VLOOKUP('Project Details by Yr - MASTER'!$B94,'Parking Lots &amp; Playgrounds'!$A$9:$N$33,H$2,0))+IF(ISNA(VLOOKUP($B94,Vehicles!$B$9:$O$50,H$2,0)),0,VLOOKUP($B94,Vehicles!$B$9:$O$50,H$2,0))</f>
        <v>0</v>
      </c>
      <c r="I94" s="8">
        <f>IF(ISNA(VLOOKUP($B94,'Other Capital Needs'!$C$51:$P$95,I$2,0)),0,VLOOKUP($B94,'Other Capital Needs'!$C$51:$P$95,I$2,0))+IF(ISNA(VLOOKUP('Project Details by Yr - MASTER'!$B94,'Public Grounds'!$A$11:$N$49,I$2,0)),0,VLOOKUP('Project Details by Yr - MASTER'!$B94,'Public Grounds'!$A$11:$N$49,I$2,0))+IF(ISNA(VLOOKUP('Project Details by Yr - MASTER'!$B94,'Public Buildings'!$A$10:$N$96,I$2,0)),0,VLOOKUP('Project Details by Yr - MASTER'!$B94,'Public Buildings'!$A$10:$N$96,I$2,0))+IF(ISNA(VLOOKUP('Project Details by Yr - MASTER'!$B94,Bridges!$A$9:$N$24,I$2,0)),0,VLOOKUP('Project Details by Yr - MASTER'!$B94,Bridges!$A$9:$N$24,I$2,0))+IF(ISNA(VLOOKUP('Project Details by Yr - MASTER'!$B94,'Parking Lots &amp; Playgrounds'!$A$9:$N$33,I$2,0)),0,VLOOKUP('Project Details by Yr - MASTER'!$B94,'Parking Lots &amp; Playgrounds'!$A$9:$N$33,I$2,0))+IF(ISNA(VLOOKUP($B94,Vehicles!$B$9:$O$50,I$2,0)),0,VLOOKUP($B94,Vehicles!$B$9:$O$50,I$2,0))</f>
        <v>308333</v>
      </c>
      <c r="J94" s="8">
        <f>IF(ISNA(VLOOKUP($B94,'Other Capital Needs'!$C$51:$P$95,J$2,0)),0,VLOOKUP($B94,'Other Capital Needs'!$C$51:$P$95,J$2,0))+IF(ISNA(VLOOKUP('Project Details by Yr - MASTER'!$B94,'Public Grounds'!$A$11:$N$49,J$2,0)),0,VLOOKUP('Project Details by Yr - MASTER'!$B94,'Public Grounds'!$A$11:$N$49,J$2,0))+IF(ISNA(VLOOKUP('Project Details by Yr - MASTER'!$B94,'Public Buildings'!$A$10:$N$96,J$2,0)),0,VLOOKUP('Project Details by Yr - MASTER'!$B94,'Public Buildings'!$A$10:$N$96,J$2,0))+IF(ISNA(VLOOKUP('Project Details by Yr - MASTER'!$B94,Bridges!$A$9:$N$24,J$2,0)),0,VLOOKUP('Project Details by Yr - MASTER'!$B94,Bridges!$A$9:$N$24,J$2,0))+IF(ISNA(VLOOKUP('Project Details by Yr - MASTER'!$B94,'Parking Lots &amp; Playgrounds'!$A$9:$N$33,J$2,0)),0,VLOOKUP('Project Details by Yr - MASTER'!$B94,'Parking Lots &amp; Playgrounds'!$A$9:$N$33,J$2,0))+IF(ISNA(VLOOKUP($B94,Vehicles!$B$9:$O$50,J$2,0)),0,VLOOKUP($B94,Vehicles!$B$9:$O$50,J$2,0))</f>
        <v>308333</v>
      </c>
      <c r="K94" s="8">
        <f>IF(ISNA(VLOOKUP($B94,'Other Capital Needs'!$C$51:$P$95,K$2,0)),0,VLOOKUP($B94,'Other Capital Needs'!$C$51:$P$95,K$2,0))+IF(ISNA(VLOOKUP('Project Details by Yr - MASTER'!$B94,'Public Grounds'!$A$11:$N$49,K$2,0)),0,VLOOKUP('Project Details by Yr - MASTER'!$B94,'Public Grounds'!$A$11:$N$49,K$2,0))+IF(ISNA(VLOOKUP('Project Details by Yr - MASTER'!$B94,'Public Buildings'!$A$10:$N$96,K$2,0)),0,VLOOKUP('Project Details by Yr - MASTER'!$B94,'Public Buildings'!$A$10:$N$96,K$2,0))+IF(ISNA(VLOOKUP('Project Details by Yr - MASTER'!$B94,Bridges!$A$9:$N$24,K$2,0)),0,VLOOKUP('Project Details by Yr - MASTER'!$B94,Bridges!$A$9:$N$24,K$2,0))+IF(ISNA(VLOOKUP('Project Details by Yr - MASTER'!$B94,'Parking Lots &amp; Playgrounds'!$A$9:$N$33,K$2,0)),0,VLOOKUP('Project Details by Yr - MASTER'!$B94,'Parking Lots &amp; Playgrounds'!$A$9:$N$33,K$2,0))+IF(ISNA(VLOOKUP($B94,Vehicles!$B$9:$O$50,K$2,0)),0,VLOOKUP($B94,Vehicles!$B$9:$O$50,K$2,0))</f>
        <v>308333</v>
      </c>
    </row>
    <row r="95" spans="2:11" x14ac:dyDescent="0.25">
      <c r="B95" s="26" t="s">
        <v>221</v>
      </c>
      <c r="C95" s="26" t="s">
        <v>47</v>
      </c>
      <c r="D95" s="26" t="s">
        <v>271</v>
      </c>
      <c r="E95" s="31" t="s">
        <v>16</v>
      </c>
      <c r="F95" s="26"/>
      <c r="G95" s="8">
        <f>IF(ISNA(VLOOKUP($B95,'Other Capital Needs'!$C$51:$P$95,G$2,0)),0,VLOOKUP($B95,'Other Capital Needs'!$C$51:$P$95,G$2,0))+IF(ISNA(VLOOKUP('Project Details by Yr - MASTER'!$B95,'Public Grounds'!$A$11:$N$49,G$2,0)),0,VLOOKUP('Project Details by Yr - MASTER'!$B95,'Public Grounds'!$A$11:$N$49,G$2,0))+IF(ISNA(VLOOKUP('Project Details by Yr - MASTER'!$B95,'Public Buildings'!$A$10:$N$96,G$2,0)),0,VLOOKUP('Project Details by Yr - MASTER'!$B95,'Public Buildings'!$A$10:$N$96,G$2,0))+IF(ISNA(VLOOKUP('Project Details by Yr - MASTER'!$B95,Bridges!$A$9:$N$24,G$2,0)),0,VLOOKUP('Project Details by Yr - MASTER'!$B95,Bridges!$A$9:$N$24,G$2,0))+IF(ISNA(VLOOKUP('Project Details by Yr - MASTER'!$B95,'Parking Lots &amp; Playgrounds'!$A$9:$N$33,G$2,0)),0,VLOOKUP('Project Details by Yr - MASTER'!$B95,'Parking Lots &amp; Playgrounds'!$A$9:$N$33,G$2,0))+IF(ISNA(VLOOKUP($B95,Vehicles!$B$9:$O$50,G$2,0)),0,VLOOKUP($B95,Vehicles!$B$9:$O$50,G$2,0))</f>
        <v>0</v>
      </c>
      <c r="H95" s="8">
        <f>IF(ISNA(VLOOKUP($B95,'Other Capital Needs'!$C$51:$P$95,H$2,0)),0,VLOOKUP($B95,'Other Capital Needs'!$C$51:$P$95,H$2,0))+IF(ISNA(VLOOKUP('Project Details by Yr - MASTER'!$B95,'Public Grounds'!$A$11:$N$49,H$2,0)),0,VLOOKUP('Project Details by Yr - MASTER'!$B95,'Public Grounds'!$A$11:$N$49,H$2,0))+IF(ISNA(VLOOKUP('Project Details by Yr - MASTER'!$B95,'Public Buildings'!$A$10:$N$96,H$2,0)),0,VLOOKUP('Project Details by Yr - MASTER'!$B95,'Public Buildings'!$A$10:$N$96,H$2,0))+IF(ISNA(VLOOKUP('Project Details by Yr - MASTER'!$B95,Bridges!$A$9:$N$24,H$2,0)),0,VLOOKUP('Project Details by Yr - MASTER'!$B95,Bridges!$A$9:$N$24,H$2,0))+IF(ISNA(VLOOKUP('Project Details by Yr - MASTER'!$B95,'Parking Lots &amp; Playgrounds'!$A$9:$N$33,H$2,0)),0,VLOOKUP('Project Details by Yr - MASTER'!$B95,'Parking Lots &amp; Playgrounds'!$A$9:$N$33,H$2,0))+IF(ISNA(VLOOKUP($B95,Vehicles!$B$9:$O$50,H$2,0)),0,VLOOKUP($B95,Vehicles!$B$9:$O$50,H$2,0))</f>
        <v>0</v>
      </c>
      <c r="I95" s="8">
        <f>IF(ISNA(VLOOKUP($B95,'Other Capital Needs'!$C$51:$P$95,I$2,0)),0,VLOOKUP($B95,'Other Capital Needs'!$C$51:$P$95,I$2,0))+IF(ISNA(VLOOKUP('Project Details by Yr - MASTER'!$B95,'Public Grounds'!$A$11:$N$49,I$2,0)),0,VLOOKUP('Project Details by Yr - MASTER'!$B95,'Public Grounds'!$A$11:$N$49,I$2,0))+IF(ISNA(VLOOKUP('Project Details by Yr - MASTER'!$B95,'Public Buildings'!$A$10:$N$96,I$2,0)),0,VLOOKUP('Project Details by Yr - MASTER'!$B95,'Public Buildings'!$A$10:$N$96,I$2,0))+IF(ISNA(VLOOKUP('Project Details by Yr - MASTER'!$B95,Bridges!$A$9:$N$24,I$2,0)),0,VLOOKUP('Project Details by Yr - MASTER'!$B95,Bridges!$A$9:$N$24,I$2,0))+IF(ISNA(VLOOKUP('Project Details by Yr - MASTER'!$B95,'Parking Lots &amp; Playgrounds'!$A$9:$N$33,I$2,0)),0,VLOOKUP('Project Details by Yr - MASTER'!$B95,'Parking Lots &amp; Playgrounds'!$A$9:$N$33,I$2,0))+IF(ISNA(VLOOKUP($B95,Vehicles!$B$9:$O$50,I$2,0)),0,VLOOKUP($B95,Vehicles!$B$9:$O$50,I$2,0))</f>
        <v>0</v>
      </c>
      <c r="J95" s="8">
        <f>IF(ISNA(VLOOKUP($B95,'Other Capital Needs'!$C$51:$P$95,J$2,0)),0,VLOOKUP($B95,'Other Capital Needs'!$C$51:$P$95,J$2,0))+IF(ISNA(VLOOKUP('Project Details by Yr - MASTER'!$B95,'Public Grounds'!$A$11:$N$49,J$2,0)),0,VLOOKUP('Project Details by Yr - MASTER'!$B95,'Public Grounds'!$A$11:$N$49,J$2,0))+IF(ISNA(VLOOKUP('Project Details by Yr - MASTER'!$B95,'Public Buildings'!$A$10:$N$96,J$2,0)),0,VLOOKUP('Project Details by Yr - MASTER'!$B95,'Public Buildings'!$A$10:$N$96,J$2,0))+IF(ISNA(VLOOKUP('Project Details by Yr - MASTER'!$B95,Bridges!$A$9:$N$24,J$2,0)),0,VLOOKUP('Project Details by Yr - MASTER'!$B95,Bridges!$A$9:$N$24,J$2,0))+IF(ISNA(VLOOKUP('Project Details by Yr - MASTER'!$B95,'Parking Lots &amp; Playgrounds'!$A$9:$N$33,J$2,0)),0,VLOOKUP('Project Details by Yr - MASTER'!$B95,'Parking Lots &amp; Playgrounds'!$A$9:$N$33,J$2,0))+IF(ISNA(VLOOKUP($B95,Vehicles!$B$9:$O$50,J$2,0)),0,VLOOKUP($B95,Vehicles!$B$9:$O$50,J$2,0))</f>
        <v>850000</v>
      </c>
      <c r="K95" s="8">
        <f>IF(ISNA(VLOOKUP($B95,'Other Capital Needs'!$C$51:$P$95,K$2,0)),0,VLOOKUP($B95,'Other Capital Needs'!$C$51:$P$95,K$2,0))+IF(ISNA(VLOOKUP('Project Details by Yr - MASTER'!$B95,'Public Grounds'!$A$11:$N$49,K$2,0)),0,VLOOKUP('Project Details by Yr - MASTER'!$B95,'Public Grounds'!$A$11:$N$49,K$2,0))+IF(ISNA(VLOOKUP('Project Details by Yr - MASTER'!$B95,'Public Buildings'!$A$10:$N$96,K$2,0)),0,VLOOKUP('Project Details by Yr - MASTER'!$B95,'Public Buildings'!$A$10:$N$96,K$2,0))+IF(ISNA(VLOOKUP('Project Details by Yr - MASTER'!$B95,Bridges!$A$9:$N$24,K$2,0)),0,VLOOKUP('Project Details by Yr - MASTER'!$B95,Bridges!$A$9:$N$24,K$2,0))+IF(ISNA(VLOOKUP('Project Details by Yr - MASTER'!$B95,'Parking Lots &amp; Playgrounds'!$A$9:$N$33,K$2,0)),0,VLOOKUP('Project Details by Yr - MASTER'!$B95,'Parking Lots &amp; Playgrounds'!$A$9:$N$33,K$2,0))+IF(ISNA(VLOOKUP($B95,Vehicles!$B$9:$O$50,K$2,0)),0,VLOOKUP($B95,Vehicles!$B$9:$O$50,K$2,0))</f>
        <v>0</v>
      </c>
    </row>
    <row r="96" spans="2:11" x14ac:dyDescent="0.25">
      <c r="B96" s="26" t="s">
        <v>222</v>
      </c>
      <c r="C96" s="26" t="s">
        <v>47</v>
      </c>
      <c r="D96" s="26" t="s">
        <v>271</v>
      </c>
      <c r="E96" s="31" t="s">
        <v>16</v>
      </c>
      <c r="F96" s="26"/>
      <c r="G96" s="8">
        <f>IF(ISNA(VLOOKUP($B96,'Other Capital Needs'!$C$51:$P$95,G$2,0)),0,VLOOKUP($B96,'Other Capital Needs'!$C$51:$P$95,G$2,0))+IF(ISNA(VLOOKUP('Project Details by Yr - MASTER'!$B96,'Public Grounds'!$A$11:$N$49,G$2,0)),0,VLOOKUP('Project Details by Yr - MASTER'!$B96,'Public Grounds'!$A$11:$N$49,G$2,0))+IF(ISNA(VLOOKUP('Project Details by Yr - MASTER'!$B96,'Public Buildings'!$A$10:$N$96,G$2,0)),0,VLOOKUP('Project Details by Yr - MASTER'!$B96,'Public Buildings'!$A$10:$N$96,G$2,0))+IF(ISNA(VLOOKUP('Project Details by Yr - MASTER'!$B96,Bridges!$A$9:$N$24,G$2,0)),0,VLOOKUP('Project Details by Yr - MASTER'!$B96,Bridges!$A$9:$N$24,G$2,0))+IF(ISNA(VLOOKUP('Project Details by Yr - MASTER'!$B96,'Parking Lots &amp; Playgrounds'!$A$9:$N$33,G$2,0)),0,VLOOKUP('Project Details by Yr - MASTER'!$B96,'Parking Lots &amp; Playgrounds'!$A$9:$N$33,G$2,0))+IF(ISNA(VLOOKUP($B96,Vehicles!$B$9:$O$50,G$2,0)),0,VLOOKUP($B96,Vehicles!$B$9:$O$50,G$2,0))</f>
        <v>0</v>
      </c>
      <c r="H96" s="8">
        <f>IF(ISNA(VLOOKUP($B96,'Other Capital Needs'!$C$51:$P$95,H$2,0)),0,VLOOKUP($B96,'Other Capital Needs'!$C$51:$P$95,H$2,0))+IF(ISNA(VLOOKUP('Project Details by Yr - MASTER'!$B96,'Public Grounds'!$A$11:$N$49,H$2,0)),0,VLOOKUP('Project Details by Yr - MASTER'!$B96,'Public Grounds'!$A$11:$N$49,H$2,0))+IF(ISNA(VLOOKUP('Project Details by Yr - MASTER'!$B96,'Public Buildings'!$A$10:$N$96,H$2,0)),0,VLOOKUP('Project Details by Yr - MASTER'!$B96,'Public Buildings'!$A$10:$N$96,H$2,0))+IF(ISNA(VLOOKUP('Project Details by Yr - MASTER'!$B96,Bridges!$A$9:$N$24,H$2,0)),0,VLOOKUP('Project Details by Yr - MASTER'!$B96,Bridges!$A$9:$N$24,H$2,0))+IF(ISNA(VLOOKUP('Project Details by Yr - MASTER'!$B96,'Parking Lots &amp; Playgrounds'!$A$9:$N$33,H$2,0)),0,VLOOKUP('Project Details by Yr - MASTER'!$B96,'Parking Lots &amp; Playgrounds'!$A$9:$N$33,H$2,0))+IF(ISNA(VLOOKUP($B96,Vehicles!$B$9:$O$50,H$2,0)),0,VLOOKUP($B96,Vehicles!$B$9:$O$50,H$2,0))</f>
        <v>0</v>
      </c>
      <c r="I96" s="8">
        <f>IF(ISNA(VLOOKUP($B96,'Other Capital Needs'!$C$51:$P$95,I$2,0)),0,VLOOKUP($B96,'Other Capital Needs'!$C$51:$P$95,I$2,0))+IF(ISNA(VLOOKUP('Project Details by Yr - MASTER'!$B96,'Public Grounds'!$A$11:$N$49,I$2,0)),0,VLOOKUP('Project Details by Yr - MASTER'!$B96,'Public Grounds'!$A$11:$N$49,I$2,0))+IF(ISNA(VLOOKUP('Project Details by Yr - MASTER'!$B96,'Public Buildings'!$A$10:$N$96,I$2,0)),0,VLOOKUP('Project Details by Yr - MASTER'!$B96,'Public Buildings'!$A$10:$N$96,I$2,0))+IF(ISNA(VLOOKUP('Project Details by Yr - MASTER'!$B96,Bridges!$A$9:$N$24,I$2,0)),0,VLOOKUP('Project Details by Yr - MASTER'!$B96,Bridges!$A$9:$N$24,I$2,0))+IF(ISNA(VLOOKUP('Project Details by Yr - MASTER'!$B96,'Parking Lots &amp; Playgrounds'!$A$9:$N$33,I$2,0)),0,VLOOKUP('Project Details by Yr - MASTER'!$B96,'Parking Lots &amp; Playgrounds'!$A$9:$N$33,I$2,0))+IF(ISNA(VLOOKUP($B96,Vehicles!$B$9:$O$50,I$2,0)),0,VLOOKUP($B96,Vehicles!$B$9:$O$50,I$2,0))</f>
        <v>0</v>
      </c>
      <c r="J96" s="8">
        <f>IF(ISNA(VLOOKUP($B96,'Other Capital Needs'!$C$51:$P$95,J$2,0)),0,VLOOKUP($B96,'Other Capital Needs'!$C$51:$P$95,J$2,0))+IF(ISNA(VLOOKUP('Project Details by Yr - MASTER'!$B96,'Public Grounds'!$A$11:$N$49,J$2,0)),0,VLOOKUP('Project Details by Yr - MASTER'!$B96,'Public Grounds'!$A$11:$N$49,J$2,0))+IF(ISNA(VLOOKUP('Project Details by Yr - MASTER'!$B96,'Public Buildings'!$A$10:$N$96,J$2,0)),0,VLOOKUP('Project Details by Yr - MASTER'!$B96,'Public Buildings'!$A$10:$N$96,J$2,0))+IF(ISNA(VLOOKUP('Project Details by Yr - MASTER'!$B96,Bridges!$A$9:$N$24,J$2,0)),0,VLOOKUP('Project Details by Yr - MASTER'!$B96,Bridges!$A$9:$N$24,J$2,0))+IF(ISNA(VLOOKUP('Project Details by Yr - MASTER'!$B96,'Parking Lots &amp; Playgrounds'!$A$9:$N$33,J$2,0)),0,VLOOKUP('Project Details by Yr - MASTER'!$B96,'Parking Lots &amp; Playgrounds'!$A$9:$N$33,J$2,0))+IF(ISNA(VLOOKUP($B96,Vehicles!$B$9:$O$50,J$2,0)),0,VLOOKUP($B96,Vehicles!$B$9:$O$50,J$2,0))</f>
        <v>0</v>
      </c>
      <c r="K96" s="8">
        <f>IF(ISNA(VLOOKUP($B96,'Other Capital Needs'!$C$51:$P$95,K$2,0)),0,VLOOKUP($B96,'Other Capital Needs'!$C$51:$P$95,K$2,0))+IF(ISNA(VLOOKUP('Project Details by Yr - MASTER'!$B96,'Public Grounds'!$A$11:$N$49,K$2,0)),0,VLOOKUP('Project Details by Yr - MASTER'!$B96,'Public Grounds'!$A$11:$N$49,K$2,0))+IF(ISNA(VLOOKUP('Project Details by Yr - MASTER'!$B96,'Public Buildings'!$A$10:$N$96,K$2,0)),0,VLOOKUP('Project Details by Yr - MASTER'!$B96,'Public Buildings'!$A$10:$N$96,K$2,0))+IF(ISNA(VLOOKUP('Project Details by Yr - MASTER'!$B96,Bridges!$A$9:$N$24,K$2,0)),0,VLOOKUP('Project Details by Yr - MASTER'!$B96,Bridges!$A$9:$N$24,K$2,0))+IF(ISNA(VLOOKUP('Project Details by Yr - MASTER'!$B96,'Parking Lots &amp; Playgrounds'!$A$9:$N$33,K$2,0)),0,VLOOKUP('Project Details by Yr - MASTER'!$B96,'Parking Lots &amp; Playgrounds'!$A$9:$N$33,K$2,0))+IF(ISNA(VLOOKUP($B96,Vehicles!$B$9:$O$50,K$2,0)),0,VLOOKUP($B96,Vehicles!$B$9:$O$50,K$2,0))</f>
        <v>0</v>
      </c>
    </row>
    <row r="97" spans="2:11" x14ac:dyDescent="0.25">
      <c r="B97" s="26" t="s">
        <v>223</v>
      </c>
      <c r="C97" s="26" t="s">
        <v>47</v>
      </c>
      <c r="D97" s="26" t="s">
        <v>271</v>
      </c>
      <c r="E97" s="31" t="s">
        <v>16</v>
      </c>
      <c r="F97" s="26"/>
      <c r="G97" s="8">
        <f>IF(ISNA(VLOOKUP($B97,'Other Capital Needs'!$C$51:$P$95,G$2,0)),0,VLOOKUP($B97,'Other Capital Needs'!$C$51:$P$95,G$2,0))+IF(ISNA(VLOOKUP('Project Details by Yr - MASTER'!$B97,'Public Grounds'!$A$11:$N$49,G$2,0)),0,VLOOKUP('Project Details by Yr - MASTER'!$B97,'Public Grounds'!$A$11:$N$49,G$2,0))+IF(ISNA(VLOOKUP('Project Details by Yr - MASTER'!$B97,'Public Buildings'!$A$10:$N$96,G$2,0)),0,VLOOKUP('Project Details by Yr - MASTER'!$B97,'Public Buildings'!$A$10:$N$96,G$2,0))+IF(ISNA(VLOOKUP('Project Details by Yr - MASTER'!$B97,Bridges!$A$9:$N$24,G$2,0)),0,VLOOKUP('Project Details by Yr - MASTER'!$B97,Bridges!$A$9:$N$24,G$2,0))+IF(ISNA(VLOOKUP('Project Details by Yr - MASTER'!$B97,'Parking Lots &amp; Playgrounds'!$A$9:$N$33,G$2,0)),0,VLOOKUP('Project Details by Yr - MASTER'!$B97,'Parking Lots &amp; Playgrounds'!$A$9:$N$33,G$2,0))+IF(ISNA(VLOOKUP($B97,Vehicles!$B$9:$O$50,G$2,0)),0,VLOOKUP($B97,Vehicles!$B$9:$O$50,G$2,0))</f>
        <v>0</v>
      </c>
      <c r="H97" s="8">
        <f>IF(ISNA(VLOOKUP($B97,'Other Capital Needs'!$C$51:$P$95,H$2,0)),0,VLOOKUP($B97,'Other Capital Needs'!$C$51:$P$95,H$2,0))+IF(ISNA(VLOOKUP('Project Details by Yr - MASTER'!$B97,'Public Grounds'!$A$11:$N$49,H$2,0)),0,VLOOKUP('Project Details by Yr - MASTER'!$B97,'Public Grounds'!$A$11:$N$49,H$2,0))+IF(ISNA(VLOOKUP('Project Details by Yr - MASTER'!$B97,'Public Buildings'!$A$10:$N$96,H$2,0)),0,VLOOKUP('Project Details by Yr - MASTER'!$B97,'Public Buildings'!$A$10:$N$96,H$2,0))+IF(ISNA(VLOOKUP('Project Details by Yr - MASTER'!$B97,Bridges!$A$9:$N$24,H$2,0)),0,VLOOKUP('Project Details by Yr - MASTER'!$B97,Bridges!$A$9:$N$24,H$2,0))+IF(ISNA(VLOOKUP('Project Details by Yr - MASTER'!$B97,'Parking Lots &amp; Playgrounds'!$A$9:$N$33,H$2,0)),0,VLOOKUP('Project Details by Yr - MASTER'!$B97,'Parking Lots &amp; Playgrounds'!$A$9:$N$33,H$2,0))+IF(ISNA(VLOOKUP($B97,Vehicles!$B$9:$O$50,H$2,0)),0,VLOOKUP($B97,Vehicles!$B$9:$O$50,H$2,0))</f>
        <v>0</v>
      </c>
      <c r="I97" s="8">
        <f>IF(ISNA(VLOOKUP($B97,'Other Capital Needs'!$C$51:$P$95,I$2,0)),0,VLOOKUP($B97,'Other Capital Needs'!$C$51:$P$95,I$2,0))+IF(ISNA(VLOOKUP('Project Details by Yr - MASTER'!$B97,'Public Grounds'!$A$11:$N$49,I$2,0)),0,VLOOKUP('Project Details by Yr - MASTER'!$B97,'Public Grounds'!$A$11:$N$49,I$2,0))+IF(ISNA(VLOOKUP('Project Details by Yr - MASTER'!$B97,'Public Buildings'!$A$10:$N$96,I$2,0)),0,VLOOKUP('Project Details by Yr - MASTER'!$B97,'Public Buildings'!$A$10:$N$96,I$2,0))+IF(ISNA(VLOOKUP('Project Details by Yr - MASTER'!$B97,Bridges!$A$9:$N$24,I$2,0)),0,VLOOKUP('Project Details by Yr - MASTER'!$B97,Bridges!$A$9:$N$24,I$2,0))+IF(ISNA(VLOOKUP('Project Details by Yr - MASTER'!$B97,'Parking Lots &amp; Playgrounds'!$A$9:$N$33,I$2,0)),0,VLOOKUP('Project Details by Yr - MASTER'!$B97,'Parking Lots &amp; Playgrounds'!$A$9:$N$33,I$2,0))+IF(ISNA(VLOOKUP($B97,Vehicles!$B$9:$O$50,I$2,0)),0,VLOOKUP($B97,Vehicles!$B$9:$O$50,I$2,0))</f>
        <v>0</v>
      </c>
      <c r="J97" s="8">
        <f>IF(ISNA(VLOOKUP($B97,'Other Capital Needs'!$C$51:$P$95,J$2,0)),0,VLOOKUP($B97,'Other Capital Needs'!$C$51:$P$95,J$2,0))+IF(ISNA(VLOOKUP('Project Details by Yr - MASTER'!$B97,'Public Grounds'!$A$11:$N$49,J$2,0)),0,VLOOKUP('Project Details by Yr - MASTER'!$B97,'Public Grounds'!$A$11:$N$49,J$2,0))+IF(ISNA(VLOOKUP('Project Details by Yr - MASTER'!$B97,'Public Buildings'!$A$10:$N$96,J$2,0)),0,VLOOKUP('Project Details by Yr - MASTER'!$B97,'Public Buildings'!$A$10:$N$96,J$2,0))+IF(ISNA(VLOOKUP('Project Details by Yr - MASTER'!$B97,Bridges!$A$9:$N$24,J$2,0)),0,VLOOKUP('Project Details by Yr - MASTER'!$B97,Bridges!$A$9:$N$24,J$2,0))+IF(ISNA(VLOOKUP('Project Details by Yr - MASTER'!$B97,'Parking Lots &amp; Playgrounds'!$A$9:$N$33,J$2,0)),0,VLOOKUP('Project Details by Yr - MASTER'!$B97,'Parking Lots &amp; Playgrounds'!$A$9:$N$33,J$2,0))+IF(ISNA(VLOOKUP($B97,Vehicles!$B$9:$O$50,J$2,0)),0,VLOOKUP($B97,Vehicles!$B$9:$O$50,J$2,0))</f>
        <v>0</v>
      </c>
      <c r="K97" s="8">
        <f>IF(ISNA(VLOOKUP($B97,'Other Capital Needs'!$C$51:$P$95,K$2,0)),0,VLOOKUP($B97,'Other Capital Needs'!$C$51:$P$95,K$2,0))+IF(ISNA(VLOOKUP('Project Details by Yr - MASTER'!$B97,'Public Grounds'!$A$11:$N$49,K$2,0)),0,VLOOKUP('Project Details by Yr - MASTER'!$B97,'Public Grounds'!$A$11:$N$49,K$2,0))+IF(ISNA(VLOOKUP('Project Details by Yr - MASTER'!$B97,'Public Buildings'!$A$10:$N$96,K$2,0)),0,VLOOKUP('Project Details by Yr - MASTER'!$B97,'Public Buildings'!$A$10:$N$96,K$2,0))+IF(ISNA(VLOOKUP('Project Details by Yr - MASTER'!$B97,Bridges!$A$9:$N$24,K$2,0)),0,VLOOKUP('Project Details by Yr - MASTER'!$B97,Bridges!$A$9:$N$24,K$2,0))+IF(ISNA(VLOOKUP('Project Details by Yr - MASTER'!$B97,'Parking Lots &amp; Playgrounds'!$A$9:$N$33,K$2,0)),0,VLOOKUP('Project Details by Yr - MASTER'!$B97,'Parking Lots &amp; Playgrounds'!$A$9:$N$33,K$2,0))+IF(ISNA(VLOOKUP($B97,Vehicles!$B$9:$O$50,K$2,0)),0,VLOOKUP($B97,Vehicles!$B$9:$O$50,K$2,0))</f>
        <v>0</v>
      </c>
    </row>
    <row r="98" spans="2:11" x14ac:dyDescent="0.25">
      <c r="B98" s="34" t="s">
        <v>226</v>
      </c>
      <c r="C98" s="34"/>
      <c r="D98" s="34"/>
      <c r="E98" s="31"/>
      <c r="F98" s="26"/>
      <c r="G98" s="8">
        <f>IF(ISNA(VLOOKUP($B98,'Other Capital Needs'!$C$51:$P$95,G$2,0)),0,VLOOKUP($B98,'Other Capital Needs'!$C$51:$P$95,G$2,0))+IF(ISNA(VLOOKUP('Project Details by Yr - MASTER'!$B98,'Public Grounds'!$A$11:$N$49,G$2,0)),0,VLOOKUP('Project Details by Yr - MASTER'!$B98,'Public Grounds'!$A$11:$N$49,G$2,0))+IF(ISNA(VLOOKUP('Project Details by Yr - MASTER'!$B98,'Public Buildings'!$A$10:$N$96,G$2,0)),0,VLOOKUP('Project Details by Yr - MASTER'!$B98,'Public Buildings'!$A$10:$N$96,G$2,0))+IF(ISNA(VLOOKUP('Project Details by Yr - MASTER'!$B98,Bridges!$A$9:$N$24,G$2,0)),0,VLOOKUP('Project Details by Yr - MASTER'!$B98,Bridges!$A$9:$N$24,G$2,0))+IF(ISNA(VLOOKUP('Project Details by Yr - MASTER'!$B98,'Parking Lots &amp; Playgrounds'!$A$9:$N$33,G$2,0)),0,VLOOKUP('Project Details by Yr - MASTER'!$B98,'Parking Lots &amp; Playgrounds'!$A$9:$N$33,G$2,0))+IF(ISNA(VLOOKUP($B98,Vehicles!$B$9:$O$50,G$2,0)),0,VLOOKUP($B98,Vehicles!$B$9:$O$50,G$2,0))</f>
        <v>0</v>
      </c>
      <c r="H98" s="8">
        <f>IF(ISNA(VLOOKUP($B98,'Other Capital Needs'!$C$51:$P$95,H$2,0)),0,VLOOKUP($B98,'Other Capital Needs'!$C$51:$P$95,H$2,0))+IF(ISNA(VLOOKUP('Project Details by Yr - MASTER'!$B98,'Public Grounds'!$A$11:$N$49,H$2,0)),0,VLOOKUP('Project Details by Yr - MASTER'!$B98,'Public Grounds'!$A$11:$N$49,H$2,0))+IF(ISNA(VLOOKUP('Project Details by Yr - MASTER'!$B98,'Public Buildings'!$A$10:$N$96,H$2,0)),0,VLOOKUP('Project Details by Yr - MASTER'!$B98,'Public Buildings'!$A$10:$N$96,H$2,0))+IF(ISNA(VLOOKUP('Project Details by Yr - MASTER'!$B98,Bridges!$A$9:$N$24,H$2,0)),0,VLOOKUP('Project Details by Yr - MASTER'!$B98,Bridges!$A$9:$N$24,H$2,0))+IF(ISNA(VLOOKUP('Project Details by Yr - MASTER'!$B98,'Parking Lots &amp; Playgrounds'!$A$9:$N$33,H$2,0)),0,VLOOKUP('Project Details by Yr - MASTER'!$B98,'Parking Lots &amp; Playgrounds'!$A$9:$N$33,H$2,0))+IF(ISNA(VLOOKUP($B98,Vehicles!$B$9:$O$50,H$2,0)),0,VLOOKUP($B98,Vehicles!$B$9:$O$50,H$2,0))</f>
        <v>0</v>
      </c>
      <c r="I98" s="8">
        <f>IF(ISNA(VLOOKUP($B98,'Other Capital Needs'!$C$51:$P$95,I$2,0)),0,VLOOKUP($B98,'Other Capital Needs'!$C$51:$P$95,I$2,0))+IF(ISNA(VLOOKUP('Project Details by Yr - MASTER'!$B98,'Public Grounds'!$A$11:$N$49,I$2,0)),0,VLOOKUP('Project Details by Yr - MASTER'!$B98,'Public Grounds'!$A$11:$N$49,I$2,0))+IF(ISNA(VLOOKUP('Project Details by Yr - MASTER'!$B98,'Public Buildings'!$A$10:$N$96,I$2,0)),0,VLOOKUP('Project Details by Yr - MASTER'!$B98,'Public Buildings'!$A$10:$N$96,I$2,0))+IF(ISNA(VLOOKUP('Project Details by Yr - MASTER'!$B98,Bridges!$A$9:$N$24,I$2,0)),0,VLOOKUP('Project Details by Yr - MASTER'!$B98,Bridges!$A$9:$N$24,I$2,0))+IF(ISNA(VLOOKUP('Project Details by Yr - MASTER'!$B98,'Parking Lots &amp; Playgrounds'!$A$9:$N$33,I$2,0)),0,VLOOKUP('Project Details by Yr - MASTER'!$B98,'Parking Lots &amp; Playgrounds'!$A$9:$N$33,I$2,0))+IF(ISNA(VLOOKUP($B98,Vehicles!$B$9:$O$50,I$2,0)),0,VLOOKUP($B98,Vehicles!$B$9:$O$50,I$2,0))</f>
        <v>0</v>
      </c>
      <c r="J98" s="8">
        <f>IF(ISNA(VLOOKUP($B98,'Other Capital Needs'!$C$51:$P$95,J$2,0)),0,VLOOKUP($B98,'Other Capital Needs'!$C$51:$P$95,J$2,0))+IF(ISNA(VLOOKUP('Project Details by Yr - MASTER'!$B98,'Public Grounds'!$A$11:$N$49,J$2,0)),0,VLOOKUP('Project Details by Yr - MASTER'!$B98,'Public Grounds'!$A$11:$N$49,J$2,0))+IF(ISNA(VLOOKUP('Project Details by Yr - MASTER'!$B98,'Public Buildings'!$A$10:$N$96,J$2,0)),0,VLOOKUP('Project Details by Yr - MASTER'!$B98,'Public Buildings'!$A$10:$N$96,J$2,0))+IF(ISNA(VLOOKUP('Project Details by Yr - MASTER'!$B98,Bridges!$A$9:$N$24,J$2,0)),0,VLOOKUP('Project Details by Yr - MASTER'!$B98,Bridges!$A$9:$N$24,J$2,0))+IF(ISNA(VLOOKUP('Project Details by Yr - MASTER'!$B98,'Parking Lots &amp; Playgrounds'!$A$9:$N$33,J$2,0)),0,VLOOKUP('Project Details by Yr - MASTER'!$B98,'Parking Lots &amp; Playgrounds'!$A$9:$N$33,J$2,0))+IF(ISNA(VLOOKUP($B98,Vehicles!$B$9:$O$50,J$2,0)),0,VLOOKUP($B98,Vehicles!$B$9:$O$50,J$2,0))</f>
        <v>0</v>
      </c>
      <c r="K98" s="8">
        <f>IF(ISNA(VLOOKUP($B98,'Other Capital Needs'!$C$51:$P$95,K$2,0)),0,VLOOKUP($B98,'Other Capital Needs'!$C$51:$P$95,K$2,0))+IF(ISNA(VLOOKUP('Project Details by Yr - MASTER'!$B98,'Public Grounds'!$A$11:$N$49,K$2,0)),0,VLOOKUP('Project Details by Yr - MASTER'!$B98,'Public Grounds'!$A$11:$N$49,K$2,0))+IF(ISNA(VLOOKUP('Project Details by Yr - MASTER'!$B98,'Public Buildings'!$A$10:$N$96,K$2,0)),0,VLOOKUP('Project Details by Yr - MASTER'!$B98,'Public Buildings'!$A$10:$N$96,K$2,0))+IF(ISNA(VLOOKUP('Project Details by Yr - MASTER'!$B98,Bridges!$A$9:$N$24,K$2,0)),0,VLOOKUP('Project Details by Yr - MASTER'!$B98,Bridges!$A$9:$N$24,K$2,0))+IF(ISNA(VLOOKUP('Project Details by Yr - MASTER'!$B98,'Parking Lots &amp; Playgrounds'!$A$9:$N$33,K$2,0)),0,VLOOKUP('Project Details by Yr - MASTER'!$B98,'Parking Lots &amp; Playgrounds'!$A$9:$N$33,K$2,0))+IF(ISNA(VLOOKUP($B98,Vehicles!$B$9:$O$50,K$2,0)),0,VLOOKUP($B98,Vehicles!$B$9:$O$50,K$2,0))</f>
        <v>0</v>
      </c>
    </row>
    <row r="99" spans="2:11" x14ac:dyDescent="0.25">
      <c r="B99" s="24" t="s">
        <v>227</v>
      </c>
      <c r="C99" t="s">
        <v>47</v>
      </c>
      <c r="D99" t="s">
        <v>271</v>
      </c>
      <c r="E99" s="1" t="s">
        <v>16</v>
      </c>
      <c r="G99" s="8">
        <f>IF(ISNA(VLOOKUP($B99,'Other Capital Needs'!$C$51:$P$95,G$2,0)),0,VLOOKUP($B99,'Other Capital Needs'!$C$51:$P$95,G$2,0))+IF(ISNA(VLOOKUP('Project Details by Yr - MASTER'!$B99,'Public Grounds'!$A$11:$N$49,G$2,0)),0,VLOOKUP('Project Details by Yr - MASTER'!$B99,'Public Grounds'!$A$11:$N$49,G$2,0))+IF(ISNA(VLOOKUP('Project Details by Yr - MASTER'!$B99,'Public Buildings'!$A$10:$N$96,G$2,0)),0,VLOOKUP('Project Details by Yr - MASTER'!$B99,'Public Buildings'!$A$10:$N$96,G$2,0))+IF(ISNA(VLOOKUP('Project Details by Yr - MASTER'!$B99,Bridges!$A$9:$N$24,G$2,0)),0,VLOOKUP('Project Details by Yr - MASTER'!$B99,Bridges!$A$9:$N$24,G$2,0))+IF(ISNA(VLOOKUP('Project Details by Yr - MASTER'!$B99,'Parking Lots &amp; Playgrounds'!$A$9:$N$33,G$2,0)),0,VLOOKUP('Project Details by Yr - MASTER'!$B99,'Parking Lots &amp; Playgrounds'!$A$9:$N$33,G$2,0))+IF(ISNA(VLOOKUP($B99,Vehicles!$B$9:$O$50,G$2,0)),0,VLOOKUP($B99,Vehicles!$B$9:$O$50,G$2,0))</f>
        <v>150000</v>
      </c>
      <c r="H99" s="8">
        <f>IF(ISNA(VLOOKUP($B99,'Other Capital Needs'!$C$51:$P$95,H$2,0)),0,VLOOKUP($B99,'Other Capital Needs'!$C$51:$P$95,H$2,0))+IF(ISNA(VLOOKUP('Project Details by Yr - MASTER'!$B99,'Public Grounds'!$A$11:$N$49,H$2,0)),0,VLOOKUP('Project Details by Yr - MASTER'!$B99,'Public Grounds'!$A$11:$N$49,H$2,0))+IF(ISNA(VLOOKUP('Project Details by Yr - MASTER'!$B99,'Public Buildings'!$A$10:$N$96,H$2,0)),0,VLOOKUP('Project Details by Yr - MASTER'!$B99,'Public Buildings'!$A$10:$N$96,H$2,0))+IF(ISNA(VLOOKUP('Project Details by Yr - MASTER'!$B99,Bridges!$A$9:$N$24,H$2,0)),0,VLOOKUP('Project Details by Yr - MASTER'!$B99,Bridges!$A$9:$N$24,H$2,0))+IF(ISNA(VLOOKUP('Project Details by Yr - MASTER'!$B99,'Parking Lots &amp; Playgrounds'!$A$9:$N$33,H$2,0)),0,VLOOKUP('Project Details by Yr - MASTER'!$B99,'Parking Lots &amp; Playgrounds'!$A$9:$N$33,H$2,0))+IF(ISNA(VLOOKUP($B99,Vehicles!$B$9:$O$50,H$2,0)),0,VLOOKUP($B99,Vehicles!$B$9:$O$50,H$2,0))</f>
        <v>0</v>
      </c>
      <c r="I99" s="8">
        <f>IF(ISNA(VLOOKUP($B99,'Other Capital Needs'!$C$51:$P$95,I$2,0)),0,VLOOKUP($B99,'Other Capital Needs'!$C$51:$P$95,I$2,0))+IF(ISNA(VLOOKUP('Project Details by Yr - MASTER'!$B99,'Public Grounds'!$A$11:$N$49,I$2,0)),0,VLOOKUP('Project Details by Yr - MASTER'!$B99,'Public Grounds'!$A$11:$N$49,I$2,0))+IF(ISNA(VLOOKUP('Project Details by Yr - MASTER'!$B99,'Public Buildings'!$A$10:$N$96,I$2,0)),0,VLOOKUP('Project Details by Yr - MASTER'!$B99,'Public Buildings'!$A$10:$N$96,I$2,0))+IF(ISNA(VLOOKUP('Project Details by Yr - MASTER'!$B99,Bridges!$A$9:$N$24,I$2,0)),0,VLOOKUP('Project Details by Yr - MASTER'!$B99,Bridges!$A$9:$N$24,I$2,0))+IF(ISNA(VLOOKUP('Project Details by Yr - MASTER'!$B99,'Parking Lots &amp; Playgrounds'!$A$9:$N$33,I$2,0)),0,VLOOKUP('Project Details by Yr - MASTER'!$B99,'Parking Lots &amp; Playgrounds'!$A$9:$N$33,I$2,0))+IF(ISNA(VLOOKUP($B99,Vehicles!$B$9:$O$50,I$2,0)),0,VLOOKUP($B99,Vehicles!$B$9:$O$50,I$2,0))</f>
        <v>0</v>
      </c>
      <c r="J99" s="8">
        <f>IF(ISNA(VLOOKUP($B99,'Other Capital Needs'!$C$51:$P$95,J$2,0)),0,VLOOKUP($B99,'Other Capital Needs'!$C$51:$P$95,J$2,0))+IF(ISNA(VLOOKUP('Project Details by Yr - MASTER'!$B99,'Public Grounds'!$A$11:$N$49,J$2,0)),0,VLOOKUP('Project Details by Yr - MASTER'!$B99,'Public Grounds'!$A$11:$N$49,J$2,0))+IF(ISNA(VLOOKUP('Project Details by Yr - MASTER'!$B99,'Public Buildings'!$A$10:$N$96,J$2,0)),0,VLOOKUP('Project Details by Yr - MASTER'!$B99,'Public Buildings'!$A$10:$N$96,J$2,0))+IF(ISNA(VLOOKUP('Project Details by Yr - MASTER'!$B99,Bridges!$A$9:$N$24,J$2,0)),0,VLOOKUP('Project Details by Yr - MASTER'!$B99,Bridges!$A$9:$N$24,J$2,0))+IF(ISNA(VLOOKUP('Project Details by Yr - MASTER'!$B99,'Parking Lots &amp; Playgrounds'!$A$9:$N$33,J$2,0)),0,VLOOKUP('Project Details by Yr - MASTER'!$B99,'Parking Lots &amp; Playgrounds'!$A$9:$N$33,J$2,0))+IF(ISNA(VLOOKUP($B99,Vehicles!$B$9:$O$50,J$2,0)),0,VLOOKUP($B99,Vehicles!$B$9:$O$50,J$2,0))</f>
        <v>0</v>
      </c>
      <c r="K99" s="8">
        <f>IF(ISNA(VLOOKUP($B99,'Other Capital Needs'!$C$51:$P$95,K$2,0)),0,VLOOKUP($B99,'Other Capital Needs'!$C$51:$P$95,K$2,0))+IF(ISNA(VLOOKUP('Project Details by Yr - MASTER'!$B99,'Public Grounds'!$A$11:$N$49,K$2,0)),0,VLOOKUP('Project Details by Yr - MASTER'!$B99,'Public Grounds'!$A$11:$N$49,K$2,0))+IF(ISNA(VLOOKUP('Project Details by Yr - MASTER'!$B99,'Public Buildings'!$A$10:$N$96,K$2,0)),0,VLOOKUP('Project Details by Yr - MASTER'!$B99,'Public Buildings'!$A$10:$N$96,K$2,0))+IF(ISNA(VLOOKUP('Project Details by Yr - MASTER'!$B99,Bridges!$A$9:$N$24,K$2,0)),0,VLOOKUP('Project Details by Yr - MASTER'!$B99,Bridges!$A$9:$N$24,K$2,0))+IF(ISNA(VLOOKUP('Project Details by Yr - MASTER'!$B99,'Parking Lots &amp; Playgrounds'!$A$9:$N$33,K$2,0)),0,VLOOKUP('Project Details by Yr - MASTER'!$B99,'Parking Lots &amp; Playgrounds'!$A$9:$N$33,K$2,0))+IF(ISNA(VLOOKUP($B99,Vehicles!$B$9:$O$50,K$2,0)),0,VLOOKUP($B99,Vehicles!$B$9:$O$50,K$2,0))</f>
        <v>0</v>
      </c>
    </row>
    <row r="100" spans="2:11" x14ac:dyDescent="0.25">
      <c r="B100" s="24" t="s">
        <v>232</v>
      </c>
      <c r="C100" t="s">
        <v>47</v>
      </c>
      <c r="D100" t="s">
        <v>271</v>
      </c>
      <c r="E100" s="1" t="s">
        <v>16</v>
      </c>
      <c r="G100" s="8">
        <f>IF(ISNA(VLOOKUP($B100,'Other Capital Needs'!$C$51:$P$95,G$2,0)),0,VLOOKUP($B100,'Other Capital Needs'!$C$51:$P$95,G$2,0))+IF(ISNA(VLOOKUP('Project Details by Yr - MASTER'!$B100,'Public Grounds'!$A$11:$N$49,G$2,0)),0,VLOOKUP('Project Details by Yr - MASTER'!$B100,'Public Grounds'!$A$11:$N$49,G$2,0))+IF(ISNA(VLOOKUP('Project Details by Yr - MASTER'!$B100,'Public Buildings'!$A$10:$N$96,G$2,0)),0,VLOOKUP('Project Details by Yr - MASTER'!$B100,'Public Buildings'!$A$10:$N$96,G$2,0))+IF(ISNA(VLOOKUP('Project Details by Yr - MASTER'!$B100,Bridges!$A$9:$N$24,G$2,0)),0,VLOOKUP('Project Details by Yr - MASTER'!$B100,Bridges!$A$9:$N$24,G$2,0))+IF(ISNA(VLOOKUP('Project Details by Yr - MASTER'!$B100,'Parking Lots &amp; Playgrounds'!$A$9:$N$33,G$2,0)),0,VLOOKUP('Project Details by Yr - MASTER'!$B100,'Parking Lots &amp; Playgrounds'!$A$9:$N$33,G$2,0))+IF(ISNA(VLOOKUP($B100,Vehicles!$B$9:$O$50,G$2,0)),0,VLOOKUP($B100,Vehicles!$B$9:$O$50,G$2,0))</f>
        <v>0</v>
      </c>
      <c r="H100" s="8">
        <f>IF(ISNA(VLOOKUP($B100,'Other Capital Needs'!$C$51:$P$95,H$2,0)),0,VLOOKUP($B100,'Other Capital Needs'!$C$51:$P$95,H$2,0))+IF(ISNA(VLOOKUP('Project Details by Yr - MASTER'!$B100,'Public Grounds'!$A$11:$N$49,H$2,0)),0,VLOOKUP('Project Details by Yr - MASTER'!$B100,'Public Grounds'!$A$11:$N$49,H$2,0))+IF(ISNA(VLOOKUP('Project Details by Yr - MASTER'!$B100,'Public Buildings'!$A$10:$N$96,H$2,0)),0,VLOOKUP('Project Details by Yr - MASTER'!$B100,'Public Buildings'!$A$10:$N$96,H$2,0))+IF(ISNA(VLOOKUP('Project Details by Yr - MASTER'!$B100,Bridges!$A$9:$N$24,H$2,0)),0,VLOOKUP('Project Details by Yr - MASTER'!$B100,Bridges!$A$9:$N$24,H$2,0))+IF(ISNA(VLOOKUP('Project Details by Yr - MASTER'!$B100,'Parking Lots &amp; Playgrounds'!$A$9:$N$33,H$2,0)),0,VLOOKUP('Project Details by Yr - MASTER'!$B100,'Parking Lots &amp; Playgrounds'!$A$9:$N$33,H$2,0))+IF(ISNA(VLOOKUP($B100,Vehicles!$B$9:$O$50,H$2,0)),0,VLOOKUP($B100,Vehicles!$B$9:$O$50,H$2,0))</f>
        <v>95000</v>
      </c>
      <c r="I100" s="8">
        <f>IF(ISNA(VLOOKUP($B100,'Other Capital Needs'!$C$51:$P$95,I$2,0)),0,VLOOKUP($B100,'Other Capital Needs'!$C$51:$P$95,I$2,0))+IF(ISNA(VLOOKUP('Project Details by Yr - MASTER'!$B100,'Public Grounds'!$A$11:$N$49,I$2,0)),0,VLOOKUP('Project Details by Yr - MASTER'!$B100,'Public Grounds'!$A$11:$N$49,I$2,0))+IF(ISNA(VLOOKUP('Project Details by Yr - MASTER'!$B100,'Public Buildings'!$A$10:$N$96,I$2,0)),0,VLOOKUP('Project Details by Yr - MASTER'!$B100,'Public Buildings'!$A$10:$N$96,I$2,0))+IF(ISNA(VLOOKUP('Project Details by Yr - MASTER'!$B100,Bridges!$A$9:$N$24,I$2,0)),0,VLOOKUP('Project Details by Yr - MASTER'!$B100,Bridges!$A$9:$N$24,I$2,0))+IF(ISNA(VLOOKUP('Project Details by Yr - MASTER'!$B100,'Parking Lots &amp; Playgrounds'!$A$9:$N$33,I$2,0)),0,VLOOKUP('Project Details by Yr - MASTER'!$B100,'Parking Lots &amp; Playgrounds'!$A$9:$N$33,I$2,0))+IF(ISNA(VLOOKUP($B100,Vehicles!$B$9:$O$50,I$2,0)),0,VLOOKUP($B100,Vehicles!$B$9:$O$50,I$2,0))</f>
        <v>0</v>
      </c>
      <c r="J100" s="8">
        <f>IF(ISNA(VLOOKUP($B100,'Other Capital Needs'!$C$51:$P$95,J$2,0)),0,VLOOKUP($B100,'Other Capital Needs'!$C$51:$P$95,J$2,0))+IF(ISNA(VLOOKUP('Project Details by Yr - MASTER'!$B100,'Public Grounds'!$A$11:$N$49,J$2,0)),0,VLOOKUP('Project Details by Yr - MASTER'!$B100,'Public Grounds'!$A$11:$N$49,J$2,0))+IF(ISNA(VLOOKUP('Project Details by Yr - MASTER'!$B100,'Public Buildings'!$A$10:$N$96,J$2,0)),0,VLOOKUP('Project Details by Yr - MASTER'!$B100,'Public Buildings'!$A$10:$N$96,J$2,0))+IF(ISNA(VLOOKUP('Project Details by Yr - MASTER'!$B100,Bridges!$A$9:$N$24,J$2,0)),0,VLOOKUP('Project Details by Yr - MASTER'!$B100,Bridges!$A$9:$N$24,J$2,0))+IF(ISNA(VLOOKUP('Project Details by Yr - MASTER'!$B100,'Parking Lots &amp; Playgrounds'!$A$9:$N$33,J$2,0)),0,VLOOKUP('Project Details by Yr - MASTER'!$B100,'Parking Lots &amp; Playgrounds'!$A$9:$N$33,J$2,0))+IF(ISNA(VLOOKUP($B100,Vehicles!$B$9:$O$50,J$2,0)),0,VLOOKUP($B100,Vehicles!$B$9:$O$50,J$2,0))</f>
        <v>0</v>
      </c>
      <c r="K100" s="8">
        <f>IF(ISNA(VLOOKUP($B100,'Other Capital Needs'!$C$51:$P$95,K$2,0)),0,VLOOKUP($B100,'Other Capital Needs'!$C$51:$P$95,K$2,0))+IF(ISNA(VLOOKUP('Project Details by Yr - MASTER'!$B100,'Public Grounds'!$A$11:$N$49,K$2,0)),0,VLOOKUP('Project Details by Yr - MASTER'!$B100,'Public Grounds'!$A$11:$N$49,K$2,0))+IF(ISNA(VLOOKUP('Project Details by Yr - MASTER'!$B100,'Public Buildings'!$A$10:$N$96,K$2,0)),0,VLOOKUP('Project Details by Yr - MASTER'!$B100,'Public Buildings'!$A$10:$N$96,K$2,0))+IF(ISNA(VLOOKUP('Project Details by Yr - MASTER'!$B100,Bridges!$A$9:$N$24,K$2,0)),0,VLOOKUP('Project Details by Yr - MASTER'!$B100,Bridges!$A$9:$N$24,K$2,0))+IF(ISNA(VLOOKUP('Project Details by Yr - MASTER'!$B100,'Parking Lots &amp; Playgrounds'!$A$9:$N$33,K$2,0)),0,VLOOKUP('Project Details by Yr - MASTER'!$B100,'Parking Lots &amp; Playgrounds'!$A$9:$N$33,K$2,0))+IF(ISNA(VLOOKUP($B100,Vehicles!$B$9:$O$50,K$2,0)),0,VLOOKUP($B100,Vehicles!$B$9:$O$50,K$2,0))</f>
        <v>0</v>
      </c>
    </row>
    <row r="101" spans="2:11" x14ac:dyDescent="0.25">
      <c r="B101" s="24" t="s">
        <v>228</v>
      </c>
      <c r="C101" t="s">
        <v>47</v>
      </c>
      <c r="D101" t="s">
        <v>271</v>
      </c>
      <c r="E101" s="1"/>
      <c r="G101" s="8">
        <f>IF(ISNA(VLOOKUP($B101,'Other Capital Needs'!$C$51:$P$95,G$2,0)),0,VLOOKUP($B101,'Other Capital Needs'!$C$51:$P$95,G$2,0))+IF(ISNA(VLOOKUP('Project Details by Yr - MASTER'!$B101,'Public Grounds'!$A$11:$N$49,G$2,0)),0,VLOOKUP('Project Details by Yr - MASTER'!$B101,'Public Grounds'!$A$11:$N$49,G$2,0))+IF(ISNA(VLOOKUP('Project Details by Yr - MASTER'!$B101,'Public Buildings'!$A$10:$N$96,G$2,0)),0,VLOOKUP('Project Details by Yr - MASTER'!$B101,'Public Buildings'!$A$10:$N$96,G$2,0))+IF(ISNA(VLOOKUP('Project Details by Yr - MASTER'!$B101,Bridges!$A$9:$N$24,G$2,0)),0,VLOOKUP('Project Details by Yr - MASTER'!$B101,Bridges!$A$9:$N$24,G$2,0))+IF(ISNA(VLOOKUP('Project Details by Yr - MASTER'!$B101,'Parking Lots &amp; Playgrounds'!$A$9:$N$33,G$2,0)),0,VLOOKUP('Project Details by Yr - MASTER'!$B101,'Parking Lots &amp; Playgrounds'!$A$9:$N$33,G$2,0))+IF(ISNA(VLOOKUP($B101,Vehicles!$B$9:$O$50,G$2,0)),0,VLOOKUP($B101,Vehicles!$B$9:$O$50,G$2,0))</f>
        <v>0</v>
      </c>
      <c r="H101" s="8">
        <f>IF(ISNA(VLOOKUP($B101,'Other Capital Needs'!$C$51:$P$95,H$2,0)),0,VLOOKUP($B101,'Other Capital Needs'!$C$51:$P$95,H$2,0))+IF(ISNA(VLOOKUP('Project Details by Yr - MASTER'!$B101,'Public Grounds'!$A$11:$N$49,H$2,0)),0,VLOOKUP('Project Details by Yr - MASTER'!$B101,'Public Grounds'!$A$11:$N$49,H$2,0))+IF(ISNA(VLOOKUP('Project Details by Yr - MASTER'!$B101,'Public Buildings'!$A$10:$N$96,H$2,0)),0,VLOOKUP('Project Details by Yr - MASTER'!$B101,'Public Buildings'!$A$10:$N$96,H$2,0))+IF(ISNA(VLOOKUP('Project Details by Yr - MASTER'!$B101,Bridges!$A$9:$N$24,H$2,0)),0,VLOOKUP('Project Details by Yr - MASTER'!$B101,Bridges!$A$9:$N$24,H$2,0))+IF(ISNA(VLOOKUP('Project Details by Yr - MASTER'!$B101,'Parking Lots &amp; Playgrounds'!$A$9:$N$33,H$2,0)),0,VLOOKUP('Project Details by Yr - MASTER'!$B101,'Parking Lots &amp; Playgrounds'!$A$9:$N$33,H$2,0))+IF(ISNA(VLOOKUP($B101,Vehicles!$B$9:$O$50,H$2,0)),0,VLOOKUP($B101,Vehicles!$B$9:$O$50,H$2,0))</f>
        <v>50000</v>
      </c>
      <c r="I101" s="8">
        <f>IF(ISNA(VLOOKUP($B101,'Other Capital Needs'!$C$51:$P$95,I$2,0)),0,VLOOKUP($B101,'Other Capital Needs'!$C$51:$P$95,I$2,0))+IF(ISNA(VLOOKUP('Project Details by Yr - MASTER'!$B101,'Public Grounds'!$A$11:$N$49,I$2,0)),0,VLOOKUP('Project Details by Yr - MASTER'!$B101,'Public Grounds'!$A$11:$N$49,I$2,0))+IF(ISNA(VLOOKUP('Project Details by Yr - MASTER'!$B101,'Public Buildings'!$A$10:$N$96,I$2,0)),0,VLOOKUP('Project Details by Yr - MASTER'!$B101,'Public Buildings'!$A$10:$N$96,I$2,0))+IF(ISNA(VLOOKUP('Project Details by Yr - MASTER'!$B101,Bridges!$A$9:$N$24,I$2,0)),0,VLOOKUP('Project Details by Yr - MASTER'!$B101,Bridges!$A$9:$N$24,I$2,0))+IF(ISNA(VLOOKUP('Project Details by Yr - MASTER'!$B101,'Parking Lots &amp; Playgrounds'!$A$9:$N$33,I$2,0)),0,VLOOKUP('Project Details by Yr - MASTER'!$B101,'Parking Lots &amp; Playgrounds'!$A$9:$N$33,I$2,0))+IF(ISNA(VLOOKUP($B101,Vehicles!$B$9:$O$50,I$2,0)),0,VLOOKUP($B101,Vehicles!$B$9:$O$50,I$2,0))</f>
        <v>0</v>
      </c>
      <c r="J101" s="8">
        <f>IF(ISNA(VLOOKUP($B101,'Other Capital Needs'!$C$51:$P$95,J$2,0)),0,VLOOKUP($B101,'Other Capital Needs'!$C$51:$P$95,J$2,0))+IF(ISNA(VLOOKUP('Project Details by Yr - MASTER'!$B101,'Public Grounds'!$A$11:$N$49,J$2,0)),0,VLOOKUP('Project Details by Yr - MASTER'!$B101,'Public Grounds'!$A$11:$N$49,J$2,0))+IF(ISNA(VLOOKUP('Project Details by Yr - MASTER'!$B101,'Public Buildings'!$A$10:$N$96,J$2,0)),0,VLOOKUP('Project Details by Yr - MASTER'!$B101,'Public Buildings'!$A$10:$N$96,J$2,0))+IF(ISNA(VLOOKUP('Project Details by Yr - MASTER'!$B101,Bridges!$A$9:$N$24,J$2,0)),0,VLOOKUP('Project Details by Yr - MASTER'!$B101,Bridges!$A$9:$N$24,J$2,0))+IF(ISNA(VLOOKUP('Project Details by Yr - MASTER'!$B101,'Parking Lots &amp; Playgrounds'!$A$9:$N$33,J$2,0)),0,VLOOKUP('Project Details by Yr - MASTER'!$B101,'Parking Lots &amp; Playgrounds'!$A$9:$N$33,J$2,0))+IF(ISNA(VLOOKUP($B101,Vehicles!$B$9:$O$50,J$2,0)),0,VLOOKUP($B101,Vehicles!$B$9:$O$50,J$2,0))</f>
        <v>0</v>
      </c>
      <c r="K101" s="8">
        <f>IF(ISNA(VLOOKUP($B101,'Other Capital Needs'!$C$51:$P$95,K$2,0)),0,VLOOKUP($B101,'Other Capital Needs'!$C$51:$P$95,K$2,0))+IF(ISNA(VLOOKUP('Project Details by Yr - MASTER'!$B101,'Public Grounds'!$A$11:$N$49,K$2,0)),0,VLOOKUP('Project Details by Yr - MASTER'!$B101,'Public Grounds'!$A$11:$N$49,K$2,0))+IF(ISNA(VLOOKUP('Project Details by Yr - MASTER'!$B101,'Public Buildings'!$A$10:$N$96,K$2,0)),0,VLOOKUP('Project Details by Yr - MASTER'!$B101,'Public Buildings'!$A$10:$N$96,K$2,0))+IF(ISNA(VLOOKUP('Project Details by Yr - MASTER'!$B101,Bridges!$A$9:$N$24,K$2,0)),0,VLOOKUP('Project Details by Yr - MASTER'!$B101,Bridges!$A$9:$N$24,K$2,0))+IF(ISNA(VLOOKUP('Project Details by Yr - MASTER'!$B101,'Parking Lots &amp; Playgrounds'!$A$9:$N$33,K$2,0)),0,VLOOKUP('Project Details by Yr - MASTER'!$B101,'Parking Lots &amp; Playgrounds'!$A$9:$N$33,K$2,0))+IF(ISNA(VLOOKUP($B101,Vehicles!$B$9:$O$50,K$2,0)),0,VLOOKUP($B101,Vehicles!$B$9:$O$50,K$2,0))</f>
        <v>0</v>
      </c>
    </row>
    <row r="102" spans="2:11" x14ac:dyDescent="0.25">
      <c r="B102" s="24" t="s">
        <v>229</v>
      </c>
      <c r="C102" t="s">
        <v>47</v>
      </c>
      <c r="D102" t="s">
        <v>271</v>
      </c>
      <c r="E102" s="1"/>
      <c r="G102" s="8">
        <f>IF(ISNA(VLOOKUP($B102,'Other Capital Needs'!$C$51:$P$95,G$2,0)),0,VLOOKUP($B102,'Other Capital Needs'!$C$51:$P$95,G$2,0))+IF(ISNA(VLOOKUP('Project Details by Yr - MASTER'!$B102,'Public Grounds'!$A$11:$N$49,G$2,0)),0,VLOOKUP('Project Details by Yr - MASTER'!$B102,'Public Grounds'!$A$11:$N$49,G$2,0))+IF(ISNA(VLOOKUP('Project Details by Yr - MASTER'!$B102,'Public Buildings'!$A$10:$N$96,G$2,0)),0,VLOOKUP('Project Details by Yr - MASTER'!$B102,'Public Buildings'!$A$10:$N$96,G$2,0))+IF(ISNA(VLOOKUP('Project Details by Yr - MASTER'!$B102,Bridges!$A$9:$N$24,G$2,0)),0,VLOOKUP('Project Details by Yr - MASTER'!$B102,Bridges!$A$9:$N$24,G$2,0))+IF(ISNA(VLOOKUP('Project Details by Yr - MASTER'!$B102,'Parking Lots &amp; Playgrounds'!$A$9:$N$33,G$2,0)),0,VLOOKUP('Project Details by Yr - MASTER'!$B102,'Parking Lots &amp; Playgrounds'!$A$9:$N$33,G$2,0))+IF(ISNA(VLOOKUP($B102,Vehicles!$B$9:$O$50,G$2,0)),0,VLOOKUP($B102,Vehicles!$B$9:$O$50,G$2,0))</f>
        <v>0</v>
      </c>
      <c r="H102" s="8">
        <f>IF(ISNA(VLOOKUP($B102,'Other Capital Needs'!$C$51:$P$95,H$2,0)),0,VLOOKUP($B102,'Other Capital Needs'!$C$51:$P$95,H$2,0))+IF(ISNA(VLOOKUP('Project Details by Yr - MASTER'!$B102,'Public Grounds'!$A$11:$N$49,H$2,0)),0,VLOOKUP('Project Details by Yr - MASTER'!$B102,'Public Grounds'!$A$11:$N$49,H$2,0))+IF(ISNA(VLOOKUP('Project Details by Yr - MASTER'!$B102,'Public Buildings'!$A$10:$N$96,H$2,0)),0,VLOOKUP('Project Details by Yr - MASTER'!$B102,'Public Buildings'!$A$10:$N$96,H$2,0))+IF(ISNA(VLOOKUP('Project Details by Yr - MASTER'!$B102,Bridges!$A$9:$N$24,H$2,0)),0,VLOOKUP('Project Details by Yr - MASTER'!$B102,Bridges!$A$9:$N$24,H$2,0))+IF(ISNA(VLOOKUP('Project Details by Yr - MASTER'!$B102,'Parking Lots &amp; Playgrounds'!$A$9:$N$33,H$2,0)),0,VLOOKUP('Project Details by Yr - MASTER'!$B102,'Parking Lots &amp; Playgrounds'!$A$9:$N$33,H$2,0))+IF(ISNA(VLOOKUP($B102,Vehicles!$B$9:$O$50,H$2,0)),0,VLOOKUP($B102,Vehicles!$B$9:$O$50,H$2,0))</f>
        <v>0</v>
      </c>
      <c r="I102" s="8">
        <f>IF(ISNA(VLOOKUP($B102,'Other Capital Needs'!$C$51:$P$95,I$2,0)),0,VLOOKUP($B102,'Other Capital Needs'!$C$51:$P$95,I$2,0))+IF(ISNA(VLOOKUP('Project Details by Yr - MASTER'!$B102,'Public Grounds'!$A$11:$N$49,I$2,0)),0,VLOOKUP('Project Details by Yr - MASTER'!$B102,'Public Grounds'!$A$11:$N$49,I$2,0))+IF(ISNA(VLOOKUP('Project Details by Yr - MASTER'!$B102,'Public Buildings'!$A$10:$N$96,I$2,0)),0,VLOOKUP('Project Details by Yr - MASTER'!$B102,'Public Buildings'!$A$10:$N$96,I$2,0))+IF(ISNA(VLOOKUP('Project Details by Yr - MASTER'!$B102,Bridges!$A$9:$N$24,I$2,0)),0,VLOOKUP('Project Details by Yr - MASTER'!$B102,Bridges!$A$9:$N$24,I$2,0))+IF(ISNA(VLOOKUP('Project Details by Yr - MASTER'!$B102,'Parking Lots &amp; Playgrounds'!$A$9:$N$33,I$2,0)),0,VLOOKUP('Project Details by Yr - MASTER'!$B102,'Parking Lots &amp; Playgrounds'!$A$9:$N$33,I$2,0))+IF(ISNA(VLOOKUP($B102,Vehicles!$B$9:$O$50,I$2,0)),0,VLOOKUP($B102,Vehicles!$B$9:$O$50,I$2,0))</f>
        <v>0</v>
      </c>
      <c r="J102" s="8">
        <f>IF(ISNA(VLOOKUP($B102,'Other Capital Needs'!$C$51:$P$95,J$2,0)),0,VLOOKUP($B102,'Other Capital Needs'!$C$51:$P$95,J$2,0))+IF(ISNA(VLOOKUP('Project Details by Yr - MASTER'!$B102,'Public Grounds'!$A$11:$N$49,J$2,0)),0,VLOOKUP('Project Details by Yr - MASTER'!$B102,'Public Grounds'!$A$11:$N$49,J$2,0))+IF(ISNA(VLOOKUP('Project Details by Yr - MASTER'!$B102,'Public Buildings'!$A$10:$N$96,J$2,0)),0,VLOOKUP('Project Details by Yr - MASTER'!$B102,'Public Buildings'!$A$10:$N$96,J$2,0))+IF(ISNA(VLOOKUP('Project Details by Yr - MASTER'!$B102,Bridges!$A$9:$N$24,J$2,0)),0,VLOOKUP('Project Details by Yr - MASTER'!$B102,Bridges!$A$9:$N$24,J$2,0))+IF(ISNA(VLOOKUP('Project Details by Yr - MASTER'!$B102,'Parking Lots &amp; Playgrounds'!$A$9:$N$33,J$2,0)),0,VLOOKUP('Project Details by Yr - MASTER'!$B102,'Parking Lots &amp; Playgrounds'!$A$9:$N$33,J$2,0))+IF(ISNA(VLOOKUP($B102,Vehicles!$B$9:$O$50,J$2,0)),0,VLOOKUP($B102,Vehicles!$B$9:$O$50,J$2,0))</f>
        <v>0</v>
      </c>
      <c r="K102" s="8">
        <f>IF(ISNA(VLOOKUP($B102,'Other Capital Needs'!$C$51:$P$95,K$2,0)),0,VLOOKUP($B102,'Other Capital Needs'!$C$51:$P$95,K$2,0))+IF(ISNA(VLOOKUP('Project Details by Yr - MASTER'!$B102,'Public Grounds'!$A$11:$N$49,K$2,0)),0,VLOOKUP('Project Details by Yr - MASTER'!$B102,'Public Grounds'!$A$11:$N$49,K$2,0))+IF(ISNA(VLOOKUP('Project Details by Yr - MASTER'!$B102,'Public Buildings'!$A$10:$N$96,K$2,0)),0,VLOOKUP('Project Details by Yr - MASTER'!$B102,'Public Buildings'!$A$10:$N$96,K$2,0))+IF(ISNA(VLOOKUP('Project Details by Yr - MASTER'!$B102,Bridges!$A$9:$N$24,K$2,0)),0,VLOOKUP('Project Details by Yr - MASTER'!$B102,Bridges!$A$9:$N$24,K$2,0))+IF(ISNA(VLOOKUP('Project Details by Yr - MASTER'!$B102,'Parking Lots &amp; Playgrounds'!$A$9:$N$33,K$2,0)),0,VLOOKUP('Project Details by Yr - MASTER'!$B102,'Parking Lots &amp; Playgrounds'!$A$9:$N$33,K$2,0))+IF(ISNA(VLOOKUP($B102,Vehicles!$B$9:$O$50,K$2,0)),0,VLOOKUP($B102,Vehicles!$B$9:$O$50,K$2,0))</f>
        <v>0</v>
      </c>
    </row>
    <row r="103" spans="2:11" x14ac:dyDescent="0.25">
      <c r="B103" s="24" t="s">
        <v>230</v>
      </c>
      <c r="C103" t="s">
        <v>47</v>
      </c>
      <c r="D103" t="s">
        <v>271</v>
      </c>
      <c r="E103" s="1"/>
      <c r="G103" s="8">
        <f>IF(ISNA(VLOOKUP($B103,'Other Capital Needs'!$C$51:$P$95,G$2,0)),0,VLOOKUP($B103,'Other Capital Needs'!$C$51:$P$95,G$2,0))+IF(ISNA(VLOOKUP('Project Details by Yr - MASTER'!$B103,'Public Grounds'!$A$11:$N$49,G$2,0)),0,VLOOKUP('Project Details by Yr - MASTER'!$B103,'Public Grounds'!$A$11:$N$49,G$2,0))+IF(ISNA(VLOOKUP('Project Details by Yr - MASTER'!$B103,'Public Buildings'!$A$10:$N$96,G$2,0)),0,VLOOKUP('Project Details by Yr - MASTER'!$B103,'Public Buildings'!$A$10:$N$96,G$2,0))+IF(ISNA(VLOOKUP('Project Details by Yr - MASTER'!$B103,Bridges!$A$9:$N$24,G$2,0)),0,VLOOKUP('Project Details by Yr - MASTER'!$B103,Bridges!$A$9:$N$24,G$2,0))+IF(ISNA(VLOOKUP('Project Details by Yr - MASTER'!$B103,'Parking Lots &amp; Playgrounds'!$A$9:$N$33,G$2,0)),0,VLOOKUP('Project Details by Yr - MASTER'!$B103,'Parking Lots &amp; Playgrounds'!$A$9:$N$33,G$2,0))+IF(ISNA(VLOOKUP($B103,Vehicles!$B$9:$O$50,G$2,0)),0,VLOOKUP($B103,Vehicles!$B$9:$O$50,G$2,0))</f>
        <v>0</v>
      </c>
      <c r="H103" s="8">
        <f>IF(ISNA(VLOOKUP($B103,'Other Capital Needs'!$C$51:$P$95,H$2,0)),0,VLOOKUP($B103,'Other Capital Needs'!$C$51:$P$95,H$2,0))+IF(ISNA(VLOOKUP('Project Details by Yr - MASTER'!$B103,'Public Grounds'!$A$11:$N$49,H$2,0)),0,VLOOKUP('Project Details by Yr - MASTER'!$B103,'Public Grounds'!$A$11:$N$49,H$2,0))+IF(ISNA(VLOOKUP('Project Details by Yr - MASTER'!$B103,'Public Buildings'!$A$10:$N$96,H$2,0)),0,VLOOKUP('Project Details by Yr - MASTER'!$B103,'Public Buildings'!$A$10:$N$96,H$2,0))+IF(ISNA(VLOOKUP('Project Details by Yr - MASTER'!$B103,Bridges!$A$9:$N$24,H$2,0)),0,VLOOKUP('Project Details by Yr - MASTER'!$B103,Bridges!$A$9:$N$24,H$2,0))+IF(ISNA(VLOOKUP('Project Details by Yr - MASTER'!$B103,'Parking Lots &amp; Playgrounds'!$A$9:$N$33,H$2,0)),0,VLOOKUP('Project Details by Yr - MASTER'!$B103,'Parking Lots &amp; Playgrounds'!$A$9:$N$33,H$2,0))+IF(ISNA(VLOOKUP($B103,Vehicles!$B$9:$O$50,H$2,0)),0,VLOOKUP($B103,Vehicles!$B$9:$O$50,H$2,0))</f>
        <v>0</v>
      </c>
      <c r="I103" s="8">
        <f>IF(ISNA(VLOOKUP($B103,'Other Capital Needs'!$C$51:$P$95,I$2,0)),0,VLOOKUP($B103,'Other Capital Needs'!$C$51:$P$95,I$2,0))+IF(ISNA(VLOOKUP('Project Details by Yr - MASTER'!$B103,'Public Grounds'!$A$11:$N$49,I$2,0)),0,VLOOKUP('Project Details by Yr - MASTER'!$B103,'Public Grounds'!$A$11:$N$49,I$2,0))+IF(ISNA(VLOOKUP('Project Details by Yr - MASTER'!$B103,'Public Buildings'!$A$10:$N$96,I$2,0)),0,VLOOKUP('Project Details by Yr - MASTER'!$B103,'Public Buildings'!$A$10:$N$96,I$2,0))+IF(ISNA(VLOOKUP('Project Details by Yr - MASTER'!$B103,Bridges!$A$9:$N$24,I$2,0)),0,VLOOKUP('Project Details by Yr - MASTER'!$B103,Bridges!$A$9:$N$24,I$2,0))+IF(ISNA(VLOOKUP('Project Details by Yr - MASTER'!$B103,'Parking Lots &amp; Playgrounds'!$A$9:$N$33,I$2,0)),0,VLOOKUP('Project Details by Yr - MASTER'!$B103,'Parking Lots &amp; Playgrounds'!$A$9:$N$33,I$2,0))+IF(ISNA(VLOOKUP($B103,Vehicles!$B$9:$O$50,I$2,0)),0,VLOOKUP($B103,Vehicles!$B$9:$O$50,I$2,0))</f>
        <v>0</v>
      </c>
      <c r="J103" s="8">
        <f>IF(ISNA(VLOOKUP($B103,'Other Capital Needs'!$C$51:$P$95,J$2,0)),0,VLOOKUP($B103,'Other Capital Needs'!$C$51:$P$95,J$2,0))+IF(ISNA(VLOOKUP('Project Details by Yr - MASTER'!$B103,'Public Grounds'!$A$11:$N$49,J$2,0)),0,VLOOKUP('Project Details by Yr - MASTER'!$B103,'Public Grounds'!$A$11:$N$49,J$2,0))+IF(ISNA(VLOOKUP('Project Details by Yr - MASTER'!$B103,'Public Buildings'!$A$10:$N$96,J$2,0)),0,VLOOKUP('Project Details by Yr - MASTER'!$B103,'Public Buildings'!$A$10:$N$96,J$2,0))+IF(ISNA(VLOOKUP('Project Details by Yr - MASTER'!$B103,Bridges!$A$9:$N$24,J$2,0)),0,VLOOKUP('Project Details by Yr - MASTER'!$B103,Bridges!$A$9:$N$24,J$2,0))+IF(ISNA(VLOOKUP('Project Details by Yr - MASTER'!$B103,'Parking Lots &amp; Playgrounds'!$A$9:$N$33,J$2,0)),0,VLOOKUP('Project Details by Yr - MASTER'!$B103,'Parking Lots &amp; Playgrounds'!$A$9:$N$33,J$2,0))+IF(ISNA(VLOOKUP($B103,Vehicles!$B$9:$O$50,J$2,0)),0,VLOOKUP($B103,Vehicles!$B$9:$O$50,J$2,0))</f>
        <v>850000</v>
      </c>
      <c r="K103" s="8">
        <f>IF(ISNA(VLOOKUP($B103,'Other Capital Needs'!$C$51:$P$95,K$2,0)),0,VLOOKUP($B103,'Other Capital Needs'!$C$51:$P$95,K$2,0))+IF(ISNA(VLOOKUP('Project Details by Yr - MASTER'!$B103,'Public Grounds'!$A$11:$N$49,K$2,0)),0,VLOOKUP('Project Details by Yr - MASTER'!$B103,'Public Grounds'!$A$11:$N$49,K$2,0))+IF(ISNA(VLOOKUP('Project Details by Yr - MASTER'!$B103,'Public Buildings'!$A$10:$N$96,K$2,0)),0,VLOOKUP('Project Details by Yr - MASTER'!$B103,'Public Buildings'!$A$10:$N$96,K$2,0))+IF(ISNA(VLOOKUP('Project Details by Yr - MASTER'!$B103,Bridges!$A$9:$N$24,K$2,0)),0,VLOOKUP('Project Details by Yr - MASTER'!$B103,Bridges!$A$9:$N$24,K$2,0))+IF(ISNA(VLOOKUP('Project Details by Yr - MASTER'!$B103,'Parking Lots &amp; Playgrounds'!$A$9:$N$33,K$2,0)),0,VLOOKUP('Project Details by Yr - MASTER'!$B103,'Parking Lots &amp; Playgrounds'!$A$9:$N$33,K$2,0))+IF(ISNA(VLOOKUP($B103,Vehicles!$B$9:$O$50,K$2,0)),0,VLOOKUP($B103,Vehicles!$B$9:$O$50,K$2,0))</f>
        <v>0</v>
      </c>
    </row>
    <row r="104" spans="2:11" x14ac:dyDescent="0.25">
      <c r="B104" s="24" t="s">
        <v>231</v>
      </c>
      <c r="C104" t="s">
        <v>47</v>
      </c>
      <c r="D104" t="s">
        <v>271</v>
      </c>
      <c r="E104" s="1"/>
      <c r="G104" s="8">
        <f>IF(ISNA(VLOOKUP($B104,'Other Capital Needs'!$C$51:$P$95,G$2,0)),0,VLOOKUP($B104,'Other Capital Needs'!$C$51:$P$95,G$2,0))+IF(ISNA(VLOOKUP('Project Details by Yr - MASTER'!$B104,'Public Grounds'!$A$11:$N$49,G$2,0)),0,VLOOKUP('Project Details by Yr - MASTER'!$B104,'Public Grounds'!$A$11:$N$49,G$2,0))+IF(ISNA(VLOOKUP('Project Details by Yr - MASTER'!$B104,'Public Buildings'!$A$10:$N$96,G$2,0)),0,VLOOKUP('Project Details by Yr - MASTER'!$B104,'Public Buildings'!$A$10:$N$96,G$2,0))+IF(ISNA(VLOOKUP('Project Details by Yr - MASTER'!$B104,Bridges!$A$9:$N$24,G$2,0)),0,VLOOKUP('Project Details by Yr - MASTER'!$B104,Bridges!$A$9:$N$24,G$2,0))+IF(ISNA(VLOOKUP('Project Details by Yr - MASTER'!$B104,'Parking Lots &amp; Playgrounds'!$A$9:$N$33,G$2,0)),0,VLOOKUP('Project Details by Yr - MASTER'!$B104,'Parking Lots &amp; Playgrounds'!$A$9:$N$33,G$2,0))+IF(ISNA(VLOOKUP($B104,Vehicles!$B$9:$O$50,G$2,0)),0,VLOOKUP($B104,Vehicles!$B$9:$O$50,G$2,0))</f>
        <v>0</v>
      </c>
      <c r="H104" s="8">
        <f>IF(ISNA(VLOOKUP($B104,'Other Capital Needs'!$C$51:$P$95,H$2,0)),0,VLOOKUP($B104,'Other Capital Needs'!$C$51:$P$95,H$2,0))+IF(ISNA(VLOOKUP('Project Details by Yr - MASTER'!$B104,'Public Grounds'!$A$11:$N$49,H$2,0)),0,VLOOKUP('Project Details by Yr - MASTER'!$B104,'Public Grounds'!$A$11:$N$49,H$2,0))+IF(ISNA(VLOOKUP('Project Details by Yr - MASTER'!$B104,'Public Buildings'!$A$10:$N$96,H$2,0)),0,VLOOKUP('Project Details by Yr - MASTER'!$B104,'Public Buildings'!$A$10:$N$96,H$2,0))+IF(ISNA(VLOOKUP('Project Details by Yr - MASTER'!$B104,Bridges!$A$9:$N$24,H$2,0)),0,VLOOKUP('Project Details by Yr - MASTER'!$B104,Bridges!$A$9:$N$24,H$2,0))+IF(ISNA(VLOOKUP('Project Details by Yr - MASTER'!$B104,'Parking Lots &amp; Playgrounds'!$A$9:$N$33,H$2,0)),0,VLOOKUP('Project Details by Yr - MASTER'!$B104,'Parking Lots &amp; Playgrounds'!$A$9:$N$33,H$2,0))+IF(ISNA(VLOOKUP($B104,Vehicles!$B$9:$O$50,H$2,0)),0,VLOOKUP($B104,Vehicles!$B$9:$O$50,H$2,0))</f>
        <v>0</v>
      </c>
      <c r="I104" s="8">
        <f>IF(ISNA(VLOOKUP($B104,'Other Capital Needs'!$C$51:$P$95,I$2,0)),0,VLOOKUP($B104,'Other Capital Needs'!$C$51:$P$95,I$2,0))+IF(ISNA(VLOOKUP('Project Details by Yr - MASTER'!$B104,'Public Grounds'!$A$11:$N$49,I$2,0)),0,VLOOKUP('Project Details by Yr - MASTER'!$B104,'Public Grounds'!$A$11:$N$49,I$2,0))+IF(ISNA(VLOOKUP('Project Details by Yr - MASTER'!$B104,'Public Buildings'!$A$10:$N$96,I$2,0)),0,VLOOKUP('Project Details by Yr - MASTER'!$B104,'Public Buildings'!$A$10:$N$96,I$2,0))+IF(ISNA(VLOOKUP('Project Details by Yr - MASTER'!$B104,Bridges!$A$9:$N$24,I$2,0)),0,VLOOKUP('Project Details by Yr - MASTER'!$B104,Bridges!$A$9:$N$24,I$2,0))+IF(ISNA(VLOOKUP('Project Details by Yr - MASTER'!$B104,'Parking Lots &amp; Playgrounds'!$A$9:$N$33,I$2,0)),0,VLOOKUP('Project Details by Yr - MASTER'!$B104,'Parking Lots &amp; Playgrounds'!$A$9:$N$33,I$2,0))+IF(ISNA(VLOOKUP($B104,Vehicles!$B$9:$O$50,I$2,0)),0,VLOOKUP($B104,Vehicles!$B$9:$O$50,I$2,0))</f>
        <v>0</v>
      </c>
      <c r="J104" s="8">
        <f>IF(ISNA(VLOOKUP($B104,'Other Capital Needs'!$C$51:$P$95,J$2,0)),0,VLOOKUP($B104,'Other Capital Needs'!$C$51:$P$95,J$2,0))+IF(ISNA(VLOOKUP('Project Details by Yr - MASTER'!$B104,'Public Grounds'!$A$11:$N$49,J$2,0)),0,VLOOKUP('Project Details by Yr - MASTER'!$B104,'Public Grounds'!$A$11:$N$49,J$2,0))+IF(ISNA(VLOOKUP('Project Details by Yr - MASTER'!$B104,'Public Buildings'!$A$10:$N$96,J$2,0)),0,VLOOKUP('Project Details by Yr - MASTER'!$B104,'Public Buildings'!$A$10:$N$96,J$2,0))+IF(ISNA(VLOOKUP('Project Details by Yr - MASTER'!$B104,Bridges!$A$9:$N$24,J$2,0)),0,VLOOKUP('Project Details by Yr - MASTER'!$B104,Bridges!$A$9:$N$24,J$2,0))+IF(ISNA(VLOOKUP('Project Details by Yr - MASTER'!$B104,'Parking Lots &amp; Playgrounds'!$A$9:$N$33,J$2,0)),0,VLOOKUP('Project Details by Yr - MASTER'!$B104,'Parking Lots &amp; Playgrounds'!$A$9:$N$33,J$2,0))+IF(ISNA(VLOOKUP($B104,Vehicles!$B$9:$O$50,J$2,0)),0,VLOOKUP($B104,Vehicles!$B$9:$O$50,J$2,0))</f>
        <v>0</v>
      </c>
      <c r="K104" s="8">
        <f>IF(ISNA(VLOOKUP($B104,'Other Capital Needs'!$C$51:$P$95,K$2,0)),0,VLOOKUP($B104,'Other Capital Needs'!$C$51:$P$95,K$2,0))+IF(ISNA(VLOOKUP('Project Details by Yr - MASTER'!$B104,'Public Grounds'!$A$11:$N$49,K$2,0)),0,VLOOKUP('Project Details by Yr - MASTER'!$B104,'Public Grounds'!$A$11:$N$49,K$2,0))+IF(ISNA(VLOOKUP('Project Details by Yr - MASTER'!$B104,'Public Buildings'!$A$10:$N$96,K$2,0)),0,VLOOKUP('Project Details by Yr - MASTER'!$B104,'Public Buildings'!$A$10:$N$96,K$2,0))+IF(ISNA(VLOOKUP('Project Details by Yr - MASTER'!$B104,Bridges!$A$9:$N$24,K$2,0)),0,VLOOKUP('Project Details by Yr - MASTER'!$B104,Bridges!$A$9:$N$24,K$2,0))+IF(ISNA(VLOOKUP('Project Details by Yr - MASTER'!$B104,'Parking Lots &amp; Playgrounds'!$A$9:$N$33,K$2,0)),0,VLOOKUP('Project Details by Yr - MASTER'!$B104,'Parking Lots &amp; Playgrounds'!$A$9:$N$33,K$2,0))+IF(ISNA(VLOOKUP($B104,Vehicles!$B$9:$O$50,K$2,0)),0,VLOOKUP($B104,Vehicles!$B$9:$O$50,K$2,0))</f>
        <v>0</v>
      </c>
    </row>
    <row r="105" spans="2:11" x14ac:dyDescent="0.25">
      <c r="B105" s="23" t="s">
        <v>233</v>
      </c>
      <c r="C105" s="23"/>
      <c r="D105" s="23"/>
      <c r="E105" s="1"/>
      <c r="G105" s="8">
        <f>IF(ISNA(VLOOKUP($B105,'Other Capital Needs'!$C$51:$P$95,G$2,0)),0,VLOOKUP($B105,'Other Capital Needs'!$C$51:$P$95,G$2,0))+IF(ISNA(VLOOKUP('Project Details by Yr - MASTER'!$B105,'Public Grounds'!$A$11:$N$49,G$2,0)),0,VLOOKUP('Project Details by Yr - MASTER'!$B105,'Public Grounds'!$A$11:$N$49,G$2,0))+IF(ISNA(VLOOKUP('Project Details by Yr - MASTER'!$B105,'Public Buildings'!$A$10:$N$96,G$2,0)),0,VLOOKUP('Project Details by Yr - MASTER'!$B105,'Public Buildings'!$A$10:$N$96,G$2,0))+IF(ISNA(VLOOKUP('Project Details by Yr - MASTER'!$B105,Bridges!$A$9:$N$24,G$2,0)),0,VLOOKUP('Project Details by Yr - MASTER'!$B105,Bridges!$A$9:$N$24,G$2,0))+IF(ISNA(VLOOKUP('Project Details by Yr - MASTER'!$B105,'Parking Lots &amp; Playgrounds'!$A$9:$N$33,G$2,0)),0,VLOOKUP('Project Details by Yr - MASTER'!$B105,'Parking Lots &amp; Playgrounds'!$A$9:$N$33,G$2,0))+IF(ISNA(VLOOKUP($B105,Vehicles!$B$9:$O$50,G$2,0)),0,VLOOKUP($B105,Vehicles!$B$9:$O$50,G$2,0))</f>
        <v>0</v>
      </c>
      <c r="H105" s="8">
        <f>IF(ISNA(VLOOKUP($B105,'Other Capital Needs'!$C$51:$P$95,H$2,0)),0,VLOOKUP($B105,'Other Capital Needs'!$C$51:$P$95,H$2,0))+IF(ISNA(VLOOKUP('Project Details by Yr - MASTER'!$B105,'Public Grounds'!$A$11:$N$49,H$2,0)),0,VLOOKUP('Project Details by Yr - MASTER'!$B105,'Public Grounds'!$A$11:$N$49,H$2,0))+IF(ISNA(VLOOKUP('Project Details by Yr - MASTER'!$B105,'Public Buildings'!$A$10:$N$96,H$2,0)),0,VLOOKUP('Project Details by Yr - MASTER'!$B105,'Public Buildings'!$A$10:$N$96,H$2,0))+IF(ISNA(VLOOKUP('Project Details by Yr - MASTER'!$B105,Bridges!$A$9:$N$24,H$2,0)),0,VLOOKUP('Project Details by Yr - MASTER'!$B105,Bridges!$A$9:$N$24,H$2,0))+IF(ISNA(VLOOKUP('Project Details by Yr - MASTER'!$B105,'Parking Lots &amp; Playgrounds'!$A$9:$N$33,H$2,0)),0,VLOOKUP('Project Details by Yr - MASTER'!$B105,'Parking Lots &amp; Playgrounds'!$A$9:$N$33,H$2,0))+IF(ISNA(VLOOKUP($B105,Vehicles!$B$9:$O$50,H$2,0)),0,VLOOKUP($B105,Vehicles!$B$9:$O$50,H$2,0))</f>
        <v>0</v>
      </c>
      <c r="I105" s="8">
        <f>IF(ISNA(VLOOKUP($B105,'Other Capital Needs'!$C$51:$P$95,I$2,0)),0,VLOOKUP($B105,'Other Capital Needs'!$C$51:$P$95,I$2,0))+IF(ISNA(VLOOKUP('Project Details by Yr - MASTER'!$B105,'Public Grounds'!$A$11:$N$49,I$2,0)),0,VLOOKUP('Project Details by Yr - MASTER'!$B105,'Public Grounds'!$A$11:$N$49,I$2,0))+IF(ISNA(VLOOKUP('Project Details by Yr - MASTER'!$B105,'Public Buildings'!$A$10:$N$96,I$2,0)),0,VLOOKUP('Project Details by Yr - MASTER'!$B105,'Public Buildings'!$A$10:$N$96,I$2,0))+IF(ISNA(VLOOKUP('Project Details by Yr - MASTER'!$B105,Bridges!$A$9:$N$24,I$2,0)),0,VLOOKUP('Project Details by Yr - MASTER'!$B105,Bridges!$A$9:$N$24,I$2,0))+IF(ISNA(VLOOKUP('Project Details by Yr - MASTER'!$B105,'Parking Lots &amp; Playgrounds'!$A$9:$N$33,I$2,0)),0,VLOOKUP('Project Details by Yr - MASTER'!$B105,'Parking Lots &amp; Playgrounds'!$A$9:$N$33,I$2,0))+IF(ISNA(VLOOKUP($B105,Vehicles!$B$9:$O$50,I$2,0)),0,VLOOKUP($B105,Vehicles!$B$9:$O$50,I$2,0))</f>
        <v>0</v>
      </c>
      <c r="J105" s="8">
        <f>IF(ISNA(VLOOKUP($B105,'Other Capital Needs'!$C$51:$P$95,J$2,0)),0,VLOOKUP($B105,'Other Capital Needs'!$C$51:$P$95,J$2,0))+IF(ISNA(VLOOKUP('Project Details by Yr - MASTER'!$B105,'Public Grounds'!$A$11:$N$49,J$2,0)),0,VLOOKUP('Project Details by Yr - MASTER'!$B105,'Public Grounds'!$A$11:$N$49,J$2,0))+IF(ISNA(VLOOKUP('Project Details by Yr - MASTER'!$B105,'Public Buildings'!$A$10:$N$96,J$2,0)),0,VLOOKUP('Project Details by Yr - MASTER'!$B105,'Public Buildings'!$A$10:$N$96,J$2,0))+IF(ISNA(VLOOKUP('Project Details by Yr - MASTER'!$B105,Bridges!$A$9:$N$24,J$2,0)),0,VLOOKUP('Project Details by Yr - MASTER'!$B105,Bridges!$A$9:$N$24,J$2,0))+IF(ISNA(VLOOKUP('Project Details by Yr - MASTER'!$B105,'Parking Lots &amp; Playgrounds'!$A$9:$N$33,J$2,0)),0,VLOOKUP('Project Details by Yr - MASTER'!$B105,'Parking Lots &amp; Playgrounds'!$A$9:$N$33,J$2,0))+IF(ISNA(VLOOKUP($B105,Vehicles!$B$9:$O$50,J$2,0)),0,VLOOKUP($B105,Vehicles!$B$9:$O$50,J$2,0))</f>
        <v>0</v>
      </c>
      <c r="K105" s="8">
        <f>IF(ISNA(VLOOKUP($B105,'Other Capital Needs'!$C$51:$P$95,K$2,0)),0,VLOOKUP($B105,'Other Capital Needs'!$C$51:$P$95,K$2,0))+IF(ISNA(VLOOKUP('Project Details by Yr - MASTER'!$B105,'Public Grounds'!$A$11:$N$49,K$2,0)),0,VLOOKUP('Project Details by Yr - MASTER'!$B105,'Public Grounds'!$A$11:$N$49,K$2,0))+IF(ISNA(VLOOKUP('Project Details by Yr - MASTER'!$B105,'Public Buildings'!$A$10:$N$96,K$2,0)),0,VLOOKUP('Project Details by Yr - MASTER'!$B105,'Public Buildings'!$A$10:$N$96,K$2,0))+IF(ISNA(VLOOKUP('Project Details by Yr - MASTER'!$B105,Bridges!$A$9:$N$24,K$2,0)),0,VLOOKUP('Project Details by Yr - MASTER'!$B105,Bridges!$A$9:$N$24,K$2,0))+IF(ISNA(VLOOKUP('Project Details by Yr - MASTER'!$B105,'Parking Lots &amp; Playgrounds'!$A$9:$N$33,K$2,0)),0,VLOOKUP('Project Details by Yr - MASTER'!$B105,'Parking Lots &amp; Playgrounds'!$A$9:$N$33,K$2,0))+IF(ISNA(VLOOKUP($B105,Vehicles!$B$9:$O$50,K$2,0)),0,VLOOKUP($B105,Vehicles!$B$9:$O$50,K$2,0))</f>
        <v>0</v>
      </c>
    </row>
    <row r="106" spans="2:11" x14ac:dyDescent="0.25">
      <c r="B106" s="25" t="s">
        <v>239</v>
      </c>
      <c r="C106" t="s">
        <v>47</v>
      </c>
      <c r="D106" t="s">
        <v>271</v>
      </c>
      <c r="E106" s="1"/>
      <c r="G106" s="8">
        <f>IF(ISNA(VLOOKUP($B106,'Other Capital Needs'!$C$51:$P$95,G$2,0)),0,VLOOKUP($B106,'Other Capital Needs'!$C$51:$P$95,G$2,0))+IF(ISNA(VLOOKUP('Project Details by Yr - MASTER'!$B106,'Public Grounds'!$A$11:$N$49,G$2,0)),0,VLOOKUP('Project Details by Yr - MASTER'!$B106,'Public Grounds'!$A$11:$N$49,G$2,0))+IF(ISNA(VLOOKUP('Project Details by Yr - MASTER'!$B106,'Public Buildings'!$A$10:$N$96,G$2,0)),0,VLOOKUP('Project Details by Yr - MASTER'!$B106,'Public Buildings'!$A$10:$N$96,G$2,0))+IF(ISNA(VLOOKUP('Project Details by Yr - MASTER'!$B106,Bridges!$A$9:$N$24,G$2,0)),0,VLOOKUP('Project Details by Yr - MASTER'!$B106,Bridges!$A$9:$N$24,G$2,0))+IF(ISNA(VLOOKUP('Project Details by Yr - MASTER'!$B106,'Parking Lots &amp; Playgrounds'!$A$9:$N$33,G$2,0)),0,VLOOKUP('Project Details by Yr - MASTER'!$B106,'Parking Lots &amp; Playgrounds'!$A$9:$N$33,G$2,0))+IF(ISNA(VLOOKUP($B106,Vehicles!$B$9:$O$50,G$2,0)),0,VLOOKUP($B106,Vehicles!$B$9:$O$50,G$2,0))</f>
        <v>30000</v>
      </c>
      <c r="H106" s="8">
        <f>IF(ISNA(VLOOKUP($B106,'Other Capital Needs'!$C$51:$P$95,H$2,0)),0,VLOOKUP($B106,'Other Capital Needs'!$C$51:$P$95,H$2,0))+IF(ISNA(VLOOKUP('Project Details by Yr - MASTER'!$B106,'Public Grounds'!$A$11:$N$49,H$2,0)),0,VLOOKUP('Project Details by Yr - MASTER'!$B106,'Public Grounds'!$A$11:$N$49,H$2,0))+IF(ISNA(VLOOKUP('Project Details by Yr - MASTER'!$B106,'Public Buildings'!$A$10:$N$96,H$2,0)),0,VLOOKUP('Project Details by Yr - MASTER'!$B106,'Public Buildings'!$A$10:$N$96,H$2,0))+IF(ISNA(VLOOKUP('Project Details by Yr - MASTER'!$B106,Bridges!$A$9:$N$24,H$2,0)),0,VLOOKUP('Project Details by Yr - MASTER'!$B106,Bridges!$A$9:$N$24,H$2,0))+IF(ISNA(VLOOKUP('Project Details by Yr - MASTER'!$B106,'Parking Lots &amp; Playgrounds'!$A$9:$N$33,H$2,0)),0,VLOOKUP('Project Details by Yr - MASTER'!$B106,'Parking Lots &amp; Playgrounds'!$A$9:$N$33,H$2,0))+IF(ISNA(VLOOKUP($B106,Vehicles!$B$9:$O$50,H$2,0)),0,VLOOKUP($B106,Vehicles!$B$9:$O$50,H$2,0))</f>
        <v>0</v>
      </c>
      <c r="I106" s="8">
        <f>IF(ISNA(VLOOKUP($B106,'Other Capital Needs'!$C$51:$P$95,I$2,0)),0,VLOOKUP($B106,'Other Capital Needs'!$C$51:$P$95,I$2,0))+IF(ISNA(VLOOKUP('Project Details by Yr - MASTER'!$B106,'Public Grounds'!$A$11:$N$49,I$2,0)),0,VLOOKUP('Project Details by Yr - MASTER'!$B106,'Public Grounds'!$A$11:$N$49,I$2,0))+IF(ISNA(VLOOKUP('Project Details by Yr - MASTER'!$B106,'Public Buildings'!$A$10:$N$96,I$2,0)),0,VLOOKUP('Project Details by Yr - MASTER'!$B106,'Public Buildings'!$A$10:$N$96,I$2,0))+IF(ISNA(VLOOKUP('Project Details by Yr - MASTER'!$B106,Bridges!$A$9:$N$24,I$2,0)),0,VLOOKUP('Project Details by Yr - MASTER'!$B106,Bridges!$A$9:$N$24,I$2,0))+IF(ISNA(VLOOKUP('Project Details by Yr - MASTER'!$B106,'Parking Lots &amp; Playgrounds'!$A$9:$N$33,I$2,0)),0,VLOOKUP('Project Details by Yr - MASTER'!$B106,'Parking Lots &amp; Playgrounds'!$A$9:$N$33,I$2,0))+IF(ISNA(VLOOKUP($B106,Vehicles!$B$9:$O$50,I$2,0)),0,VLOOKUP($B106,Vehicles!$B$9:$O$50,I$2,0))</f>
        <v>0</v>
      </c>
      <c r="J106" s="8">
        <f>IF(ISNA(VLOOKUP($B106,'Other Capital Needs'!$C$51:$P$95,J$2,0)),0,VLOOKUP($B106,'Other Capital Needs'!$C$51:$P$95,J$2,0))+IF(ISNA(VLOOKUP('Project Details by Yr - MASTER'!$B106,'Public Grounds'!$A$11:$N$49,J$2,0)),0,VLOOKUP('Project Details by Yr - MASTER'!$B106,'Public Grounds'!$A$11:$N$49,J$2,0))+IF(ISNA(VLOOKUP('Project Details by Yr - MASTER'!$B106,'Public Buildings'!$A$10:$N$96,J$2,0)),0,VLOOKUP('Project Details by Yr - MASTER'!$B106,'Public Buildings'!$A$10:$N$96,J$2,0))+IF(ISNA(VLOOKUP('Project Details by Yr - MASTER'!$B106,Bridges!$A$9:$N$24,J$2,0)),0,VLOOKUP('Project Details by Yr - MASTER'!$B106,Bridges!$A$9:$N$24,J$2,0))+IF(ISNA(VLOOKUP('Project Details by Yr - MASTER'!$B106,'Parking Lots &amp; Playgrounds'!$A$9:$N$33,J$2,0)),0,VLOOKUP('Project Details by Yr - MASTER'!$B106,'Parking Lots &amp; Playgrounds'!$A$9:$N$33,J$2,0))+IF(ISNA(VLOOKUP($B106,Vehicles!$B$9:$O$50,J$2,0)),0,VLOOKUP($B106,Vehicles!$B$9:$O$50,J$2,0))</f>
        <v>0</v>
      </c>
      <c r="K106" s="8">
        <f>IF(ISNA(VLOOKUP($B106,'Other Capital Needs'!$C$51:$P$95,K$2,0)),0,VLOOKUP($B106,'Other Capital Needs'!$C$51:$P$95,K$2,0))+IF(ISNA(VLOOKUP('Project Details by Yr - MASTER'!$B106,'Public Grounds'!$A$11:$N$49,K$2,0)),0,VLOOKUP('Project Details by Yr - MASTER'!$B106,'Public Grounds'!$A$11:$N$49,K$2,0))+IF(ISNA(VLOOKUP('Project Details by Yr - MASTER'!$B106,'Public Buildings'!$A$10:$N$96,K$2,0)),0,VLOOKUP('Project Details by Yr - MASTER'!$B106,'Public Buildings'!$A$10:$N$96,K$2,0))+IF(ISNA(VLOOKUP('Project Details by Yr - MASTER'!$B106,Bridges!$A$9:$N$24,K$2,0)),0,VLOOKUP('Project Details by Yr - MASTER'!$B106,Bridges!$A$9:$N$24,K$2,0))+IF(ISNA(VLOOKUP('Project Details by Yr - MASTER'!$B106,'Parking Lots &amp; Playgrounds'!$A$9:$N$33,K$2,0)),0,VLOOKUP('Project Details by Yr - MASTER'!$B106,'Parking Lots &amp; Playgrounds'!$A$9:$N$33,K$2,0))+IF(ISNA(VLOOKUP($B106,Vehicles!$B$9:$O$50,K$2,0)),0,VLOOKUP($B106,Vehicles!$B$9:$O$50,K$2,0))</f>
        <v>0</v>
      </c>
    </row>
    <row r="107" spans="2:11" x14ac:dyDescent="0.25">
      <c r="B107" s="24" t="s">
        <v>234</v>
      </c>
      <c r="C107" t="s">
        <v>47</v>
      </c>
      <c r="D107" t="s">
        <v>271</v>
      </c>
      <c r="E107" s="1"/>
      <c r="G107" s="8">
        <f>IF(ISNA(VLOOKUP($B107,'Other Capital Needs'!$C$51:$P$95,G$2,0)),0,VLOOKUP($B107,'Other Capital Needs'!$C$51:$P$95,G$2,0))+IF(ISNA(VLOOKUP('Project Details by Yr - MASTER'!$B107,'Public Grounds'!$A$11:$N$49,G$2,0)),0,VLOOKUP('Project Details by Yr - MASTER'!$B107,'Public Grounds'!$A$11:$N$49,G$2,0))+IF(ISNA(VLOOKUP('Project Details by Yr - MASTER'!$B107,'Public Buildings'!$A$10:$N$96,G$2,0)),0,VLOOKUP('Project Details by Yr - MASTER'!$B107,'Public Buildings'!$A$10:$N$96,G$2,0))+IF(ISNA(VLOOKUP('Project Details by Yr - MASTER'!$B107,Bridges!$A$9:$N$24,G$2,0)),0,VLOOKUP('Project Details by Yr - MASTER'!$B107,Bridges!$A$9:$N$24,G$2,0))+IF(ISNA(VLOOKUP('Project Details by Yr - MASTER'!$B107,'Parking Lots &amp; Playgrounds'!$A$9:$N$33,G$2,0)),0,VLOOKUP('Project Details by Yr - MASTER'!$B107,'Parking Lots &amp; Playgrounds'!$A$9:$N$33,G$2,0))+IF(ISNA(VLOOKUP($B107,Vehicles!$B$9:$O$50,G$2,0)),0,VLOOKUP($B107,Vehicles!$B$9:$O$50,G$2,0))</f>
        <v>8000</v>
      </c>
      <c r="H107" s="8">
        <f>IF(ISNA(VLOOKUP($B107,'Other Capital Needs'!$C$51:$P$95,H$2,0)),0,VLOOKUP($B107,'Other Capital Needs'!$C$51:$P$95,H$2,0))+IF(ISNA(VLOOKUP('Project Details by Yr - MASTER'!$B107,'Public Grounds'!$A$11:$N$49,H$2,0)),0,VLOOKUP('Project Details by Yr - MASTER'!$B107,'Public Grounds'!$A$11:$N$49,H$2,0))+IF(ISNA(VLOOKUP('Project Details by Yr - MASTER'!$B107,'Public Buildings'!$A$10:$N$96,H$2,0)),0,VLOOKUP('Project Details by Yr - MASTER'!$B107,'Public Buildings'!$A$10:$N$96,H$2,0))+IF(ISNA(VLOOKUP('Project Details by Yr - MASTER'!$B107,Bridges!$A$9:$N$24,H$2,0)),0,VLOOKUP('Project Details by Yr - MASTER'!$B107,Bridges!$A$9:$N$24,H$2,0))+IF(ISNA(VLOOKUP('Project Details by Yr - MASTER'!$B107,'Parking Lots &amp; Playgrounds'!$A$9:$N$33,H$2,0)),0,VLOOKUP('Project Details by Yr - MASTER'!$B107,'Parking Lots &amp; Playgrounds'!$A$9:$N$33,H$2,0))+IF(ISNA(VLOOKUP($B107,Vehicles!$B$9:$O$50,H$2,0)),0,VLOOKUP($B107,Vehicles!$B$9:$O$50,H$2,0))</f>
        <v>0</v>
      </c>
      <c r="I107" s="8">
        <f>IF(ISNA(VLOOKUP($B107,'Other Capital Needs'!$C$51:$P$95,I$2,0)),0,VLOOKUP($B107,'Other Capital Needs'!$C$51:$P$95,I$2,0))+IF(ISNA(VLOOKUP('Project Details by Yr - MASTER'!$B107,'Public Grounds'!$A$11:$N$49,I$2,0)),0,VLOOKUP('Project Details by Yr - MASTER'!$B107,'Public Grounds'!$A$11:$N$49,I$2,0))+IF(ISNA(VLOOKUP('Project Details by Yr - MASTER'!$B107,'Public Buildings'!$A$10:$N$96,I$2,0)),0,VLOOKUP('Project Details by Yr - MASTER'!$B107,'Public Buildings'!$A$10:$N$96,I$2,0))+IF(ISNA(VLOOKUP('Project Details by Yr - MASTER'!$B107,Bridges!$A$9:$N$24,I$2,0)),0,VLOOKUP('Project Details by Yr - MASTER'!$B107,Bridges!$A$9:$N$24,I$2,0))+IF(ISNA(VLOOKUP('Project Details by Yr - MASTER'!$B107,'Parking Lots &amp; Playgrounds'!$A$9:$N$33,I$2,0)),0,VLOOKUP('Project Details by Yr - MASTER'!$B107,'Parking Lots &amp; Playgrounds'!$A$9:$N$33,I$2,0))+IF(ISNA(VLOOKUP($B107,Vehicles!$B$9:$O$50,I$2,0)),0,VLOOKUP($B107,Vehicles!$B$9:$O$50,I$2,0))</f>
        <v>0</v>
      </c>
      <c r="J107" s="8">
        <f>IF(ISNA(VLOOKUP($B107,'Other Capital Needs'!$C$51:$P$95,J$2,0)),0,VLOOKUP($B107,'Other Capital Needs'!$C$51:$P$95,J$2,0))+IF(ISNA(VLOOKUP('Project Details by Yr - MASTER'!$B107,'Public Grounds'!$A$11:$N$49,J$2,0)),0,VLOOKUP('Project Details by Yr - MASTER'!$B107,'Public Grounds'!$A$11:$N$49,J$2,0))+IF(ISNA(VLOOKUP('Project Details by Yr - MASTER'!$B107,'Public Buildings'!$A$10:$N$96,J$2,0)),0,VLOOKUP('Project Details by Yr - MASTER'!$B107,'Public Buildings'!$A$10:$N$96,J$2,0))+IF(ISNA(VLOOKUP('Project Details by Yr - MASTER'!$B107,Bridges!$A$9:$N$24,J$2,0)),0,VLOOKUP('Project Details by Yr - MASTER'!$B107,Bridges!$A$9:$N$24,J$2,0))+IF(ISNA(VLOOKUP('Project Details by Yr - MASTER'!$B107,'Parking Lots &amp; Playgrounds'!$A$9:$N$33,J$2,0)),0,VLOOKUP('Project Details by Yr - MASTER'!$B107,'Parking Lots &amp; Playgrounds'!$A$9:$N$33,J$2,0))+IF(ISNA(VLOOKUP($B107,Vehicles!$B$9:$O$50,J$2,0)),0,VLOOKUP($B107,Vehicles!$B$9:$O$50,J$2,0))</f>
        <v>0</v>
      </c>
      <c r="K107" s="8">
        <f>IF(ISNA(VLOOKUP($B107,'Other Capital Needs'!$C$51:$P$95,K$2,0)),0,VLOOKUP($B107,'Other Capital Needs'!$C$51:$P$95,K$2,0))+IF(ISNA(VLOOKUP('Project Details by Yr - MASTER'!$B107,'Public Grounds'!$A$11:$N$49,K$2,0)),0,VLOOKUP('Project Details by Yr - MASTER'!$B107,'Public Grounds'!$A$11:$N$49,K$2,0))+IF(ISNA(VLOOKUP('Project Details by Yr - MASTER'!$B107,'Public Buildings'!$A$10:$N$96,K$2,0)),0,VLOOKUP('Project Details by Yr - MASTER'!$B107,'Public Buildings'!$A$10:$N$96,K$2,0))+IF(ISNA(VLOOKUP('Project Details by Yr - MASTER'!$B107,Bridges!$A$9:$N$24,K$2,0)),0,VLOOKUP('Project Details by Yr - MASTER'!$B107,Bridges!$A$9:$N$24,K$2,0))+IF(ISNA(VLOOKUP('Project Details by Yr - MASTER'!$B107,'Parking Lots &amp; Playgrounds'!$A$9:$N$33,K$2,0)),0,VLOOKUP('Project Details by Yr - MASTER'!$B107,'Parking Lots &amp; Playgrounds'!$A$9:$N$33,K$2,0))+IF(ISNA(VLOOKUP($B107,Vehicles!$B$9:$O$50,K$2,0)),0,VLOOKUP($B107,Vehicles!$B$9:$O$50,K$2,0))</f>
        <v>0</v>
      </c>
    </row>
    <row r="108" spans="2:11" x14ac:dyDescent="0.25">
      <c r="B108" s="24" t="s">
        <v>229</v>
      </c>
      <c r="C108" t="s">
        <v>47</v>
      </c>
      <c r="D108" t="s">
        <v>271</v>
      </c>
      <c r="E108" s="1"/>
      <c r="G108" s="8">
        <f>IF(ISNA(VLOOKUP($B108,'Other Capital Needs'!$C$51:$P$95,G$2,0)),0,VLOOKUP($B108,'Other Capital Needs'!$C$51:$P$95,G$2,0))+IF(ISNA(VLOOKUP('Project Details by Yr - MASTER'!$B108,'Public Grounds'!$A$11:$N$49,G$2,0)),0,VLOOKUP('Project Details by Yr - MASTER'!$B108,'Public Grounds'!$A$11:$N$49,G$2,0))+IF(ISNA(VLOOKUP('Project Details by Yr - MASTER'!$B108,'Public Buildings'!$A$10:$N$96,G$2,0)),0,VLOOKUP('Project Details by Yr - MASTER'!$B108,'Public Buildings'!$A$10:$N$96,G$2,0))+IF(ISNA(VLOOKUP('Project Details by Yr - MASTER'!$B108,Bridges!$A$9:$N$24,G$2,0)),0,VLOOKUP('Project Details by Yr - MASTER'!$B108,Bridges!$A$9:$N$24,G$2,0))+IF(ISNA(VLOOKUP('Project Details by Yr - MASTER'!$B108,'Parking Lots &amp; Playgrounds'!$A$9:$N$33,G$2,0)),0,VLOOKUP('Project Details by Yr - MASTER'!$B108,'Parking Lots &amp; Playgrounds'!$A$9:$N$33,G$2,0))+IF(ISNA(VLOOKUP($B108,Vehicles!$B$9:$O$50,G$2,0)),0,VLOOKUP($B108,Vehicles!$B$9:$O$50,G$2,0))</f>
        <v>0</v>
      </c>
      <c r="H108" s="8">
        <f>IF(ISNA(VLOOKUP($B108,'Other Capital Needs'!$C$51:$P$95,H$2,0)),0,VLOOKUP($B108,'Other Capital Needs'!$C$51:$P$95,H$2,0))+IF(ISNA(VLOOKUP('Project Details by Yr - MASTER'!$B108,'Public Grounds'!$A$11:$N$49,H$2,0)),0,VLOOKUP('Project Details by Yr - MASTER'!$B108,'Public Grounds'!$A$11:$N$49,H$2,0))+IF(ISNA(VLOOKUP('Project Details by Yr - MASTER'!$B108,'Public Buildings'!$A$10:$N$96,H$2,0)),0,VLOOKUP('Project Details by Yr - MASTER'!$B108,'Public Buildings'!$A$10:$N$96,H$2,0))+IF(ISNA(VLOOKUP('Project Details by Yr - MASTER'!$B108,Bridges!$A$9:$N$24,H$2,0)),0,VLOOKUP('Project Details by Yr - MASTER'!$B108,Bridges!$A$9:$N$24,H$2,0))+IF(ISNA(VLOOKUP('Project Details by Yr - MASTER'!$B108,'Parking Lots &amp; Playgrounds'!$A$9:$N$33,H$2,0)),0,VLOOKUP('Project Details by Yr - MASTER'!$B108,'Parking Lots &amp; Playgrounds'!$A$9:$N$33,H$2,0))+IF(ISNA(VLOOKUP($B108,Vehicles!$B$9:$O$50,H$2,0)),0,VLOOKUP($B108,Vehicles!$B$9:$O$50,H$2,0))</f>
        <v>0</v>
      </c>
      <c r="I108" s="8">
        <f>IF(ISNA(VLOOKUP($B108,'Other Capital Needs'!$C$51:$P$95,I$2,0)),0,VLOOKUP($B108,'Other Capital Needs'!$C$51:$P$95,I$2,0))+IF(ISNA(VLOOKUP('Project Details by Yr - MASTER'!$B108,'Public Grounds'!$A$11:$N$49,I$2,0)),0,VLOOKUP('Project Details by Yr - MASTER'!$B108,'Public Grounds'!$A$11:$N$49,I$2,0))+IF(ISNA(VLOOKUP('Project Details by Yr - MASTER'!$B108,'Public Buildings'!$A$10:$N$96,I$2,0)),0,VLOOKUP('Project Details by Yr - MASTER'!$B108,'Public Buildings'!$A$10:$N$96,I$2,0))+IF(ISNA(VLOOKUP('Project Details by Yr - MASTER'!$B108,Bridges!$A$9:$N$24,I$2,0)),0,VLOOKUP('Project Details by Yr - MASTER'!$B108,Bridges!$A$9:$N$24,I$2,0))+IF(ISNA(VLOOKUP('Project Details by Yr - MASTER'!$B108,'Parking Lots &amp; Playgrounds'!$A$9:$N$33,I$2,0)),0,VLOOKUP('Project Details by Yr - MASTER'!$B108,'Parking Lots &amp; Playgrounds'!$A$9:$N$33,I$2,0))+IF(ISNA(VLOOKUP($B108,Vehicles!$B$9:$O$50,I$2,0)),0,VLOOKUP($B108,Vehicles!$B$9:$O$50,I$2,0))</f>
        <v>0</v>
      </c>
      <c r="J108" s="8">
        <f>IF(ISNA(VLOOKUP($B108,'Other Capital Needs'!$C$51:$P$95,J$2,0)),0,VLOOKUP($B108,'Other Capital Needs'!$C$51:$P$95,J$2,0))+IF(ISNA(VLOOKUP('Project Details by Yr - MASTER'!$B108,'Public Grounds'!$A$11:$N$49,J$2,0)),0,VLOOKUP('Project Details by Yr - MASTER'!$B108,'Public Grounds'!$A$11:$N$49,J$2,0))+IF(ISNA(VLOOKUP('Project Details by Yr - MASTER'!$B108,'Public Buildings'!$A$10:$N$96,J$2,0)),0,VLOOKUP('Project Details by Yr - MASTER'!$B108,'Public Buildings'!$A$10:$N$96,J$2,0))+IF(ISNA(VLOOKUP('Project Details by Yr - MASTER'!$B108,Bridges!$A$9:$N$24,J$2,0)),0,VLOOKUP('Project Details by Yr - MASTER'!$B108,Bridges!$A$9:$N$24,J$2,0))+IF(ISNA(VLOOKUP('Project Details by Yr - MASTER'!$B108,'Parking Lots &amp; Playgrounds'!$A$9:$N$33,J$2,0)),0,VLOOKUP('Project Details by Yr - MASTER'!$B108,'Parking Lots &amp; Playgrounds'!$A$9:$N$33,J$2,0))+IF(ISNA(VLOOKUP($B108,Vehicles!$B$9:$O$50,J$2,0)),0,VLOOKUP($B108,Vehicles!$B$9:$O$50,J$2,0))</f>
        <v>0</v>
      </c>
      <c r="K108" s="8">
        <f>IF(ISNA(VLOOKUP($B108,'Other Capital Needs'!$C$51:$P$95,K$2,0)),0,VLOOKUP($B108,'Other Capital Needs'!$C$51:$P$95,K$2,0))+IF(ISNA(VLOOKUP('Project Details by Yr - MASTER'!$B108,'Public Grounds'!$A$11:$N$49,K$2,0)),0,VLOOKUP('Project Details by Yr - MASTER'!$B108,'Public Grounds'!$A$11:$N$49,K$2,0))+IF(ISNA(VLOOKUP('Project Details by Yr - MASTER'!$B108,'Public Buildings'!$A$10:$N$96,K$2,0)),0,VLOOKUP('Project Details by Yr - MASTER'!$B108,'Public Buildings'!$A$10:$N$96,K$2,0))+IF(ISNA(VLOOKUP('Project Details by Yr - MASTER'!$B108,Bridges!$A$9:$N$24,K$2,0)),0,VLOOKUP('Project Details by Yr - MASTER'!$B108,Bridges!$A$9:$N$24,K$2,0))+IF(ISNA(VLOOKUP('Project Details by Yr - MASTER'!$B108,'Parking Lots &amp; Playgrounds'!$A$9:$N$33,K$2,0)),0,VLOOKUP('Project Details by Yr - MASTER'!$B108,'Parking Lots &amp; Playgrounds'!$A$9:$N$33,K$2,0))+IF(ISNA(VLOOKUP($B108,Vehicles!$B$9:$O$50,K$2,0)),0,VLOOKUP($B108,Vehicles!$B$9:$O$50,K$2,0))</f>
        <v>0</v>
      </c>
    </row>
    <row r="109" spans="2:11" x14ac:dyDescent="0.25">
      <c r="B109" s="24" t="s">
        <v>230</v>
      </c>
      <c r="C109" t="s">
        <v>47</v>
      </c>
      <c r="D109" t="s">
        <v>271</v>
      </c>
      <c r="E109" s="1"/>
      <c r="G109" s="8">
        <f>IF(ISNA(VLOOKUP($B109,'Other Capital Needs'!$C$51:$P$95,G$2,0)),0,VLOOKUP($B109,'Other Capital Needs'!$C$51:$P$95,G$2,0))+IF(ISNA(VLOOKUP('Project Details by Yr - MASTER'!$B109,'Public Grounds'!$A$11:$N$49,G$2,0)),0,VLOOKUP('Project Details by Yr - MASTER'!$B109,'Public Grounds'!$A$11:$N$49,G$2,0))+IF(ISNA(VLOOKUP('Project Details by Yr - MASTER'!$B109,'Public Buildings'!$A$10:$N$96,G$2,0)),0,VLOOKUP('Project Details by Yr - MASTER'!$B109,'Public Buildings'!$A$10:$N$96,G$2,0))+IF(ISNA(VLOOKUP('Project Details by Yr - MASTER'!$B109,Bridges!$A$9:$N$24,G$2,0)),0,VLOOKUP('Project Details by Yr - MASTER'!$B109,Bridges!$A$9:$N$24,G$2,0))+IF(ISNA(VLOOKUP('Project Details by Yr - MASTER'!$B109,'Parking Lots &amp; Playgrounds'!$A$9:$N$33,G$2,0)),0,VLOOKUP('Project Details by Yr - MASTER'!$B109,'Parking Lots &amp; Playgrounds'!$A$9:$N$33,G$2,0))+IF(ISNA(VLOOKUP($B109,Vehicles!$B$9:$O$50,G$2,0)),0,VLOOKUP($B109,Vehicles!$B$9:$O$50,G$2,0))</f>
        <v>0</v>
      </c>
      <c r="H109" s="8">
        <f>IF(ISNA(VLOOKUP($B109,'Other Capital Needs'!$C$51:$P$95,H$2,0)),0,VLOOKUP($B109,'Other Capital Needs'!$C$51:$P$95,H$2,0))+IF(ISNA(VLOOKUP('Project Details by Yr - MASTER'!$B109,'Public Grounds'!$A$11:$N$49,H$2,0)),0,VLOOKUP('Project Details by Yr - MASTER'!$B109,'Public Grounds'!$A$11:$N$49,H$2,0))+IF(ISNA(VLOOKUP('Project Details by Yr - MASTER'!$B109,'Public Buildings'!$A$10:$N$96,H$2,0)),0,VLOOKUP('Project Details by Yr - MASTER'!$B109,'Public Buildings'!$A$10:$N$96,H$2,0))+IF(ISNA(VLOOKUP('Project Details by Yr - MASTER'!$B109,Bridges!$A$9:$N$24,H$2,0)),0,VLOOKUP('Project Details by Yr - MASTER'!$B109,Bridges!$A$9:$N$24,H$2,0))+IF(ISNA(VLOOKUP('Project Details by Yr - MASTER'!$B109,'Parking Lots &amp; Playgrounds'!$A$9:$N$33,H$2,0)),0,VLOOKUP('Project Details by Yr - MASTER'!$B109,'Parking Lots &amp; Playgrounds'!$A$9:$N$33,H$2,0))+IF(ISNA(VLOOKUP($B109,Vehicles!$B$9:$O$50,H$2,0)),0,VLOOKUP($B109,Vehicles!$B$9:$O$50,H$2,0))</f>
        <v>0</v>
      </c>
      <c r="I109" s="8">
        <f>IF(ISNA(VLOOKUP($B109,'Other Capital Needs'!$C$51:$P$95,I$2,0)),0,VLOOKUP($B109,'Other Capital Needs'!$C$51:$P$95,I$2,0))+IF(ISNA(VLOOKUP('Project Details by Yr - MASTER'!$B109,'Public Grounds'!$A$11:$N$49,I$2,0)),0,VLOOKUP('Project Details by Yr - MASTER'!$B109,'Public Grounds'!$A$11:$N$49,I$2,0))+IF(ISNA(VLOOKUP('Project Details by Yr - MASTER'!$B109,'Public Buildings'!$A$10:$N$96,I$2,0)),0,VLOOKUP('Project Details by Yr - MASTER'!$B109,'Public Buildings'!$A$10:$N$96,I$2,0))+IF(ISNA(VLOOKUP('Project Details by Yr - MASTER'!$B109,Bridges!$A$9:$N$24,I$2,0)),0,VLOOKUP('Project Details by Yr - MASTER'!$B109,Bridges!$A$9:$N$24,I$2,0))+IF(ISNA(VLOOKUP('Project Details by Yr - MASTER'!$B109,'Parking Lots &amp; Playgrounds'!$A$9:$N$33,I$2,0)),0,VLOOKUP('Project Details by Yr - MASTER'!$B109,'Parking Lots &amp; Playgrounds'!$A$9:$N$33,I$2,0))+IF(ISNA(VLOOKUP($B109,Vehicles!$B$9:$O$50,I$2,0)),0,VLOOKUP($B109,Vehicles!$B$9:$O$50,I$2,0))</f>
        <v>0</v>
      </c>
      <c r="J109" s="8">
        <f>IF(ISNA(VLOOKUP($B109,'Other Capital Needs'!$C$51:$P$95,J$2,0)),0,VLOOKUP($B109,'Other Capital Needs'!$C$51:$P$95,J$2,0))+IF(ISNA(VLOOKUP('Project Details by Yr - MASTER'!$B109,'Public Grounds'!$A$11:$N$49,J$2,0)),0,VLOOKUP('Project Details by Yr - MASTER'!$B109,'Public Grounds'!$A$11:$N$49,J$2,0))+IF(ISNA(VLOOKUP('Project Details by Yr - MASTER'!$B109,'Public Buildings'!$A$10:$N$96,J$2,0)),0,VLOOKUP('Project Details by Yr - MASTER'!$B109,'Public Buildings'!$A$10:$N$96,J$2,0))+IF(ISNA(VLOOKUP('Project Details by Yr - MASTER'!$B109,Bridges!$A$9:$N$24,J$2,0)),0,VLOOKUP('Project Details by Yr - MASTER'!$B109,Bridges!$A$9:$N$24,J$2,0))+IF(ISNA(VLOOKUP('Project Details by Yr - MASTER'!$B109,'Parking Lots &amp; Playgrounds'!$A$9:$N$33,J$2,0)),0,VLOOKUP('Project Details by Yr - MASTER'!$B109,'Parking Lots &amp; Playgrounds'!$A$9:$N$33,J$2,0))+IF(ISNA(VLOOKUP($B109,Vehicles!$B$9:$O$50,J$2,0)),0,VLOOKUP($B109,Vehicles!$B$9:$O$50,J$2,0))</f>
        <v>850000</v>
      </c>
      <c r="K109" s="8">
        <f>IF(ISNA(VLOOKUP($B109,'Other Capital Needs'!$C$51:$P$95,K$2,0)),0,VLOOKUP($B109,'Other Capital Needs'!$C$51:$P$95,K$2,0))+IF(ISNA(VLOOKUP('Project Details by Yr - MASTER'!$B109,'Public Grounds'!$A$11:$N$49,K$2,0)),0,VLOOKUP('Project Details by Yr - MASTER'!$B109,'Public Grounds'!$A$11:$N$49,K$2,0))+IF(ISNA(VLOOKUP('Project Details by Yr - MASTER'!$B109,'Public Buildings'!$A$10:$N$96,K$2,0)),0,VLOOKUP('Project Details by Yr - MASTER'!$B109,'Public Buildings'!$A$10:$N$96,K$2,0))+IF(ISNA(VLOOKUP('Project Details by Yr - MASTER'!$B109,Bridges!$A$9:$N$24,K$2,0)),0,VLOOKUP('Project Details by Yr - MASTER'!$B109,Bridges!$A$9:$N$24,K$2,0))+IF(ISNA(VLOOKUP('Project Details by Yr - MASTER'!$B109,'Parking Lots &amp; Playgrounds'!$A$9:$N$33,K$2,0)),0,VLOOKUP('Project Details by Yr - MASTER'!$B109,'Parking Lots &amp; Playgrounds'!$A$9:$N$33,K$2,0))+IF(ISNA(VLOOKUP($B109,Vehicles!$B$9:$O$50,K$2,0)),0,VLOOKUP($B109,Vehicles!$B$9:$O$50,K$2,0))</f>
        <v>0</v>
      </c>
    </row>
    <row r="110" spans="2:11" x14ac:dyDescent="0.25">
      <c r="B110" s="23" t="s">
        <v>235</v>
      </c>
      <c r="C110" s="23"/>
      <c r="D110" s="23"/>
      <c r="E110" s="1"/>
      <c r="G110" s="8">
        <f>IF(ISNA(VLOOKUP($B110,'Other Capital Needs'!$C$51:$P$95,G$2,0)),0,VLOOKUP($B110,'Other Capital Needs'!$C$51:$P$95,G$2,0))+IF(ISNA(VLOOKUP('Project Details by Yr - MASTER'!$B110,'Public Grounds'!$A$11:$N$49,G$2,0)),0,VLOOKUP('Project Details by Yr - MASTER'!$B110,'Public Grounds'!$A$11:$N$49,G$2,0))+IF(ISNA(VLOOKUP('Project Details by Yr - MASTER'!$B110,'Public Buildings'!$A$10:$N$96,G$2,0)),0,VLOOKUP('Project Details by Yr - MASTER'!$B110,'Public Buildings'!$A$10:$N$96,G$2,0))+IF(ISNA(VLOOKUP('Project Details by Yr - MASTER'!$B110,Bridges!$A$9:$N$24,G$2,0)),0,VLOOKUP('Project Details by Yr - MASTER'!$B110,Bridges!$A$9:$N$24,G$2,0))+IF(ISNA(VLOOKUP('Project Details by Yr - MASTER'!$B110,'Parking Lots &amp; Playgrounds'!$A$9:$N$33,G$2,0)),0,VLOOKUP('Project Details by Yr - MASTER'!$B110,'Parking Lots &amp; Playgrounds'!$A$9:$N$33,G$2,0))+IF(ISNA(VLOOKUP($B110,Vehicles!$B$9:$O$50,G$2,0)),0,VLOOKUP($B110,Vehicles!$B$9:$O$50,G$2,0))</f>
        <v>0</v>
      </c>
      <c r="H110" s="8">
        <f>IF(ISNA(VLOOKUP($B110,'Other Capital Needs'!$C$51:$P$95,H$2,0)),0,VLOOKUP($B110,'Other Capital Needs'!$C$51:$P$95,H$2,0))+IF(ISNA(VLOOKUP('Project Details by Yr - MASTER'!$B110,'Public Grounds'!$A$11:$N$49,H$2,0)),0,VLOOKUP('Project Details by Yr - MASTER'!$B110,'Public Grounds'!$A$11:$N$49,H$2,0))+IF(ISNA(VLOOKUP('Project Details by Yr - MASTER'!$B110,'Public Buildings'!$A$10:$N$96,H$2,0)),0,VLOOKUP('Project Details by Yr - MASTER'!$B110,'Public Buildings'!$A$10:$N$96,H$2,0))+IF(ISNA(VLOOKUP('Project Details by Yr - MASTER'!$B110,Bridges!$A$9:$N$24,H$2,0)),0,VLOOKUP('Project Details by Yr - MASTER'!$B110,Bridges!$A$9:$N$24,H$2,0))+IF(ISNA(VLOOKUP('Project Details by Yr - MASTER'!$B110,'Parking Lots &amp; Playgrounds'!$A$9:$N$33,H$2,0)),0,VLOOKUP('Project Details by Yr - MASTER'!$B110,'Parking Lots &amp; Playgrounds'!$A$9:$N$33,H$2,0))+IF(ISNA(VLOOKUP($B110,Vehicles!$B$9:$O$50,H$2,0)),0,VLOOKUP($B110,Vehicles!$B$9:$O$50,H$2,0))</f>
        <v>0</v>
      </c>
      <c r="I110" s="8">
        <f>IF(ISNA(VLOOKUP($B110,'Other Capital Needs'!$C$51:$P$95,I$2,0)),0,VLOOKUP($B110,'Other Capital Needs'!$C$51:$P$95,I$2,0))+IF(ISNA(VLOOKUP('Project Details by Yr - MASTER'!$B110,'Public Grounds'!$A$11:$N$49,I$2,0)),0,VLOOKUP('Project Details by Yr - MASTER'!$B110,'Public Grounds'!$A$11:$N$49,I$2,0))+IF(ISNA(VLOOKUP('Project Details by Yr - MASTER'!$B110,'Public Buildings'!$A$10:$N$96,I$2,0)),0,VLOOKUP('Project Details by Yr - MASTER'!$B110,'Public Buildings'!$A$10:$N$96,I$2,0))+IF(ISNA(VLOOKUP('Project Details by Yr - MASTER'!$B110,Bridges!$A$9:$N$24,I$2,0)),0,VLOOKUP('Project Details by Yr - MASTER'!$B110,Bridges!$A$9:$N$24,I$2,0))+IF(ISNA(VLOOKUP('Project Details by Yr - MASTER'!$B110,'Parking Lots &amp; Playgrounds'!$A$9:$N$33,I$2,0)),0,VLOOKUP('Project Details by Yr - MASTER'!$B110,'Parking Lots &amp; Playgrounds'!$A$9:$N$33,I$2,0))+IF(ISNA(VLOOKUP($B110,Vehicles!$B$9:$O$50,I$2,0)),0,VLOOKUP($B110,Vehicles!$B$9:$O$50,I$2,0))</f>
        <v>0</v>
      </c>
      <c r="J110" s="8">
        <f>IF(ISNA(VLOOKUP($B110,'Other Capital Needs'!$C$51:$P$95,J$2,0)),0,VLOOKUP($B110,'Other Capital Needs'!$C$51:$P$95,J$2,0))+IF(ISNA(VLOOKUP('Project Details by Yr - MASTER'!$B110,'Public Grounds'!$A$11:$N$49,J$2,0)),0,VLOOKUP('Project Details by Yr - MASTER'!$B110,'Public Grounds'!$A$11:$N$49,J$2,0))+IF(ISNA(VLOOKUP('Project Details by Yr - MASTER'!$B110,'Public Buildings'!$A$10:$N$96,J$2,0)),0,VLOOKUP('Project Details by Yr - MASTER'!$B110,'Public Buildings'!$A$10:$N$96,J$2,0))+IF(ISNA(VLOOKUP('Project Details by Yr - MASTER'!$B110,Bridges!$A$9:$N$24,J$2,0)),0,VLOOKUP('Project Details by Yr - MASTER'!$B110,Bridges!$A$9:$N$24,J$2,0))+IF(ISNA(VLOOKUP('Project Details by Yr - MASTER'!$B110,'Parking Lots &amp; Playgrounds'!$A$9:$N$33,J$2,0)),0,VLOOKUP('Project Details by Yr - MASTER'!$B110,'Parking Lots &amp; Playgrounds'!$A$9:$N$33,J$2,0))+IF(ISNA(VLOOKUP($B110,Vehicles!$B$9:$O$50,J$2,0)),0,VLOOKUP($B110,Vehicles!$B$9:$O$50,J$2,0))</f>
        <v>0</v>
      </c>
      <c r="K110" s="8">
        <f>IF(ISNA(VLOOKUP($B110,'Other Capital Needs'!$C$51:$P$95,K$2,0)),0,VLOOKUP($B110,'Other Capital Needs'!$C$51:$P$95,K$2,0))+IF(ISNA(VLOOKUP('Project Details by Yr - MASTER'!$B110,'Public Grounds'!$A$11:$N$49,K$2,0)),0,VLOOKUP('Project Details by Yr - MASTER'!$B110,'Public Grounds'!$A$11:$N$49,K$2,0))+IF(ISNA(VLOOKUP('Project Details by Yr - MASTER'!$B110,'Public Buildings'!$A$10:$N$96,K$2,0)),0,VLOOKUP('Project Details by Yr - MASTER'!$B110,'Public Buildings'!$A$10:$N$96,K$2,0))+IF(ISNA(VLOOKUP('Project Details by Yr - MASTER'!$B110,Bridges!$A$9:$N$24,K$2,0)),0,VLOOKUP('Project Details by Yr - MASTER'!$B110,Bridges!$A$9:$N$24,K$2,0))+IF(ISNA(VLOOKUP('Project Details by Yr - MASTER'!$B110,'Parking Lots &amp; Playgrounds'!$A$9:$N$33,K$2,0)),0,VLOOKUP('Project Details by Yr - MASTER'!$B110,'Parking Lots &amp; Playgrounds'!$A$9:$N$33,K$2,0))+IF(ISNA(VLOOKUP($B110,Vehicles!$B$9:$O$50,K$2,0)),0,VLOOKUP($B110,Vehicles!$B$9:$O$50,K$2,0))</f>
        <v>0</v>
      </c>
    </row>
    <row r="111" spans="2:11" x14ac:dyDescent="0.25">
      <c r="B111" s="24" t="s">
        <v>236</v>
      </c>
      <c r="C111" t="s">
        <v>47</v>
      </c>
      <c r="D111" t="s">
        <v>271</v>
      </c>
      <c r="E111" s="1"/>
      <c r="G111" s="8">
        <f>IF(ISNA(VLOOKUP($B111,'Other Capital Needs'!$C$51:$P$95,G$2,0)),0,VLOOKUP($B111,'Other Capital Needs'!$C$51:$P$95,G$2,0))+IF(ISNA(VLOOKUP('Project Details by Yr - MASTER'!$B111,'Public Grounds'!$A$11:$N$49,G$2,0)),0,VLOOKUP('Project Details by Yr - MASTER'!$B111,'Public Grounds'!$A$11:$N$49,G$2,0))+IF(ISNA(VLOOKUP('Project Details by Yr - MASTER'!$B111,'Public Buildings'!$A$10:$N$96,G$2,0)),0,VLOOKUP('Project Details by Yr - MASTER'!$B111,'Public Buildings'!$A$10:$N$96,G$2,0))+IF(ISNA(VLOOKUP('Project Details by Yr - MASTER'!$B111,Bridges!$A$9:$N$24,G$2,0)),0,VLOOKUP('Project Details by Yr - MASTER'!$B111,Bridges!$A$9:$N$24,G$2,0))+IF(ISNA(VLOOKUP('Project Details by Yr - MASTER'!$B111,'Parking Lots &amp; Playgrounds'!$A$9:$N$33,G$2,0)),0,VLOOKUP('Project Details by Yr - MASTER'!$B111,'Parking Lots &amp; Playgrounds'!$A$9:$N$33,G$2,0))+IF(ISNA(VLOOKUP($B111,Vehicles!$B$9:$O$50,G$2,0)),0,VLOOKUP($B111,Vehicles!$B$9:$O$50,G$2,0))</f>
        <v>0</v>
      </c>
      <c r="H111" s="8">
        <f>IF(ISNA(VLOOKUP($B111,'Other Capital Needs'!$C$51:$P$95,H$2,0)),0,VLOOKUP($B111,'Other Capital Needs'!$C$51:$P$95,H$2,0))+IF(ISNA(VLOOKUP('Project Details by Yr - MASTER'!$B111,'Public Grounds'!$A$11:$N$49,H$2,0)),0,VLOOKUP('Project Details by Yr - MASTER'!$B111,'Public Grounds'!$A$11:$N$49,H$2,0))+IF(ISNA(VLOOKUP('Project Details by Yr - MASTER'!$B111,'Public Buildings'!$A$10:$N$96,H$2,0)),0,VLOOKUP('Project Details by Yr - MASTER'!$B111,'Public Buildings'!$A$10:$N$96,H$2,0))+IF(ISNA(VLOOKUP('Project Details by Yr - MASTER'!$B111,Bridges!$A$9:$N$24,H$2,0)),0,VLOOKUP('Project Details by Yr - MASTER'!$B111,Bridges!$A$9:$N$24,H$2,0))+IF(ISNA(VLOOKUP('Project Details by Yr - MASTER'!$B111,'Parking Lots &amp; Playgrounds'!$A$9:$N$33,H$2,0)),0,VLOOKUP('Project Details by Yr - MASTER'!$B111,'Parking Lots &amp; Playgrounds'!$A$9:$N$33,H$2,0))+IF(ISNA(VLOOKUP($B111,Vehicles!$B$9:$O$50,H$2,0)),0,VLOOKUP($B111,Vehicles!$B$9:$O$50,H$2,0))</f>
        <v>0</v>
      </c>
      <c r="I111" s="8">
        <f>IF(ISNA(VLOOKUP($B111,'Other Capital Needs'!$C$51:$P$95,I$2,0)),0,VLOOKUP($B111,'Other Capital Needs'!$C$51:$P$95,I$2,0))+IF(ISNA(VLOOKUP('Project Details by Yr - MASTER'!$B111,'Public Grounds'!$A$11:$N$49,I$2,0)),0,VLOOKUP('Project Details by Yr - MASTER'!$B111,'Public Grounds'!$A$11:$N$49,I$2,0))+IF(ISNA(VLOOKUP('Project Details by Yr - MASTER'!$B111,'Public Buildings'!$A$10:$N$96,I$2,0)),0,VLOOKUP('Project Details by Yr - MASTER'!$B111,'Public Buildings'!$A$10:$N$96,I$2,0))+IF(ISNA(VLOOKUP('Project Details by Yr - MASTER'!$B111,Bridges!$A$9:$N$24,I$2,0)),0,VLOOKUP('Project Details by Yr - MASTER'!$B111,Bridges!$A$9:$N$24,I$2,0))+IF(ISNA(VLOOKUP('Project Details by Yr - MASTER'!$B111,'Parking Lots &amp; Playgrounds'!$A$9:$N$33,I$2,0)),0,VLOOKUP('Project Details by Yr - MASTER'!$B111,'Parking Lots &amp; Playgrounds'!$A$9:$N$33,I$2,0))+IF(ISNA(VLOOKUP($B111,Vehicles!$B$9:$O$50,I$2,0)),0,VLOOKUP($B111,Vehicles!$B$9:$O$50,I$2,0))</f>
        <v>0</v>
      </c>
      <c r="J111" s="8">
        <f>IF(ISNA(VLOOKUP($B111,'Other Capital Needs'!$C$51:$P$95,J$2,0)),0,VLOOKUP($B111,'Other Capital Needs'!$C$51:$P$95,J$2,0))+IF(ISNA(VLOOKUP('Project Details by Yr - MASTER'!$B111,'Public Grounds'!$A$11:$N$49,J$2,0)),0,VLOOKUP('Project Details by Yr - MASTER'!$B111,'Public Grounds'!$A$11:$N$49,J$2,0))+IF(ISNA(VLOOKUP('Project Details by Yr - MASTER'!$B111,'Public Buildings'!$A$10:$N$96,J$2,0)),0,VLOOKUP('Project Details by Yr - MASTER'!$B111,'Public Buildings'!$A$10:$N$96,J$2,0))+IF(ISNA(VLOOKUP('Project Details by Yr - MASTER'!$B111,Bridges!$A$9:$N$24,J$2,0)),0,VLOOKUP('Project Details by Yr - MASTER'!$B111,Bridges!$A$9:$N$24,J$2,0))+IF(ISNA(VLOOKUP('Project Details by Yr - MASTER'!$B111,'Parking Lots &amp; Playgrounds'!$A$9:$N$33,J$2,0)),0,VLOOKUP('Project Details by Yr - MASTER'!$B111,'Parking Lots &amp; Playgrounds'!$A$9:$N$33,J$2,0))+IF(ISNA(VLOOKUP($B111,Vehicles!$B$9:$O$50,J$2,0)),0,VLOOKUP($B111,Vehicles!$B$9:$O$50,J$2,0))</f>
        <v>0</v>
      </c>
      <c r="K111" s="8">
        <f>IF(ISNA(VLOOKUP($B111,'Other Capital Needs'!$C$51:$P$95,K$2,0)),0,VLOOKUP($B111,'Other Capital Needs'!$C$51:$P$95,K$2,0))+IF(ISNA(VLOOKUP('Project Details by Yr - MASTER'!$B111,'Public Grounds'!$A$11:$N$49,K$2,0)),0,VLOOKUP('Project Details by Yr - MASTER'!$B111,'Public Grounds'!$A$11:$N$49,K$2,0))+IF(ISNA(VLOOKUP('Project Details by Yr - MASTER'!$B111,'Public Buildings'!$A$10:$N$96,K$2,0)),0,VLOOKUP('Project Details by Yr - MASTER'!$B111,'Public Buildings'!$A$10:$N$96,K$2,0))+IF(ISNA(VLOOKUP('Project Details by Yr - MASTER'!$B111,Bridges!$A$9:$N$24,K$2,0)),0,VLOOKUP('Project Details by Yr - MASTER'!$B111,Bridges!$A$9:$N$24,K$2,0))+IF(ISNA(VLOOKUP('Project Details by Yr - MASTER'!$B111,'Parking Lots &amp; Playgrounds'!$A$9:$N$33,K$2,0)),0,VLOOKUP('Project Details by Yr - MASTER'!$B111,'Parking Lots &amp; Playgrounds'!$A$9:$N$33,K$2,0))+IF(ISNA(VLOOKUP($B111,Vehicles!$B$9:$O$50,K$2,0)),0,VLOOKUP($B111,Vehicles!$B$9:$O$50,K$2,0))</f>
        <v>0</v>
      </c>
    </row>
    <row r="112" spans="2:11" x14ac:dyDescent="0.25">
      <c r="B112" s="24" t="s">
        <v>237</v>
      </c>
      <c r="C112" t="s">
        <v>47</v>
      </c>
      <c r="D112" t="s">
        <v>271</v>
      </c>
      <c r="E112" s="1"/>
      <c r="G112" s="8">
        <f>IF(ISNA(VLOOKUP($B112,'Other Capital Needs'!$C$51:$P$95,G$2,0)),0,VLOOKUP($B112,'Other Capital Needs'!$C$51:$P$95,G$2,0))+IF(ISNA(VLOOKUP('Project Details by Yr - MASTER'!$B112,'Public Grounds'!$A$11:$N$49,G$2,0)),0,VLOOKUP('Project Details by Yr - MASTER'!$B112,'Public Grounds'!$A$11:$N$49,G$2,0))+IF(ISNA(VLOOKUP('Project Details by Yr - MASTER'!$B112,'Public Buildings'!$A$10:$N$96,G$2,0)),0,VLOOKUP('Project Details by Yr - MASTER'!$B112,'Public Buildings'!$A$10:$N$96,G$2,0))+IF(ISNA(VLOOKUP('Project Details by Yr - MASTER'!$B112,Bridges!$A$9:$N$24,G$2,0)),0,VLOOKUP('Project Details by Yr - MASTER'!$B112,Bridges!$A$9:$N$24,G$2,0))+IF(ISNA(VLOOKUP('Project Details by Yr - MASTER'!$B112,'Parking Lots &amp; Playgrounds'!$A$9:$N$33,G$2,0)),0,VLOOKUP('Project Details by Yr - MASTER'!$B112,'Parking Lots &amp; Playgrounds'!$A$9:$N$33,G$2,0))+IF(ISNA(VLOOKUP($B112,Vehicles!$B$9:$O$50,G$2,0)),0,VLOOKUP($B112,Vehicles!$B$9:$O$50,G$2,0))</f>
        <v>35000</v>
      </c>
      <c r="H112" s="8">
        <f>IF(ISNA(VLOOKUP($B112,'Other Capital Needs'!$C$51:$P$95,H$2,0)),0,VLOOKUP($B112,'Other Capital Needs'!$C$51:$P$95,H$2,0))+IF(ISNA(VLOOKUP('Project Details by Yr - MASTER'!$B112,'Public Grounds'!$A$11:$N$49,H$2,0)),0,VLOOKUP('Project Details by Yr - MASTER'!$B112,'Public Grounds'!$A$11:$N$49,H$2,0))+IF(ISNA(VLOOKUP('Project Details by Yr - MASTER'!$B112,'Public Buildings'!$A$10:$N$96,H$2,0)),0,VLOOKUP('Project Details by Yr - MASTER'!$B112,'Public Buildings'!$A$10:$N$96,H$2,0))+IF(ISNA(VLOOKUP('Project Details by Yr - MASTER'!$B112,Bridges!$A$9:$N$24,H$2,0)),0,VLOOKUP('Project Details by Yr - MASTER'!$B112,Bridges!$A$9:$N$24,H$2,0))+IF(ISNA(VLOOKUP('Project Details by Yr - MASTER'!$B112,'Parking Lots &amp; Playgrounds'!$A$9:$N$33,H$2,0)),0,VLOOKUP('Project Details by Yr - MASTER'!$B112,'Parking Lots &amp; Playgrounds'!$A$9:$N$33,H$2,0))+IF(ISNA(VLOOKUP($B112,Vehicles!$B$9:$O$50,H$2,0)),0,VLOOKUP($B112,Vehicles!$B$9:$O$50,H$2,0))</f>
        <v>0</v>
      </c>
      <c r="I112" s="8">
        <f>IF(ISNA(VLOOKUP($B112,'Other Capital Needs'!$C$51:$P$95,I$2,0)),0,VLOOKUP($B112,'Other Capital Needs'!$C$51:$P$95,I$2,0))+IF(ISNA(VLOOKUP('Project Details by Yr - MASTER'!$B112,'Public Grounds'!$A$11:$N$49,I$2,0)),0,VLOOKUP('Project Details by Yr - MASTER'!$B112,'Public Grounds'!$A$11:$N$49,I$2,0))+IF(ISNA(VLOOKUP('Project Details by Yr - MASTER'!$B112,'Public Buildings'!$A$10:$N$96,I$2,0)),0,VLOOKUP('Project Details by Yr - MASTER'!$B112,'Public Buildings'!$A$10:$N$96,I$2,0))+IF(ISNA(VLOOKUP('Project Details by Yr - MASTER'!$B112,Bridges!$A$9:$N$24,I$2,0)),0,VLOOKUP('Project Details by Yr - MASTER'!$B112,Bridges!$A$9:$N$24,I$2,0))+IF(ISNA(VLOOKUP('Project Details by Yr - MASTER'!$B112,'Parking Lots &amp; Playgrounds'!$A$9:$N$33,I$2,0)),0,VLOOKUP('Project Details by Yr - MASTER'!$B112,'Parking Lots &amp; Playgrounds'!$A$9:$N$33,I$2,0))+IF(ISNA(VLOOKUP($B112,Vehicles!$B$9:$O$50,I$2,0)),0,VLOOKUP($B112,Vehicles!$B$9:$O$50,I$2,0))</f>
        <v>0</v>
      </c>
      <c r="J112" s="8">
        <f>IF(ISNA(VLOOKUP($B112,'Other Capital Needs'!$C$51:$P$95,J$2,0)),0,VLOOKUP($B112,'Other Capital Needs'!$C$51:$P$95,J$2,0))+IF(ISNA(VLOOKUP('Project Details by Yr - MASTER'!$B112,'Public Grounds'!$A$11:$N$49,J$2,0)),0,VLOOKUP('Project Details by Yr - MASTER'!$B112,'Public Grounds'!$A$11:$N$49,J$2,0))+IF(ISNA(VLOOKUP('Project Details by Yr - MASTER'!$B112,'Public Buildings'!$A$10:$N$96,J$2,0)),0,VLOOKUP('Project Details by Yr - MASTER'!$B112,'Public Buildings'!$A$10:$N$96,J$2,0))+IF(ISNA(VLOOKUP('Project Details by Yr - MASTER'!$B112,Bridges!$A$9:$N$24,J$2,0)),0,VLOOKUP('Project Details by Yr - MASTER'!$B112,Bridges!$A$9:$N$24,J$2,0))+IF(ISNA(VLOOKUP('Project Details by Yr - MASTER'!$B112,'Parking Lots &amp; Playgrounds'!$A$9:$N$33,J$2,0)),0,VLOOKUP('Project Details by Yr - MASTER'!$B112,'Parking Lots &amp; Playgrounds'!$A$9:$N$33,J$2,0))+IF(ISNA(VLOOKUP($B112,Vehicles!$B$9:$O$50,J$2,0)),0,VLOOKUP($B112,Vehicles!$B$9:$O$50,J$2,0))</f>
        <v>0</v>
      </c>
      <c r="K112" s="8">
        <f>IF(ISNA(VLOOKUP($B112,'Other Capital Needs'!$C$51:$P$95,K$2,0)),0,VLOOKUP($B112,'Other Capital Needs'!$C$51:$P$95,K$2,0))+IF(ISNA(VLOOKUP('Project Details by Yr - MASTER'!$B112,'Public Grounds'!$A$11:$N$49,K$2,0)),0,VLOOKUP('Project Details by Yr - MASTER'!$B112,'Public Grounds'!$A$11:$N$49,K$2,0))+IF(ISNA(VLOOKUP('Project Details by Yr - MASTER'!$B112,'Public Buildings'!$A$10:$N$96,K$2,0)),0,VLOOKUP('Project Details by Yr - MASTER'!$B112,'Public Buildings'!$A$10:$N$96,K$2,0))+IF(ISNA(VLOOKUP('Project Details by Yr - MASTER'!$B112,Bridges!$A$9:$N$24,K$2,0)),0,VLOOKUP('Project Details by Yr - MASTER'!$B112,Bridges!$A$9:$N$24,K$2,0))+IF(ISNA(VLOOKUP('Project Details by Yr - MASTER'!$B112,'Parking Lots &amp; Playgrounds'!$A$9:$N$33,K$2,0)),0,VLOOKUP('Project Details by Yr - MASTER'!$B112,'Parking Lots &amp; Playgrounds'!$A$9:$N$33,K$2,0))+IF(ISNA(VLOOKUP($B112,Vehicles!$B$9:$O$50,K$2,0)),0,VLOOKUP($B112,Vehicles!$B$9:$O$50,K$2,0))</f>
        <v>0</v>
      </c>
    </row>
    <row r="113" spans="2:11" x14ac:dyDescent="0.25">
      <c r="B113" s="24" t="s">
        <v>230</v>
      </c>
      <c r="C113" t="s">
        <v>47</v>
      </c>
      <c r="D113" t="s">
        <v>271</v>
      </c>
      <c r="E113" s="1"/>
      <c r="G113" s="8">
        <f>IF(ISNA(VLOOKUP($B113,'Other Capital Needs'!$C$51:$P$95,G$2,0)),0,VLOOKUP($B113,'Other Capital Needs'!$C$51:$P$95,G$2,0))+IF(ISNA(VLOOKUP('Project Details by Yr - MASTER'!$B113,'Public Grounds'!$A$11:$N$49,G$2,0)),0,VLOOKUP('Project Details by Yr - MASTER'!$B113,'Public Grounds'!$A$11:$N$49,G$2,0))+IF(ISNA(VLOOKUP('Project Details by Yr - MASTER'!$B113,'Public Buildings'!$A$10:$N$96,G$2,0)),0,VLOOKUP('Project Details by Yr - MASTER'!$B113,'Public Buildings'!$A$10:$N$96,G$2,0))+IF(ISNA(VLOOKUP('Project Details by Yr - MASTER'!$B113,Bridges!$A$9:$N$24,G$2,0)),0,VLOOKUP('Project Details by Yr - MASTER'!$B113,Bridges!$A$9:$N$24,G$2,0))+IF(ISNA(VLOOKUP('Project Details by Yr - MASTER'!$B113,'Parking Lots &amp; Playgrounds'!$A$9:$N$33,G$2,0)),0,VLOOKUP('Project Details by Yr - MASTER'!$B113,'Parking Lots &amp; Playgrounds'!$A$9:$N$33,G$2,0))+IF(ISNA(VLOOKUP($B113,Vehicles!$B$9:$O$50,G$2,0)),0,VLOOKUP($B113,Vehicles!$B$9:$O$50,G$2,0))</f>
        <v>0</v>
      </c>
      <c r="H113" s="8">
        <f>IF(ISNA(VLOOKUP($B113,'Other Capital Needs'!$C$51:$P$95,H$2,0)),0,VLOOKUP($B113,'Other Capital Needs'!$C$51:$P$95,H$2,0))+IF(ISNA(VLOOKUP('Project Details by Yr - MASTER'!$B113,'Public Grounds'!$A$11:$N$49,H$2,0)),0,VLOOKUP('Project Details by Yr - MASTER'!$B113,'Public Grounds'!$A$11:$N$49,H$2,0))+IF(ISNA(VLOOKUP('Project Details by Yr - MASTER'!$B113,'Public Buildings'!$A$10:$N$96,H$2,0)),0,VLOOKUP('Project Details by Yr - MASTER'!$B113,'Public Buildings'!$A$10:$N$96,H$2,0))+IF(ISNA(VLOOKUP('Project Details by Yr - MASTER'!$B113,Bridges!$A$9:$N$24,H$2,0)),0,VLOOKUP('Project Details by Yr - MASTER'!$B113,Bridges!$A$9:$N$24,H$2,0))+IF(ISNA(VLOOKUP('Project Details by Yr - MASTER'!$B113,'Parking Lots &amp; Playgrounds'!$A$9:$N$33,H$2,0)),0,VLOOKUP('Project Details by Yr - MASTER'!$B113,'Parking Lots &amp; Playgrounds'!$A$9:$N$33,H$2,0))+IF(ISNA(VLOOKUP($B113,Vehicles!$B$9:$O$50,H$2,0)),0,VLOOKUP($B113,Vehicles!$B$9:$O$50,H$2,0))</f>
        <v>0</v>
      </c>
      <c r="I113" s="8">
        <f>IF(ISNA(VLOOKUP($B113,'Other Capital Needs'!$C$51:$P$95,I$2,0)),0,VLOOKUP($B113,'Other Capital Needs'!$C$51:$P$95,I$2,0))+IF(ISNA(VLOOKUP('Project Details by Yr - MASTER'!$B113,'Public Grounds'!$A$11:$N$49,I$2,0)),0,VLOOKUP('Project Details by Yr - MASTER'!$B113,'Public Grounds'!$A$11:$N$49,I$2,0))+IF(ISNA(VLOOKUP('Project Details by Yr - MASTER'!$B113,'Public Buildings'!$A$10:$N$96,I$2,0)),0,VLOOKUP('Project Details by Yr - MASTER'!$B113,'Public Buildings'!$A$10:$N$96,I$2,0))+IF(ISNA(VLOOKUP('Project Details by Yr - MASTER'!$B113,Bridges!$A$9:$N$24,I$2,0)),0,VLOOKUP('Project Details by Yr - MASTER'!$B113,Bridges!$A$9:$N$24,I$2,0))+IF(ISNA(VLOOKUP('Project Details by Yr - MASTER'!$B113,'Parking Lots &amp; Playgrounds'!$A$9:$N$33,I$2,0)),0,VLOOKUP('Project Details by Yr - MASTER'!$B113,'Parking Lots &amp; Playgrounds'!$A$9:$N$33,I$2,0))+IF(ISNA(VLOOKUP($B113,Vehicles!$B$9:$O$50,I$2,0)),0,VLOOKUP($B113,Vehicles!$B$9:$O$50,I$2,0))</f>
        <v>0</v>
      </c>
      <c r="J113" s="8">
        <f>IF(ISNA(VLOOKUP($B113,'Other Capital Needs'!$C$51:$P$95,J$2,0)),0,VLOOKUP($B113,'Other Capital Needs'!$C$51:$P$95,J$2,0))+IF(ISNA(VLOOKUP('Project Details by Yr - MASTER'!$B113,'Public Grounds'!$A$11:$N$49,J$2,0)),0,VLOOKUP('Project Details by Yr - MASTER'!$B113,'Public Grounds'!$A$11:$N$49,J$2,0))+IF(ISNA(VLOOKUP('Project Details by Yr - MASTER'!$B113,'Public Buildings'!$A$10:$N$96,J$2,0)),0,VLOOKUP('Project Details by Yr - MASTER'!$B113,'Public Buildings'!$A$10:$N$96,J$2,0))+IF(ISNA(VLOOKUP('Project Details by Yr - MASTER'!$B113,Bridges!$A$9:$N$24,J$2,0)),0,VLOOKUP('Project Details by Yr - MASTER'!$B113,Bridges!$A$9:$N$24,J$2,0))+IF(ISNA(VLOOKUP('Project Details by Yr - MASTER'!$B113,'Parking Lots &amp; Playgrounds'!$A$9:$N$33,J$2,0)),0,VLOOKUP('Project Details by Yr - MASTER'!$B113,'Parking Lots &amp; Playgrounds'!$A$9:$N$33,J$2,0))+IF(ISNA(VLOOKUP($B113,Vehicles!$B$9:$O$50,J$2,0)),0,VLOOKUP($B113,Vehicles!$B$9:$O$50,J$2,0))</f>
        <v>850000</v>
      </c>
      <c r="K113" s="8">
        <f>IF(ISNA(VLOOKUP($B113,'Other Capital Needs'!$C$51:$P$95,K$2,0)),0,VLOOKUP($B113,'Other Capital Needs'!$C$51:$P$95,K$2,0))+IF(ISNA(VLOOKUP('Project Details by Yr - MASTER'!$B113,'Public Grounds'!$A$11:$N$49,K$2,0)),0,VLOOKUP('Project Details by Yr - MASTER'!$B113,'Public Grounds'!$A$11:$N$49,K$2,0))+IF(ISNA(VLOOKUP('Project Details by Yr - MASTER'!$B113,'Public Buildings'!$A$10:$N$96,K$2,0)),0,VLOOKUP('Project Details by Yr - MASTER'!$B113,'Public Buildings'!$A$10:$N$96,K$2,0))+IF(ISNA(VLOOKUP('Project Details by Yr - MASTER'!$B113,Bridges!$A$9:$N$24,K$2,0)),0,VLOOKUP('Project Details by Yr - MASTER'!$B113,Bridges!$A$9:$N$24,K$2,0))+IF(ISNA(VLOOKUP('Project Details by Yr - MASTER'!$B113,'Parking Lots &amp; Playgrounds'!$A$9:$N$33,K$2,0)),0,VLOOKUP('Project Details by Yr - MASTER'!$B113,'Parking Lots &amp; Playgrounds'!$A$9:$N$33,K$2,0))+IF(ISNA(VLOOKUP($B113,Vehicles!$B$9:$O$50,K$2,0)),0,VLOOKUP($B113,Vehicles!$B$9:$O$50,K$2,0))</f>
        <v>0</v>
      </c>
    </row>
    <row r="114" spans="2:11" x14ac:dyDescent="0.25">
      <c r="B114" s="24" t="s">
        <v>238</v>
      </c>
      <c r="C114" t="s">
        <v>47</v>
      </c>
      <c r="D114" t="s">
        <v>271</v>
      </c>
      <c r="E114" s="1"/>
      <c r="G114" s="8">
        <f>IF(ISNA(VLOOKUP($B114,'Other Capital Needs'!$C$51:$P$95,G$2,0)),0,VLOOKUP($B114,'Other Capital Needs'!$C$51:$P$95,G$2,0))+IF(ISNA(VLOOKUP('Project Details by Yr - MASTER'!$B114,'Public Grounds'!$A$11:$N$49,G$2,0)),0,VLOOKUP('Project Details by Yr - MASTER'!$B114,'Public Grounds'!$A$11:$N$49,G$2,0))+IF(ISNA(VLOOKUP('Project Details by Yr - MASTER'!$B114,'Public Buildings'!$A$10:$N$96,G$2,0)),0,VLOOKUP('Project Details by Yr - MASTER'!$B114,'Public Buildings'!$A$10:$N$96,G$2,0))+IF(ISNA(VLOOKUP('Project Details by Yr - MASTER'!$B114,Bridges!$A$9:$N$24,G$2,0)),0,VLOOKUP('Project Details by Yr - MASTER'!$B114,Bridges!$A$9:$N$24,G$2,0))+IF(ISNA(VLOOKUP('Project Details by Yr - MASTER'!$B114,'Parking Lots &amp; Playgrounds'!$A$9:$N$33,G$2,0)),0,VLOOKUP('Project Details by Yr - MASTER'!$B114,'Parking Lots &amp; Playgrounds'!$A$9:$N$33,G$2,0))+IF(ISNA(VLOOKUP($B114,Vehicles!$B$9:$O$50,G$2,0)),0,VLOOKUP($B114,Vehicles!$B$9:$O$50,G$2,0))</f>
        <v>0</v>
      </c>
      <c r="H114" s="8">
        <f>IF(ISNA(VLOOKUP($B114,'Other Capital Needs'!$C$51:$P$95,H$2,0)),0,VLOOKUP($B114,'Other Capital Needs'!$C$51:$P$95,H$2,0))+IF(ISNA(VLOOKUP('Project Details by Yr - MASTER'!$B114,'Public Grounds'!$A$11:$N$49,H$2,0)),0,VLOOKUP('Project Details by Yr - MASTER'!$B114,'Public Grounds'!$A$11:$N$49,H$2,0))+IF(ISNA(VLOOKUP('Project Details by Yr - MASTER'!$B114,'Public Buildings'!$A$10:$N$96,H$2,0)),0,VLOOKUP('Project Details by Yr - MASTER'!$B114,'Public Buildings'!$A$10:$N$96,H$2,0))+IF(ISNA(VLOOKUP('Project Details by Yr - MASTER'!$B114,Bridges!$A$9:$N$24,H$2,0)),0,VLOOKUP('Project Details by Yr - MASTER'!$B114,Bridges!$A$9:$N$24,H$2,0))+IF(ISNA(VLOOKUP('Project Details by Yr - MASTER'!$B114,'Parking Lots &amp; Playgrounds'!$A$9:$N$33,H$2,0)),0,VLOOKUP('Project Details by Yr - MASTER'!$B114,'Parking Lots &amp; Playgrounds'!$A$9:$N$33,H$2,0))+IF(ISNA(VLOOKUP($B114,Vehicles!$B$9:$O$50,H$2,0)),0,VLOOKUP($B114,Vehicles!$B$9:$O$50,H$2,0))</f>
        <v>0</v>
      </c>
      <c r="I114" s="8">
        <f>IF(ISNA(VLOOKUP($B114,'Other Capital Needs'!$C$51:$P$95,I$2,0)),0,VLOOKUP($B114,'Other Capital Needs'!$C$51:$P$95,I$2,0))+IF(ISNA(VLOOKUP('Project Details by Yr - MASTER'!$B114,'Public Grounds'!$A$11:$N$49,I$2,0)),0,VLOOKUP('Project Details by Yr - MASTER'!$B114,'Public Grounds'!$A$11:$N$49,I$2,0))+IF(ISNA(VLOOKUP('Project Details by Yr - MASTER'!$B114,'Public Buildings'!$A$10:$N$96,I$2,0)),0,VLOOKUP('Project Details by Yr - MASTER'!$B114,'Public Buildings'!$A$10:$N$96,I$2,0))+IF(ISNA(VLOOKUP('Project Details by Yr - MASTER'!$B114,Bridges!$A$9:$N$24,I$2,0)),0,VLOOKUP('Project Details by Yr - MASTER'!$B114,Bridges!$A$9:$N$24,I$2,0))+IF(ISNA(VLOOKUP('Project Details by Yr - MASTER'!$B114,'Parking Lots &amp; Playgrounds'!$A$9:$N$33,I$2,0)),0,VLOOKUP('Project Details by Yr - MASTER'!$B114,'Parking Lots &amp; Playgrounds'!$A$9:$N$33,I$2,0))+IF(ISNA(VLOOKUP($B114,Vehicles!$B$9:$O$50,I$2,0)),0,VLOOKUP($B114,Vehicles!$B$9:$O$50,I$2,0))</f>
        <v>0</v>
      </c>
      <c r="J114" s="8">
        <f>IF(ISNA(VLOOKUP($B114,'Other Capital Needs'!$C$51:$P$95,J$2,0)),0,VLOOKUP($B114,'Other Capital Needs'!$C$51:$P$95,J$2,0))+IF(ISNA(VLOOKUP('Project Details by Yr - MASTER'!$B114,'Public Grounds'!$A$11:$N$49,J$2,0)),0,VLOOKUP('Project Details by Yr - MASTER'!$B114,'Public Grounds'!$A$11:$N$49,J$2,0))+IF(ISNA(VLOOKUP('Project Details by Yr - MASTER'!$B114,'Public Buildings'!$A$10:$N$96,J$2,0)),0,VLOOKUP('Project Details by Yr - MASTER'!$B114,'Public Buildings'!$A$10:$N$96,J$2,0))+IF(ISNA(VLOOKUP('Project Details by Yr - MASTER'!$B114,Bridges!$A$9:$N$24,J$2,0)),0,VLOOKUP('Project Details by Yr - MASTER'!$B114,Bridges!$A$9:$N$24,J$2,0))+IF(ISNA(VLOOKUP('Project Details by Yr - MASTER'!$B114,'Parking Lots &amp; Playgrounds'!$A$9:$N$33,J$2,0)),0,VLOOKUP('Project Details by Yr - MASTER'!$B114,'Parking Lots &amp; Playgrounds'!$A$9:$N$33,J$2,0))+IF(ISNA(VLOOKUP($B114,Vehicles!$B$9:$O$50,J$2,0)),0,VLOOKUP($B114,Vehicles!$B$9:$O$50,J$2,0))</f>
        <v>0</v>
      </c>
      <c r="K114" s="8">
        <f>IF(ISNA(VLOOKUP($B114,'Other Capital Needs'!$C$51:$P$95,K$2,0)),0,VLOOKUP($B114,'Other Capital Needs'!$C$51:$P$95,K$2,0))+IF(ISNA(VLOOKUP('Project Details by Yr - MASTER'!$B114,'Public Grounds'!$A$11:$N$49,K$2,0)),0,VLOOKUP('Project Details by Yr - MASTER'!$B114,'Public Grounds'!$A$11:$N$49,K$2,0))+IF(ISNA(VLOOKUP('Project Details by Yr - MASTER'!$B114,'Public Buildings'!$A$10:$N$96,K$2,0)),0,VLOOKUP('Project Details by Yr - MASTER'!$B114,'Public Buildings'!$A$10:$N$96,K$2,0))+IF(ISNA(VLOOKUP('Project Details by Yr - MASTER'!$B114,Bridges!$A$9:$N$24,K$2,0)),0,VLOOKUP('Project Details by Yr - MASTER'!$B114,Bridges!$A$9:$N$24,K$2,0))+IF(ISNA(VLOOKUP('Project Details by Yr - MASTER'!$B114,'Parking Lots &amp; Playgrounds'!$A$9:$N$33,K$2,0)),0,VLOOKUP('Project Details by Yr - MASTER'!$B114,'Parking Lots &amp; Playgrounds'!$A$9:$N$33,K$2,0))+IF(ISNA(VLOOKUP($B114,Vehicles!$B$9:$O$50,K$2,0)),0,VLOOKUP($B114,Vehicles!$B$9:$O$50,K$2,0))</f>
        <v>250000</v>
      </c>
    </row>
    <row r="115" spans="2:11" x14ac:dyDescent="0.25">
      <c r="B115" t="s">
        <v>225</v>
      </c>
      <c r="C115" t="s">
        <v>47</v>
      </c>
      <c r="D115" t="s">
        <v>271</v>
      </c>
      <c r="E115" s="1" t="s">
        <v>16</v>
      </c>
      <c r="G115" s="8">
        <f>IF(ISNA(VLOOKUP($B115,'Other Capital Needs'!$C$51:$P$95,G$2,0)),0,VLOOKUP($B115,'Other Capital Needs'!$C$51:$P$95,G$2,0))+IF(ISNA(VLOOKUP('Project Details by Yr - MASTER'!$B115,'Public Grounds'!$A$11:$N$49,G$2,0)),0,VLOOKUP('Project Details by Yr - MASTER'!$B115,'Public Grounds'!$A$11:$N$49,G$2,0))+IF(ISNA(VLOOKUP('Project Details by Yr - MASTER'!$B115,'Public Buildings'!$A$10:$N$96,G$2,0)),0,VLOOKUP('Project Details by Yr - MASTER'!$B115,'Public Buildings'!$A$10:$N$96,G$2,0))+IF(ISNA(VLOOKUP('Project Details by Yr - MASTER'!$B115,Bridges!$A$9:$N$24,G$2,0)),0,VLOOKUP('Project Details by Yr - MASTER'!$B115,Bridges!$A$9:$N$24,G$2,0))+IF(ISNA(VLOOKUP('Project Details by Yr - MASTER'!$B115,'Parking Lots &amp; Playgrounds'!$A$9:$N$33,G$2,0)),0,VLOOKUP('Project Details by Yr - MASTER'!$B115,'Parking Lots &amp; Playgrounds'!$A$9:$N$33,G$2,0))+IF(ISNA(VLOOKUP($B115,Vehicles!$B$9:$O$50,G$2,0)),0,VLOOKUP($B115,Vehicles!$B$9:$O$50,G$2,0))</f>
        <v>25000</v>
      </c>
      <c r="H115" s="8">
        <f>IF(ISNA(VLOOKUP($B115,'Other Capital Needs'!$C$51:$P$95,H$2,0)),0,VLOOKUP($B115,'Other Capital Needs'!$C$51:$P$95,H$2,0))+IF(ISNA(VLOOKUP('Project Details by Yr - MASTER'!$B115,'Public Grounds'!$A$11:$N$49,H$2,0)),0,VLOOKUP('Project Details by Yr - MASTER'!$B115,'Public Grounds'!$A$11:$N$49,H$2,0))+IF(ISNA(VLOOKUP('Project Details by Yr - MASTER'!$B115,'Public Buildings'!$A$10:$N$96,H$2,0)),0,VLOOKUP('Project Details by Yr - MASTER'!$B115,'Public Buildings'!$A$10:$N$96,H$2,0))+IF(ISNA(VLOOKUP('Project Details by Yr - MASTER'!$B115,Bridges!$A$9:$N$24,H$2,0)),0,VLOOKUP('Project Details by Yr - MASTER'!$B115,Bridges!$A$9:$N$24,H$2,0))+IF(ISNA(VLOOKUP('Project Details by Yr - MASTER'!$B115,'Parking Lots &amp; Playgrounds'!$A$9:$N$33,H$2,0)),0,VLOOKUP('Project Details by Yr - MASTER'!$B115,'Parking Lots &amp; Playgrounds'!$A$9:$N$33,H$2,0))+IF(ISNA(VLOOKUP($B115,Vehicles!$B$9:$O$50,H$2,0)),0,VLOOKUP($B115,Vehicles!$B$9:$O$50,H$2,0))</f>
        <v>25000</v>
      </c>
      <c r="I115" s="8">
        <f>IF(ISNA(VLOOKUP($B115,'Other Capital Needs'!$C$51:$P$95,I$2,0)),0,VLOOKUP($B115,'Other Capital Needs'!$C$51:$P$95,I$2,0))+IF(ISNA(VLOOKUP('Project Details by Yr - MASTER'!$B115,'Public Grounds'!$A$11:$N$49,I$2,0)),0,VLOOKUP('Project Details by Yr - MASTER'!$B115,'Public Grounds'!$A$11:$N$49,I$2,0))+IF(ISNA(VLOOKUP('Project Details by Yr - MASTER'!$B115,'Public Buildings'!$A$10:$N$96,I$2,0)),0,VLOOKUP('Project Details by Yr - MASTER'!$B115,'Public Buildings'!$A$10:$N$96,I$2,0))+IF(ISNA(VLOOKUP('Project Details by Yr - MASTER'!$B115,Bridges!$A$9:$N$24,I$2,0)),0,VLOOKUP('Project Details by Yr - MASTER'!$B115,Bridges!$A$9:$N$24,I$2,0))+IF(ISNA(VLOOKUP('Project Details by Yr - MASTER'!$B115,'Parking Lots &amp; Playgrounds'!$A$9:$N$33,I$2,0)),0,VLOOKUP('Project Details by Yr - MASTER'!$B115,'Parking Lots &amp; Playgrounds'!$A$9:$N$33,I$2,0))+IF(ISNA(VLOOKUP($B115,Vehicles!$B$9:$O$50,I$2,0)),0,VLOOKUP($B115,Vehicles!$B$9:$O$50,I$2,0))</f>
        <v>25000</v>
      </c>
      <c r="J115" s="8">
        <f>IF(ISNA(VLOOKUP($B115,'Other Capital Needs'!$C$51:$P$95,J$2,0)),0,VLOOKUP($B115,'Other Capital Needs'!$C$51:$P$95,J$2,0))+IF(ISNA(VLOOKUP('Project Details by Yr - MASTER'!$B115,'Public Grounds'!$A$11:$N$49,J$2,0)),0,VLOOKUP('Project Details by Yr - MASTER'!$B115,'Public Grounds'!$A$11:$N$49,J$2,0))+IF(ISNA(VLOOKUP('Project Details by Yr - MASTER'!$B115,'Public Buildings'!$A$10:$N$96,J$2,0)),0,VLOOKUP('Project Details by Yr - MASTER'!$B115,'Public Buildings'!$A$10:$N$96,J$2,0))+IF(ISNA(VLOOKUP('Project Details by Yr - MASTER'!$B115,Bridges!$A$9:$N$24,J$2,0)),0,VLOOKUP('Project Details by Yr - MASTER'!$B115,Bridges!$A$9:$N$24,J$2,0))+IF(ISNA(VLOOKUP('Project Details by Yr - MASTER'!$B115,'Parking Lots &amp; Playgrounds'!$A$9:$N$33,J$2,0)),0,VLOOKUP('Project Details by Yr - MASTER'!$B115,'Parking Lots &amp; Playgrounds'!$A$9:$N$33,J$2,0))+IF(ISNA(VLOOKUP($B115,Vehicles!$B$9:$O$50,J$2,0)),0,VLOOKUP($B115,Vehicles!$B$9:$O$50,J$2,0))</f>
        <v>25000</v>
      </c>
      <c r="K115" s="8">
        <f>IF(ISNA(VLOOKUP($B115,'Other Capital Needs'!$C$51:$P$95,K$2,0)),0,VLOOKUP($B115,'Other Capital Needs'!$C$51:$P$95,K$2,0))+IF(ISNA(VLOOKUP('Project Details by Yr - MASTER'!$B115,'Public Grounds'!$A$11:$N$49,K$2,0)),0,VLOOKUP('Project Details by Yr - MASTER'!$B115,'Public Grounds'!$A$11:$N$49,K$2,0))+IF(ISNA(VLOOKUP('Project Details by Yr - MASTER'!$B115,'Public Buildings'!$A$10:$N$96,K$2,0)),0,VLOOKUP('Project Details by Yr - MASTER'!$B115,'Public Buildings'!$A$10:$N$96,K$2,0))+IF(ISNA(VLOOKUP('Project Details by Yr - MASTER'!$B115,Bridges!$A$9:$N$24,K$2,0)),0,VLOOKUP('Project Details by Yr - MASTER'!$B115,Bridges!$A$9:$N$24,K$2,0))+IF(ISNA(VLOOKUP('Project Details by Yr - MASTER'!$B115,'Parking Lots &amp; Playgrounds'!$A$9:$N$33,K$2,0)),0,VLOOKUP('Project Details by Yr - MASTER'!$B115,'Parking Lots &amp; Playgrounds'!$A$9:$N$33,K$2,0))+IF(ISNA(VLOOKUP($B115,Vehicles!$B$9:$O$50,K$2,0)),0,VLOOKUP($B115,Vehicles!$B$9:$O$50,K$2,0))</f>
        <v>25000</v>
      </c>
    </row>
    <row r="116" spans="2:11" x14ac:dyDescent="0.25">
      <c r="B116" t="s">
        <v>104</v>
      </c>
      <c r="C116" t="s">
        <v>47</v>
      </c>
      <c r="D116" t="s">
        <v>272</v>
      </c>
      <c r="E116" s="1" t="s">
        <v>19</v>
      </c>
      <c r="G116" s="8">
        <f>IF(ISNA(VLOOKUP($B116,'Other Capital Needs'!$C$51:$P$95,G$2,0)),0,VLOOKUP($B116,'Other Capital Needs'!$C$51:$P$95,G$2,0))+IF(ISNA(VLOOKUP('Project Details by Yr - MASTER'!$B116,'Public Grounds'!$A$11:$N$49,G$2,0)),0,VLOOKUP('Project Details by Yr - MASTER'!$B116,'Public Grounds'!$A$11:$N$49,G$2,0))+IF(ISNA(VLOOKUP('Project Details by Yr - MASTER'!$B116,'Public Buildings'!$A$10:$N$96,G$2,0)),0,VLOOKUP('Project Details by Yr - MASTER'!$B116,'Public Buildings'!$A$10:$N$96,G$2,0))+IF(ISNA(VLOOKUP('Project Details by Yr - MASTER'!$B116,Bridges!$A$9:$N$24,G$2,0)),0,VLOOKUP('Project Details by Yr - MASTER'!$B116,Bridges!$A$9:$N$24,G$2,0))+IF(ISNA(VLOOKUP('Project Details by Yr - MASTER'!$B116,'Parking Lots &amp; Playgrounds'!$A$9:$N$33,G$2,0)),0,VLOOKUP('Project Details by Yr - MASTER'!$B116,'Parking Lots &amp; Playgrounds'!$A$9:$N$33,G$2,0))+IF(ISNA(VLOOKUP($B116,Vehicles!$B$9:$O$50,G$2,0)),0,VLOOKUP($B116,Vehicles!$B$9:$O$50,G$2,0))</f>
        <v>0</v>
      </c>
      <c r="H116" s="8">
        <f>IF(ISNA(VLOOKUP($B116,'Other Capital Needs'!$C$51:$P$95,H$2,0)),0,VLOOKUP($B116,'Other Capital Needs'!$C$51:$P$95,H$2,0))+IF(ISNA(VLOOKUP('Project Details by Yr - MASTER'!$B116,'Public Grounds'!$A$11:$N$49,H$2,0)),0,VLOOKUP('Project Details by Yr - MASTER'!$B116,'Public Grounds'!$A$11:$N$49,H$2,0))+IF(ISNA(VLOOKUP('Project Details by Yr - MASTER'!$B116,'Public Buildings'!$A$10:$N$96,H$2,0)),0,VLOOKUP('Project Details by Yr - MASTER'!$B116,'Public Buildings'!$A$10:$N$96,H$2,0))+IF(ISNA(VLOOKUP('Project Details by Yr - MASTER'!$B116,Bridges!$A$9:$N$24,H$2,0)),0,VLOOKUP('Project Details by Yr - MASTER'!$B116,Bridges!$A$9:$N$24,H$2,0))+IF(ISNA(VLOOKUP('Project Details by Yr - MASTER'!$B116,'Parking Lots &amp; Playgrounds'!$A$9:$N$33,H$2,0)),0,VLOOKUP('Project Details by Yr - MASTER'!$B116,'Parking Lots &amp; Playgrounds'!$A$9:$N$33,H$2,0))+IF(ISNA(VLOOKUP($B116,Vehicles!$B$9:$O$50,H$2,0)),0,VLOOKUP($B116,Vehicles!$B$9:$O$50,H$2,0))</f>
        <v>0</v>
      </c>
      <c r="I116" s="8">
        <f>IF(ISNA(VLOOKUP($B116,'Other Capital Needs'!$C$51:$P$95,I$2,0)),0,VLOOKUP($B116,'Other Capital Needs'!$C$51:$P$95,I$2,0))+IF(ISNA(VLOOKUP('Project Details by Yr - MASTER'!$B116,'Public Grounds'!$A$11:$N$49,I$2,0)),0,VLOOKUP('Project Details by Yr - MASTER'!$B116,'Public Grounds'!$A$11:$N$49,I$2,0))+IF(ISNA(VLOOKUP('Project Details by Yr - MASTER'!$B116,'Public Buildings'!$A$10:$N$96,I$2,0)),0,VLOOKUP('Project Details by Yr - MASTER'!$B116,'Public Buildings'!$A$10:$N$96,I$2,0))+IF(ISNA(VLOOKUP('Project Details by Yr - MASTER'!$B116,Bridges!$A$9:$N$24,I$2,0)),0,VLOOKUP('Project Details by Yr - MASTER'!$B116,Bridges!$A$9:$N$24,I$2,0))+IF(ISNA(VLOOKUP('Project Details by Yr - MASTER'!$B116,'Parking Lots &amp; Playgrounds'!$A$9:$N$33,I$2,0)),0,VLOOKUP('Project Details by Yr - MASTER'!$B116,'Parking Lots &amp; Playgrounds'!$A$9:$N$33,I$2,0))+IF(ISNA(VLOOKUP($B116,Vehicles!$B$9:$O$50,I$2,0)),0,VLOOKUP($B116,Vehicles!$B$9:$O$50,I$2,0))</f>
        <v>0</v>
      </c>
      <c r="J116" s="8">
        <f>IF(ISNA(VLOOKUP($B116,'Other Capital Needs'!$C$51:$P$95,J$2,0)),0,VLOOKUP($B116,'Other Capital Needs'!$C$51:$P$95,J$2,0))+IF(ISNA(VLOOKUP('Project Details by Yr - MASTER'!$B116,'Public Grounds'!$A$11:$N$49,J$2,0)),0,VLOOKUP('Project Details by Yr - MASTER'!$B116,'Public Grounds'!$A$11:$N$49,J$2,0))+IF(ISNA(VLOOKUP('Project Details by Yr - MASTER'!$B116,'Public Buildings'!$A$10:$N$96,J$2,0)),0,VLOOKUP('Project Details by Yr - MASTER'!$B116,'Public Buildings'!$A$10:$N$96,J$2,0))+IF(ISNA(VLOOKUP('Project Details by Yr - MASTER'!$B116,Bridges!$A$9:$N$24,J$2,0)),0,VLOOKUP('Project Details by Yr - MASTER'!$B116,Bridges!$A$9:$N$24,J$2,0))+IF(ISNA(VLOOKUP('Project Details by Yr - MASTER'!$B116,'Parking Lots &amp; Playgrounds'!$A$9:$N$33,J$2,0)),0,VLOOKUP('Project Details by Yr - MASTER'!$B116,'Parking Lots &amp; Playgrounds'!$A$9:$N$33,J$2,0))+IF(ISNA(VLOOKUP($B116,Vehicles!$B$9:$O$50,J$2,0)),0,VLOOKUP($B116,Vehicles!$B$9:$O$50,J$2,0))</f>
        <v>0</v>
      </c>
      <c r="K116" s="8">
        <f>IF(ISNA(VLOOKUP($B116,'Other Capital Needs'!$C$51:$P$95,K$2,0)),0,VLOOKUP($B116,'Other Capital Needs'!$C$51:$P$95,K$2,0))+IF(ISNA(VLOOKUP('Project Details by Yr - MASTER'!$B116,'Public Grounds'!$A$11:$N$49,K$2,0)),0,VLOOKUP('Project Details by Yr - MASTER'!$B116,'Public Grounds'!$A$11:$N$49,K$2,0))+IF(ISNA(VLOOKUP('Project Details by Yr - MASTER'!$B116,'Public Buildings'!$A$10:$N$96,K$2,0)),0,VLOOKUP('Project Details by Yr - MASTER'!$B116,'Public Buildings'!$A$10:$N$96,K$2,0))+IF(ISNA(VLOOKUP('Project Details by Yr - MASTER'!$B116,Bridges!$A$9:$N$24,K$2,0)),0,VLOOKUP('Project Details by Yr - MASTER'!$B116,Bridges!$A$9:$N$24,K$2,0))+IF(ISNA(VLOOKUP('Project Details by Yr - MASTER'!$B116,'Parking Lots &amp; Playgrounds'!$A$9:$N$33,K$2,0)),0,VLOOKUP('Project Details by Yr - MASTER'!$B116,'Parking Lots &amp; Playgrounds'!$A$9:$N$33,K$2,0))+IF(ISNA(VLOOKUP($B116,Vehicles!$B$9:$O$50,K$2,0)),0,VLOOKUP($B116,Vehicles!$B$9:$O$50,K$2,0))</f>
        <v>0</v>
      </c>
    </row>
    <row r="117" spans="2:11" x14ac:dyDescent="0.25">
      <c r="B117" t="s">
        <v>108</v>
      </c>
      <c r="C117" t="s">
        <v>47</v>
      </c>
      <c r="D117" t="s">
        <v>272</v>
      </c>
      <c r="E117" s="1" t="s">
        <v>16</v>
      </c>
      <c r="G117" s="8">
        <f>IF(ISNA(VLOOKUP($B117,'Other Capital Needs'!$C$51:$P$95,G$2,0)),0,VLOOKUP($B117,'Other Capital Needs'!$C$51:$P$95,G$2,0))+IF(ISNA(VLOOKUP('Project Details by Yr - MASTER'!$B117,'Public Grounds'!$A$11:$N$49,G$2,0)),0,VLOOKUP('Project Details by Yr - MASTER'!$B117,'Public Grounds'!$A$11:$N$49,G$2,0))+IF(ISNA(VLOOKUP('Project Details by Yr - MASTER'!$B117,'Public Buildings'!$A$10:$N$96,G$2,0)),0,VLOOKUP('Project Details by Yr - MASTER'!$B117,'Public Buildings'!$A$10:$N$96,G$2,0))+IF(ISNA(VLOOKUP('Project Details by Yr - MASTER'!$B117,Bridges!$A$9:$N$24,G$2,0)),0,VLOOKUP('Project Details by Yr - MASTER'!$B117,Bridges!$A$9:$N$24,G$2,0))+IF(ISNA(VLOOKUP('Project Details by Yr - MASTER'!$B117,'Parking Lots &amp; Playgrounds'!$A$9:$N$33,G$2,0)),0,VLOOKUP('Project Details by Yr - MASTER'!$B117,'Parking Lots &amp; Playgrounds'!$A$9:$N$33,G$2,0))+IF(ISNA(VLOOKUP($B117,Vehicles!$B$9:$O$50,G$2,0)),0,VLOOKUP($B117,Vehicles!$B$9:$O$50,G$2,0))</f>
        <v>0</v>
      </c>
      <c r="H117" s="8">
        <f>IF(ISNA(VLOOKUP($B117,'Other Capital Needs'!$C$51:$P$95,H$2,0)),0,VLOOKUP($B117,'Other Capital Needs'!$C$51:$P$95,H$2,0))+IF(ISNA(VLOOKUP('Project Details by Yr - MASTER'!$B117,'Public Grounds'!$A$11:$N$49,H$2,0)),0,VLOOKUP('Project Details by Yr - MASTER'!$B117,'Public Grounds'!$A$11:$N$49,H$2,0))+IF(ISNA(VLOOKUP('Project Details by Yr - MASTER'!$B117,'Public Buildings'!$A$10:$N$96,H$2,0)),0,VLOOKUP('Project Details by Yr - MASTER'!$B117,'Public Buildings'!$A$10:$N$96,H$2,0))+IF(ISNA(VLOOKUP('Project Details by Yr - MASTER'!$B117,Bridges!$A$9:$N$24,H$2,0)),0,VLOOKUP('Project Details by Yr - MASTER'!$B117,Bridges!$A$9:$N$24,H$2,0))+IF(ISNA(VLOOKUP('Project Details by Yr - MASTER'!$B117,'Parking Lots &amp; Playgrounds'!$A$9:$N$33,H$2,0)),0,VLOOKUP('Project Details by Yr - MASTER'!$B117,'Parking Lots &amp; Playgrounds'!$A$9:$N$33,H$2,0))+IF(ISNA(VLOOKUP($B117,Vehicles!$B$9:$O$50,H$2,0)),0,VLOOKUP($B117,Vehicles!$B$9:$O$50,H$2,0))</f>
        <v>0</v>
      </c>
      <c r="I117" s="8">
        <f>IF(ISNA(VLOOKUP($B117,'Other Capital Needs'!$C$51:$P$95,I$2,0)),0,VLOOKUP($B117,'Other Capital Needs'!$C$51:$P$95,I$2,0))+IF(ISNA(VLOOKUP('Project Details by Yr - MASTER'!$B117,'Public Grounds'!$A$11:$N$49,I$2,0)),0,VLOOKUP('Project Details by Yr - MASTER'!$B117,'Public Grounds'!$A$11:$N$49,I$2,0))+IF(ISNA(VLOOKUP('Project Details by Yr - MASTER'!$B117,'Public Buildings'!$A$10:$N$96,I$2,0)),0,VLOOKUP('Project Details by Yr - MASTER'!$B117,'Public Buildings'!$A$10:$N$96,I$2,0))+IF(ISNA(VLOOKUP('Project Details by Yr - MASTER'!$B117,Bridges!$A$9:$N$24,I$2,0)),0,VLOOKUP('Project Details by Yr - MASTER'!$B117,Bridges!$A$9:$N$24,I$2,0))+IF(ISNA(VLOOKUP('Project Details by Yr - MASTER'!$B117,'Parking Lots &amp; Playgrounds'!$A$9:$N$33,I$2,0)),0,VLOOKUP('Project Details by Yr - MASTER'!$B117,'Parking Lots &amp; Playgrounds'!$A$9:$N$33,I$2,0))+IF(ISNA(VLOOKUP($B117,Vehicles!$B$9:$O$50,I$2,0)),0,VLOOKUP($B117,Vehicles!$B$9:$O$50,I$2,0))</f>
        <v>0</v>
      </c>
      <c r="J117" s="8">
        <f>IF(ISNA(VLOOKUP($B117,'Other Capital Needs'!$C$51:$P$95,J$2,0)),0,VLOOKUP($B117,'Other Capital Needs'!$C$51:$P$95,J$2,0))+IF(ISNA(VLOOKUP('Project Details by Yr - MASTER'!$B117,'Public Grounds'!$A$11:$N$49,J$2,0)),0,VLOOKUP('Project Details by Yr - MASTER'!$B117,'Public Grounds'!$A$11:$N$49,J$2,0))+IF(ISNA(VLOOKUP('Project Details by Yr - MASTER'!$B117,'Public Buildings'!$A$10:$N$96,J$2,0)),0,VLOOKUP('Project Details by Yr - MASTER'!$B117,'Public Buildings'!$A$10:$N$96,J$2,0))+IF(ISNA(VLOOKUP('Project Details by Yr - MASTER'!$B117,Bridges!$A$9:$N$24,J$2,0)),0,VLOOKUP('Project Details by Yr - MASTER'!$B117,Bridges!$A$9:$N$24,J$2,0))+IF(ISNA(VLOOKUP('Project Details by Yr - MASTER'!$B117,'Parking Lots &amp; Playgrounds'!$A$9:$N$33,J$2,0)),0,VLOOKUP('Project Details by Yr - MASTER'!$B117,'Parking Lots &amp; Playgrounds'!$A$9:$N$33,J$2,0))+IF(ISNA(VLOOKUP($B117,Vehicles!$B$9:$O$50,J$2,0)),0,VLOOKUP($B117,Vehicles!$B$9:$O$50,J$2,0))</f>
        <v>0</v>
      </c>
      <c r="K117" s="8">
        <f>IF(ISNA(VLOOKUP($B117,'Other Capital Needs'!$C$51:$P$95,K$2,0)),0,VLOOKUP($B117,'Other Capital Needs'!$C$51:$P$95,K$2,0))+IF(ISNA(VLOOKUP('Project Details by Yr - MASTER'!$B117,'Public Grounds'!$A$11:$N$49,K$2,0)),0,VLOOKUP('Project Details by Yr - MASTER'!$B117,'Public Grounds'!$A$11:$N$49,K$2,0))+IF(ISNA(VLOOKUP('Project Details by Yr - MASTER'!$B117,'Public Buildings'!$A$10:$N$96,K$2,0)),0,VLOOKUP('Project Details by Yr - MASTER'!$B117,'Public Buildings'!$A$10:$N$96,K$2,0))+IF(ISNA(VLOOKUP('Project Details by Yr - MASTER'!$B117,Bridges!$A$9:$N$24,K$2,0)),0,VLOOKUP('Project Details by Yr - MASTER'!$B117,Bridges!$A$9:$N$24,K$2,0))+IF(ISNA(VLOOKUP('Project Details by Yr - MASTER'!$B117,'Parking Lots &amp; Playgrounds'!$A$9:$N$33,K$2,0)),0,VLOOKUP('Project Details by Yr - MASTER'!$B117,'Parking Lots &amp; Playgrounds'!$A$9:$N$33,K$2,0))+IF(ISNA(VLOOKUP($B117,Vehicles!$B$9:$O$50,K$2,0)),0,VLOOKUP($B117,Vehicles!$B$9:$O$50,K$2,0))</f>
        <v>0</v>
      </c>
    </row>
    <row r="118" spans="2:11" x14ac:dyDescent="0.25">
      <c r="B118" t="s">
        <v>109</v>
      </c>
      <c r="C118" t="s">
        <v>47</v>
      </c>
      <c r="D118" t="s">
        <v>272</v>
      </c>
      <c r="E118" s="1" t="s">
        <v>16</v>
      </c>
      <c r="G118" s="8">
        <f>IF(ISNA(VLOOKUP($B118,'Other Capital Needs'!$C$51:$P$95,G$2,0)),0,VLOOKUP($B118,'Other Capital Needs'!$C$51:$P$95,G$2,0))+IF(ISNA(VLOOKUP('Project Details by Yr - MASTER'!$B118,'Public Grounds'!$A$11:$N$49,G$2,0)),0,VLOOKUP('Project Details by Yr - MASTER'!$B118,'Public Grounds'!$A$11:$N$49,G$2,0))+IF(ISNA(VLOOKUP('Project Details by Yr - MASTER'!$B118,'Public Buildings'!$A$10:$N$96,G$2,0)),0,VLOOKUP('Project Details by Yr - MASTER'!$B118,'Public Buildings'!$A$10:$N$96,G$2,0))+IF(ISNA(VLOOKUP('Project Details by Yr - MASTER'!$B118,Bridges!$A$9:$N$24,G$2,0)),0,VLOOKUP('Project Details by Yr - MASTER'!$B118,Bridges!$A$9:$N$24,G$2,0))+IF(ISNA(VLOOKUP('Project Details by Yr - MASTER'!$B118,'Parking Lots &amp; Playgrounds'!$A$9:$N$33,G$2,0)),0,VLOOKUP('Project Details by Yr - MASTER'!$B118,'Parking Lots &amp; Playgrounds'!$A$9:$N$33,G$2,0))+IF(ISNA(VLOOKUP($B118,Vehicles!$B$9:$O$50,G$2,0)),0,VLOOKUP($B118,Vehicles!$B$9:$O$50,G$2,0))</f>
        <v>0</v>
      </c>
      <c r="H118" s="8">
        <f>IF(ISNA(VLOOKUP($B118,'Other Capital Needs'!$C$51:$P$95,H$2,0)),0,VLOOKUP($B118,'Other Capital Needs'!$C$51:$P$95,H$2,0))+IF(ISNA(VLOOKUP('Project Details by Yr - MASTER'!$B118,'Public Grounds'!$A$11:$N$49,H$2,0)),0,VLOOKUP('Project Details by Yr - MASTER'!$B118,'Public Grounds'!$A$11:$N$49,H$2,0))+IF(ISNA(VLOOKUP('Project Details by Yr - MASTER'!$B118,'Public Buildings'!$A$10:$N$96,H$2,0)),0,VLOOKUP('Project Details by Yr - MASTER'!$B118,'Public Buildings'!$A$10:$N$96,H$2,0))+IF(ISNA(VLOOKUP('Project Details by Yr - MASTER'!$B118,Bridges!$A$9:$N$24,H$2,0)),0,VLOOKUP('Project Details by Yr - MASTER'!$B118,Bridges!$A$9:$N$24,H$2,0))+IF(ISNA(VLOOKUP('Project Details by Yr - MASTER'!$B118,'Parking Lots &amp; Playgrounds'!$A$9:$N$33,H$2,0)),0,VLOOKUP('Project Details by Yr - MASTER'!$B118,'Parking Lots &amp; Playgrounds'!$A$9:$N$33,H$2,0))+IF(ISNA(VLOOKUP($B118,Vehicles!$B$9:$O$50,H$2,0)),0,VLOOKUP($B118,Vehicles!$B$9:$O$50,H$2,0))</f>
        <v>0</v>
      </c>
      <c r="I118" s="8">
        <f>IF(ISNA(VLOOKUP($B118,'Other Capital Needs'!$C$51:$P$95,I$2,0)),0,VLOOKUP($B118,'Other Capital Needs'!$C$51:$P$95,I$2,0))+IF(ISNA(VLOOKUP('Project Details by Yr - MASTER'!$B118,'Public Grounds'!$A$11:$N$49,I$2,0)),0,VLOOKUP('Project Details by Yr - MASTER'!$B118,'Public Grounds'!$A$11:$N$49,I$2,0))+IF(ISNA(VLOOKUP('Project Details by Yr - MASTER'!$B118,'Public Buildings'!$A$10:$N$96,I$2,0)),0,VLOOKUP('Project Details by Yr - MASTER'!$B118,'Public Buildings'!$A$10:$N$96,I$2,0))+IF(ISNA(VLOOKUP('Project Details by Yr - MASTER'!$B118,Bridges!$A$9:$N$24,I$2,0)),0,VLOOKUP('Project Details by Yr - MASTER'!$B118,Bridges!$A$9:$N$24,I$2,0))+IF(ISNA(VLOOKUP('Project Details by Yr - MASTER'!$B118,'Parking Lots &amp; Playgrounds'!$A$9:$N$33,I$2,0)),0,VLOOKUP('Project Details by Yr - MASTER'!$B118,'Parking Lots &amp; Playgrounds'!$A$9:$N$33,I$2,0))+IF(ISNA(VLOOKUP($B118,Vehicles!$B$9:$O$50,I$2,0)),0,VLOOKUP($B118,Vehicles!$B$9:$O$50,I$2,0))</f>
        <v>0</v>
      </c>
      <c r="J118" s="8">
        <f>IF(ISNA(VLOOKUP($B118,'Other Capital Needs'!$C$51:$P$95,J$2,0)),0,VLOOKUP($B118,'Other Capital Needs'!$C$51:$P$95,J$2,0))+IF(ISNA(VLOOKUP('Project Details by Yr - MASTER'!$B118,'Public Grounds'!$A$11:$N$49,J$2,0)),0,VLOOKUP('Project Details by Yr - MASTER'!$B118,'Public Grounds'!$A$11:$N$49,J$2,0))+IF(ISNA(VLOOKUP('Project Details by Yr - MASTER'!$B118,'Public Buildings'!$A$10:$N$96,J$2,0)),0,VLOOKUP('Project Details by Yr - MASTER'!$B118,'Public Buildings'!$A$10:$N$96,J$2,0))+IF(ISNA(VLOOKUP('Project Details by Yr - MASTER'!$B118,Bridges!$A$9:$N$24,J$2,0)),0,VLOOKUP('Project Details by Yr - MASTER'!$B118,Bridges!$A$9:$N$24,J$2,0))+IF(ISNA(VLOOKUP('Project Details by Yr - MASTER'!$B118,'Parking Lots &amp; Playgrounds'!$A$9:$N$33,J$2,0)),0,VLOOKUP('Project Details by Yr - MASTER'!$B118,'Parking Lots &amp; Playgrounds'!$A$9:$N$33,J$2,0))+IF(ISNA(VLOOKUP($B118,Vehicles!$B$9:$O$50,J$2,0)),0,VLOOKUP($B118,Vehicles!$B$9:$O$50,J$2,0))</f>
        <v>0</v>
      </c>
      <c r="K118" s="8">
        <f>IF(ISNA(VLOOKUP($B118,'Other Capital Needs'!$C$51:$P$95,K$2,0)),0,VLOOKUP($B118,'Other Capital Needs'!$C$51:$P$95,K$2,0))+IF(ISNA(VLOOKUP('Project Details by Yr - MASTER'!$B118,'Public Grounds'!$A$11:$N$49,K$2,0)),0,VLOOKUP('Project Details by Yr - MASTER'!$B118,'Public Grounds'!$A$11:$N$49,K$2,0))+IF(ISNA(VLOOKUP('Project Details by Yr - MASTER'!$B118,'Public Buildings'!$A$10:$N$96,K$2,0)),0,VLOOKUP('Project Details by Yr - MASTER'!$B118,'Public Buildings'!$A$10:$N$96,K$2,0))+IF(ISNA(VLOOKUP('Project Details by Yr - MASTER'!$B118,Bridges!$A$9:$N$24,K$2,0)),0,VLOOKUP('Project Details by Yr - MASTER'!$B118,Bridges!$A$9:$N$24,K$2,0))+IF(ISNA(VLOOKUP('Project Details by Yr - MASTER'!$B118,'Parking Lots &amp; Playgrounds'!$A$9:$N$33,K$2,0)),0,VLOOKUP('Project Details by Yr - MASTER'!$B118,'Parking Lots &amp; Playgrounds'!$A$9:$N$33,K$2,0))+IF(ISNA(VLOOKUP($B118,Vehicles!$B$9:$O$50,K$2,0)),0,VLOOKUP($B118,Vehicles!$B$9:$O$50,K$2,0))</f>
        <v>0</v>
      </c>
    </row>
    <row r="119" spans="2:11" x14ac:dyDescent="0.25">
      <c r="B119" t="s">
        <v>245</v>
      </c>
      <c r="C119" t="s">
        <v>47</v>
      </c>
      <c r="D119" t="s">
        <v>272</v>
      </c>
      <c r="E119" s="1" t="s">
        <v>243</v>
      </c>
      <c r="G119" s="8">
        <f>IF(ISNA(VLOOKUP($B119,'Other Capital Needs'!$C$51:$P$95,G$2,0)),0,VLOOKUP($B119,'Other Capital Needs'!$C$51:$P$95,G$2,0))+IF(ISNA(VLOOKUP('Project Details by Yr - MASTER'!$B119,'Public Grounds'!$A$11:$N$49,G$2,0)),0,VLOOKUP('Project Details by Yr - MASTER'!$B119,'Public Grounds'!$A$11:$N$49,G$2,0))+IF(ISNA(VLOOKUP('Project Details by Yr - MASTER'!$B119,'Public Buildings'!$A$10:$N$96,G$2,0)),0,VLOOKUP('Project Details by Yr - MASTER'!$B119,'Public Buildings'!$A$10:$N$96,G$2,0))+IF(ISNA(VLOOKUP('Project Details by Yr - MASTER'!$B119,Bridges!$A$9:$N$24,G$2,0)),0,VLOOKUP('Project Details by Yr - MASTER'!$B119,Bridges!$A$9:$N$24,G$2,0))+IF(ISNA(VLOOKUP('Project Details by Yr - MASTER'!$B119,'Parking Lots &amp; Playgrounds'!$A$9:$N$33,G$2,0)),0,VLOOKUP('Project Details by Yr - MASTER'!$B119,'Parking Lots &amp; Playgrounds'!$A$9:$N$33,G$2,0))+IF(ISNA(VLOOKUP($B119,Vehicles!$B$9:$O$50,G$2,0)),0,VLOOKUP($B119,Vehicles!$B$9:$O$50,G$2,0))</f>
        <v>0</v>
      </c>
      <c r="H119" s="8">
        <f>IF(ISNA(VLOOKUP($B119,'Other Capital Needs'!$C$51:$P$95,H$2,0)),0,VLOOKUP($B119,'Other Capital Needs'!$C$51:$P$95,H$2,0))+IF(ISNA(VLOOKUP('Project Details by Yr - MASTER'!$B119,'Public Grounds'!$A$11:$N$49,H$2,0)),0,VLOOKUP('Project Details by Yr - MASTER'!$B119,'Public Grounds'!$A$11:$N$49,H$2,0))+IF(ISNA(VLOOKUP('Project Details by Yr - MASTER'!$B119,'Public Buildings'!$A$10:$N$96,H$2,0)),0,VLOOKUP('Project Details by Yr - MASTER'!$B119,'Public Buildings'!$A$10:$N$96,H$2,0))+IF(ISNA(VLOOKUP('Project Details by Yr - MASTER'!$B119,Bridges!$A$9:$N$24,H$2,0)),0,VLOOKUP('Project Details by Yr - MASTER'!$B119,Bridges!$A$9:$N$24,H$2,0))+IF(ISNA(VLOOKUP('Project Details by Yr - MASTER'!$B119,'Parking Lots &amp; Playgrounds'!$A$9:$N$33,H$2,0)),0,VLOOKUP('Project Details by Yr - MASTER'!$B119,'Parking Lots &amp; Playgrounds'!$A$9:$N$33,H$2,0))+IF(ISNA(VLOOKUP($B119,Vehicles!$B$9:$O$50,H$2,0)),0,VLOOKUP($B119,Vehicles!$B$9:$O$50,H$2,0))</f>
        <v>0</v>
      </c>
      <c r="I119" s="8">
        <f>IF(ISNA(VLOOKUP($B119,'Other Capital Needs'!$C$51:$P$95,I$2,0)),0,VLOOKUP($B119,'Other Capital Needs'!$C$51:$P$95,I$2,0))+IF(ISNA(VLOOKUP('Project Details by Yr - MASTER'!$B119,'Public Grounds'!$A$11:$N$49,I$2,0)),0,VLOOKUP('Project Details by Yr - MASTER'!$B119,'Public Grounds'!$A$11:$N$49,I$2,0))+IF(ISNA(VLOOKUP('Project Details by Yr - MASTER'!$B119,'Public Buildings'!$A$10:$N$96,I$2,0)),0,VLOOKUP('Project Details by Yr - MASTER'!$B119,'Public Buildings'!$A$10:$N$96,I$2,0))+IF(ISNA(VLOOKUP('Project Details by Yr - MASTER'!$B119,Bridges!$A$9:$N$24,I$2,0)),0,VLOOKUP('Project Details by Yr - MASTER'!$B119,Bridges!$A$9:$N$24,I$2,0))+IF(ISNA(VLOOKUP('Project Details by Yr - MASTER'!$B119,'Parking Lots &amp; Playgrounds'!$A$9:$N$33,I$2,0)),0,VLOOKUP('Project Details by Yr - MASTER'!$B119,'Parking Lots &amp; Playgrounds'!$A$9:$N$33,I$2,0))+IF(ISNA(VLOOKUP($B119,Vehicles!$B$9:$O$50,I$2,0)),0,VLOOKUP($B119,Vehicles!$B$9:$O$50,I$2,0))</f>
        <v>0</v>
      </c>
      <c r="J119" s="8">
        <f>IF(ISNA(VLOOKUP($B119,'Other Capital Needs'!$C$51:$P$95,J$2,0)),0,VLOOKUP($B119,'Other Capital Needs'!$C$51:$P$95,J$2,0))+IF(ISNA(VLOOKUP('Project Details by Yr - MASTER'!$B119,'Public Grounds'!$A$11:$N$49,J$2,0)),0,VLOOKUP('Project Details by Yr - MASTER'!$B119,'Public Grounds'!$A$11:$N$49,J$2,0))+IF(ISNA(VLOOKUP('Project Details by Yr - MASTER'!$B119,'Public Buildings'!$A$10:$N$96,J$2,0)),0,VLOOKUP('Project Details by Yr - MASTER'!$B119,'Public Buildings'!$A$10:$N$96,J$2,0))+IF(ISNA(VLOOKUP('Project Details by Yr - MASTER'!$B119,Bridges!$A$9:$N$24,J$2,0)),0,VLOOKUP('Project Details by Yr - MASTER'!$B119,Bridges!$A$9:$N$24,J$2,0))+IF(ISNA(VLOOKUP('Project Details by Yr - MASTER'!$B119,'Parking Lots &amp; Playgrounds'!$A$9:$N$33,J$2,0)),0,VLOOKUP('Project Details by Yr - MASTER'!$B119,'Parking Lots &amp; Playgrounds'!$A$9:$N$33,J$2,0))+IF(ISNA(VLOOKUP($B119,Vehicles!$B$9:$O$50,J$2,0)),0,VLOOKUP($B119,Vehicles!$B$9:$O$50,J$2,0))</f>
        <v>0</v>
      </c>
      <c r="K119" s="8">
        <f>IF(ISNA(VLOOKUP($B119,'Other Capital Needs'!$C$51:$P$95,K$2,0)),0,VLOOKUP($B119,'Other Capital Needs'!$C$51:$P$95,K$2,0))+IF(ISNA(VLOOKUP('Project Details by Yr - MASTER'!$B119,'Public Grounds'!$A$11:$N$49,K$2,0)),0,VLOOKUP('Project Details by Yr - MASTER'!$B119,'Public Grounds'!$A$11:$N$49,K$2,0))+IF(ISNA(VLOOKUP('Project Details by Yr - MASTER'!$B119,'Public Buildings'!$A$10:$N$96,K$2,0)),0,VLOOKUP('Project Details by Yr - MASTER'!$B119,'Public Buildings'!$A$10:$N$96,K$2,0))+IF(ISNA(VLOOKUP('Project Details by Yr - MASTER'!$B119,Bridges!$A$9:$N$24,K$2,0)),0,VLOOKUP('Project Details by Yr - MASTER'!$B119,Bridges!$A$9:$N$24,K$2,0))+IF(ISNA(VLOOKUP('Project Details by Yr - MASTER'!$B119,'Parking Lots &amp; Playgrounds'!$A$9:$N$33,K$2,0)),0,VLOOKUP('Project Details by Yr - MASTER'!$B119,'Parking Lots &amp; Playgrounds'!$A$9:$N$33,K$2,0))+IF(ISNA(VLOOKUP($B119,Vehicles!$B$9:$O$50,K$2,0)),0,VLOOKUP($B119,Vehicles!$B$9:$O$50,K$2,0))</f>
        <v>0</v>
      </c>
    </row>
    <row r="120" spans="2:11" x14ac:dyDescent="0.25">
      <c r="B120" t="s">
        <v>144</v>
      </c>
      <c r="C120" t="s">
        <v>47</v>
      </c>
      <c r="D120" t="s">
        <v>272</v>
      </c>
      <c r="E120" s="1" t="s">
        <v>16</v>
      </c>
      <c r="G120" s="8">
        <f>IF(ISNA(VLOOKUP($B120,'Other Capital Needs'!$C$51:$P$95,G$2,0)),0,VLOOKUP($B120,'Other Capital Needs'!$C$51:$P$95,G$2,0))+IF(ISNA(VLOOKUP('Project Details by Yr - MASTER'!$B120,'Public Grounds'!$A$11:$N$49,G$2,0)),0,VLOOKUP('Project Details by Yr - MASTER'!$B120,'Public Grounds'!$A$11:$N$49,G$2,0))+IF(ISNA(VLOOKUP('Project Details by Yr - MASTER'!$B120,'Public Buildings'!$A$10:$N$96,G$2,0)),0,VLOOKUP('Project Details by Yr - MASTER'!$B120,'Public Buildings'!$A$10:$N$96,G$2,0))+IF(ISNA(VLOOKUP('Project Details by Yr - MASTER'!$B120,Bridges!$A$9:$N$24,G$2,0)),0,VLOOKUP('Project Details by Yr - MASTER'!$B120,Bridges!$A$9:$N$24,G$2,0))+IF(ISNA(VLOOKUP('Project Details by Yr - MASTER'!$B120,'Parking Lots &amp; Playgrounds'!$A$9:$N$33,G$2,0)),0,VLOOKUP('Project Details by Yr - MASTER'!$B120,'Parking Lots &amp; Playgrounds'!$A$9:$N$33,G$2,0))+IF(ISNA(VLOOKUP($B120,Vehicles!$B$9:$O$50,G$2,0)),0,VLOOKUP($B120,Vehicles!$B$9:$O$50,G$2,0))</f>
        <v>0</v>
      </c>
      <c r="H120" s="8">
        <f>IF(ISNA(VLOOKUP($B120,'Other Capital Needs'!$C$51:$P$95,H$2,0)),0,VLOOKUP($B120,'Other Capital Needs'!$C$51:$P$95,H$2,0))+IF(ISNA(VLOOKUP('Project Details by Yr - MASTER'!$B120,'Public Grounds'!$A$11:$N$49,H$2,0)),0,VLOOKUP('Project Details by Yr - MASTER'!$B120,'Public Grounds'!$A$11:$N$49,H$2,0))+IF(ISNA(VLOOKUP('Project Details by Yr - MASTER'!$B120,'Public Buildings'!$A$10:$N$96,H$2,0)),0,VLOOKUP('Project Details by Yr - MASTER'!$B120,'Public Buildings'!$A$10:$N$96,H$2,0))+IF(ISNA(VLOOKUP('Project Details by Yr - MASTER'!$B120,Bridges!$A$9:$N$24,H$2,0)),0,VLOOKUP('Project Details by Yr - MASTER'!$B120,Bridges!$A$9:$N$24,H$2,0))+IF(ISNA(VLOOKUP('Project Details by Yr - MASTER'!$B120,'Parking Lots &amp; Playgrounds'!$A$9:$N$33,H$2,0)),0,VLOOKUP('Project Details by Yr - MASTER'!$B120,'Parking Lots &amp; Playgrounds'!$A$9:$N$33,H$2,0))+IF(ISNA(VLOOKUP($B120,Vehicles!$B$9:$O$50,H$2,0)),0,VLOOKUP($B120,Vehicles!$B$9:$O$50,H$2,0))</f>
        <v>0</v>
      </c>
      <c r="I120" s="8">
        <f>IF(ISNA(VLOOKUP($B120,'Other Capital Needs'!$C$51:$P$95,I$2,0)),0,VLOOKUP($B120,'Other Capital Needs'!$C$51:$P$95,I$2,0))+IF(ISNA(VLOOKUP('Project Details by Yr - MASTER'!$B120,'Public Grounds'!$A$11:$N$49,I$2,0)),0,VLOOKUP('Project Details by Yr - MASTER'!$B120,'Public Grounds'!$A$11:$N$49,I$2,0))+IF(ISNA(VLOOKUP('Project Details by Yr - MASTER'!$B120,'Public Buildings'!$A$10:$N$96,I$2,0)),0,VLOOKUP('Project Details by Yr - MASTER'!$B120,'Public Buildings'!$A$10:$N$96,I$2,0))+IF(ISNA(VLOOKUP('Project Details by Yr - MASTER'!$B120,Bridges!$A$9:$N$24,I$2,0)),0,VLOOKUP('Project Details by Yr - MASTER'!$B120,Bridges!$A$9:$N$24,I$2,0))+IF(ISNA(VLOOKUP('Project Details by Yr - MASTER'!$B120,'Parking Lots &amp; Playgrounds'!$A$9:$N$33,I$2,0)),0,VLOOKUP('Project Details by Yr - MASTER'!$B120,'Parking Lots &amp; Playgrounds'!$A$9:$N$33,I$2,0))+IF(ISNA(VLOOKUP($B120,Vehicles!$B$9:$O$50,I$2,0)),0,VLOOKUP($B120,Vehicles!$B$9:$O$50,I$2,0))</f>
        <v>0</v>
      </c>
      <c r="J120" s="8">
        <f>IF(ISNA(VLOOKUP($B120,'Other Capital Needs'!$C$51:$P$95,J$2,0)),0,VLOOKUP($B120,'Other Capital Needs'!$C$51:$P$95,J$2,0))+IF(ISNA(VLOOKUP('Project Details by Yr - MASTER'!$B120,'Public Grounds'!$A$11:$N$49,J$2,0)),0,VLOOKUP('Project Details by Yr - MASTER'!$B120,'Public Grounds'!$A$11:$N$49,J$2,0))+IF(ISNA(VLOOKUP('Project Details by Yr - MASTER'!$B120,'Public Buildings'!$A$10:$N$96,J$2,0)),0,VLOOKUP('Project Details by Yr - MASTER'!$B120,'Public Buildings'!$A$10:$N$96,J$2,0))+IF(ISNA(VLOOKUP('Project Details by Yr - MASTER'!$B120,Bridges!$A$9:$N$24,J$2,0)),0,VLOOKUP('Project Details by Yr - MASTER'!$B120,Bridges!$A$9:$N$24,J$2,0))+IF(ISNA(VLOOKUP('Project Details by Yr - MASTER'!$B120,'Parking Lots &amp; Playgrounds'!$A$9:$N$33,J$2,0)),0,VLOOKUP('Project Details by Yr - MASTER'!$B120,'Parking Lots &amp; Playgrounds'!$A$9:$N$33,J$2,0))+IF(ISNA(VLOOKUP($B120,Vehicles!$B$9:$O$50,J$2,0)),0,VLOOKUP($B120,Vehicles!$B$9:$O$50,J$2,0))</f>
        <v>0</v>
      </c>
      <c r="K120" s="8">
        <f>IF(ISNA(VLOOKUP($B120,'Other Capital Needs'!$C$51:$P$95,K$2,0)),0,VLOOKUP($B120,'Other Capital Needs'!$C$51:$P$95,K$2,0))+IF(ISNA(VLOOKUP('Project Details by Yr - MASTER'!$B120,'Public Grounds'!$A$11:$N$49,K$2,0)),0,VLOOKUP('Project Details by Yr - MASTER'!$B120,'Public Grounds'!$A$11:$N$49,K$2,0))+IF(ISNA(VLOOKUP('Project Details by Yr - MASTER'!$B120,'Public Buildings'!$A$10:$N$96,K$2,0)),0,VLOOKUP('Project Details by Yr - MASTER'!$B120,'Public Buildings'!$A$10:$N$96,K$2,0))+IF(ISNA(VLOOKUP('Project Details by Yr - MASTER'!$B120,Bridges!$A$9:$N$24,K$2,0)),0,VLOOKUP('Project Details by Yr - MASTER'!$B120,Bridges!$A$9:$N$24,K$2,0))+IF(ISNA(VLOOKUP('Project Details by Yr - MASTER'!$B120,'Parking Lots &amp; Playgrounds'!$A$9:$N$33,K$2,0)),0,VLOOKUP('Project Details by Yr - MASTER'!$B120,'Parking Lots &amp; Playgrounds'!$A$9:$N$33,K$2,0))+IF(ISNA(VLOOKUP($B120,Vehicles!$B$9:$O$50,K$2,0)),0,VLOOKUP($B120,Vehicles!$B$9:$O$50,K$2,0))</f>
        <v>0</v>
      </c>
    </row>
    <row r="121" spans="2:11" x14ac:dyDescent="0.25">
      <c r="B121" t="s">
        <v>191</v>
      </c>
      <c r="C121" t="s">
        <v>47</v>
      </c>
      <c r="D121" t="s">
        <v>272</v>
      </c>
      <c r="E121" s="1" t="s">
        <v>16</v>
      </c>
      <c r="G121" s="8">
        <f>IF(ISNA(VLOOKUP($B121,'Other Capital Needs'!$C$51:$P$95,G$2,0)),0,VLOOKUP($B121,'Other Capital Needs'!$C$51:$P$95,G$2,0))+IF(ISNA(VLOOKUP('Project Details by Yr - MASTER'!$B121,'Public Grounds'!$A$11:$N$49,G$2,0)),0,VLOOKUP('Project Details by Yr - MASTER'!$B121,'Public Grounds'!$A$11:$N$49,G$2,0))+IF(ISNA(VLOOKUP('Project Details by Yr - MASTER'!$B121,'Public Buildings'!$A$10:$N$96,G$2,0)),0,VLOOKUP('Project Details by Yr - MASTER'!$B121,'Public Buildings'!$A$10:$N$96,G$2,0))+IF(ISNA(VLOOKUP('Project Details by Yr - MASTER'!$B121,Bridges!$A$9:$N$24,G$2,0)),0,VLOOKUP('Project Details by Yr - MASTER'!$B121,Bridges!$A$9:$N$24,G$2,0))+IF(ISNA(VLOOKUP('Project Details by Yr - MASTER'!$B121,'Parking Lots &amp; Playgrounds'!$A$9:$N$33,G$2,0)),0,VLOOKUP('Project Details by Yr - MASTER'!$B121,'Parking Lots &amp; Playgrounds'!$A$9:$N$33,G$2,0))+IF(ISNA(VLOOKUP($B121,Vehicles!$B$9:$O$50,G$2,0)),0,VLOOKUP($B121,Vehicles!$B$9:$O$50,G$2,0))</f>
        <v>10000</v>
      </c>
      <c r="H121" s="8">
        <f>IF(ISNA(VLOOKUP($B121,'Other Capital Needs'!$C$51:$P$95,H$2,0)),0,VLOOKUP($B121,'Other Capital Needs'!$C$51:$P$95,H$2,0))+IF(ISNA(VLOOKUP('Project Details by Yr - MASTER'!$B121,'Public Grounds'!$A$11:$N$49,H$2,0)),0,VLOOKUP('Project Details by Yr - MASTER'!$B121,'Public Grounds'!$A$11:$N$49,H$2,0))+IF(ISNA(VLOOKUP('Project Details by Yr - MASTER'!$B121,'Public Buildings'!$A$10:$N$96,H$2,0)),0,VLOOKUP('Project Details by Yr - MASTER'!$B121,'Public Buildings'!$A$10:$N$96,H$2,0))+IF(ISNA(VLOOKUP('Project Details by Yr - MASTER'!$B121,Bridges!$A$9:$N$24,H$2,0)),0,VLOOKUP('Project Details by Yr - MASTER'!$B121,Bridges!$A$9:$N$24,H$2,0))+IF(ISNA(VLOOKUP('Project Details by Yr - MASTER'!$B121,'Parking Lots &amp; Playgrounds'!$A$9:$N$33,H$2,0)),0,VLOOKUP('Project Details by Yr - MASTER'!$B121,'Parking Lots &amp; Playgrounds'!$A$9:$N$33,H$2,0))+IF(ISNA(VLOOKUP($B121,Vehicles!$B$9:$O$50,H$2,0)),0,VLOOKUP($B121,Vehicles!$B$9:$O$50,H$2,0))</f>
        <v>10000</v>
      </c>
      <c r="I121" s="8">
        <f>IF(ISNA(VLOOKUP($B121,'Other Capital Needs'!$C$51:$P$95,I$2,0)),0,VLOOKUP($B121,'Other Capital Needs'!$C$51:$P$95,I$2,0))+IF(ISNA(VLOOKUP('Project Details by Yr - MASTER'!$B121,'Public Grounds'!$A$11:$N$49,I$2,0)),0,VLOOKUP('Project Details by Yr - MASTER'!$B121,'Public Grounds'!$A$11:$N$49,I$2,0))+IF(ISNA(VLOOKUP('Project Details by Yr - MASTER'!$B121,'Public Buildings'!$A$10:$N$96,I$2,0)),0,VLOOKUP('Project Details by Yr - MASTER'!$B121,'Public Buildings'!$A$10:$N$96,I$2,0))+IF(ISNA(VLOOKUP('Project Details by Yr - MASTER'!$B121,Bridges!$A$9:$N$24,I$2,0)),0,VLOOKUP('Project Details by Yr - MASTER'!$B121,Bridges!$A$9:$N$24,I$2,0))+IF(ISNA(VLOOKUP('Project Details by Yr - MASTER'!$B121,'Parking Lots &amp; Playgrounds'!$A$9:$N$33,I$2,0)),0,VLOOKUP('Project Details by Yr - MASTER'!$B121,'Parking Lots &amp; Playgrounds'!$A$9:$N$33,I$2,0))+IF(ISNA(VLOOKUP($B121,Vehicles!$B$9:$O$50,I$2,0)),0,VLOOKUP($B121,Vehicles!$B$9:$O$50,I$2,0))</f>
        <v>10000</v>
      </c>
      <c r="J121" s="8">
        <f>IF(ISNA(VLOOKUP($B121,'Other Capital Needs'!$C$51:$P$95,J$2,0)),0,VLOOKUP($B121,'Other Capital Needs'!$C$51:$P$95,J$2,0))+IF(ISNA(VLOOKUP('Project Details by Yr - MASTER'!$B121,'Public Grounds'!$A$11:$N$49,J$2,0)),0,VLOOKUP('Project Details by Yr - MASTER'!$B121,'Public Grounds'!$A$11:$N$49,J$2,0))+IF(ISNA(VLOOKUP('Project Details by Yr - MASTER'!$B121,'Public Buildings'!$A$10:$N$96,J$2,0)),0,VLOOKUP('Project Details by Yr - MASTER'!$B121,'Public Buildings'!$A$10:$N$96,J$2,0))+IF(ISNA(VLOOKUP('Project Details by Yr - MASTER'!$B121,Bridges!$A$9:$N$24,J$2,0)),0,VLOOKUP('Project Details by Yr - MASTER'!$B121,Bridges!$A$9:$N$24,J$2,0))+IF(ISNA(VLOOKUP('Project Details by Yr - MASTER'!$B121,'Parking Lots &amp; Playgrounds'!$A$9:$N$33,J$2,0)),0,VLOOKUP('Project Details by Yr - MASTER'!$B121,'Parking Lots &amp; Playgrounds'!$A$9:$N$33,J$2,0))+IF(ISNA(VLOOKUP($B121,Vehicles!$B$9:$O$50,J$2,0)),0,VLOOKUP($B121,Vehicles!$B$9:$O$50,J$2,0))</f>
        <v>10000</v>
      </c>
      <c r="K121" s="8">
        <f>IF(ISNA(VLOOKUP($B121,'Other Capital Needs'!$C$51:$P$95,K$2,0)),0,VLOOKUP($B121,'Other Capital Needs'!$C$51:$P$95,K$2,0))+IF(ISNA(VLOOKUP('Project Details by Yr - MASTER'!$B121,'Public Grounds'!$A$11:$N$49,K$2,0)),0,VLOOKUP('Project Details by Yr - MASTER'!$B121,'Public Grounds'!$A$11:$N$49,K$2,0))+IF(ISNA(VLOOKUP('Project Details by Yr - MASTER'!$B121,'Public Buildings'!$A$10:$N$96,K$2,0)),0,VLOOKUP('Project Details by Yr - MASTER'!$B121,'Public Buildings'!$A$10:$N$96,K$2,0))+IF(ISNA(VLOOKUP('Project Details by Yr - MASTER'!$B121,Bridges!$A$9:$N$24,K$2,0)),0,VLOOKUP('Project Details by Yr - MASTER'!$B121,Bridges!$A$9:$N$24,K$2,0))+IF(ISNA(VLOOKUP('Project Details by Yr - MASTER'!$B121,'Parking Lots &amp; Playgrounds'!$A$9:$N$33,K$2,0)),0,VLOOKUP('Project Details by Yr - MASTER'!$B121,'Parking Lots &amp; Playgrounds'!$A$9:$N$33,K$2,0))+IF(ISNA(VLOOKUP($B121,Vehicles!$B$9:$O$50,K$2,0)),0,VLOOKUP($B121,Vehicles!$B$9:$O$50,K$2,0))</f>
        <v>10000</v>
      </c>
    </row>
    <row r="122" spans="2:11" x14ac:dyDescent="0.25">
      <c r="B122" t="s">
        <v>192</v>
      </c>
      <c r="C122" t="s">
        <v>47</v>
      </c>
      <c r="D122" t="s">
        <v>272</v>
      </c>
      <c r="E122" s="1" t="s">
        <v>16</v>
      </c>
      <c r="G122" s="8">
        <f>IF(ISNA(VLOOKUP($B122,'Other Capital Needs'!$C$51:$P$95,G$2,0)),0,VLOOKUP($B122,'Other Capital Needs'!$C$51:$P$95,G$2,0))+IF(ISNA(VLOOKUP('Project Details by Yr - MASTER'!$B122,'Public Grounds'!$A$11:$N$49,G$2,0)),0,VLOOKUP('Project Details by Yr - MASTER'!$B122,'Public Grounds'!$A$11:$N$49,G$2,0))+IF(ISNA(VLOOKUP('Project Details by Yr - MASTER'!$B122,'Public Buildings'!$A$10:$N$96,G$2,0)),0,VLOOKUP('Project Details by Yr - MASTER'!$B122,'Public Buildings'!$A$10:$N$96,G$2,0))+IF(ISNA(VLOOKUP('Project Details by Yr - MASTER'!$B122,Bridges!$A$9:$N$24,G$2,0)),0,VLOOKUP('Project Details by Yr - MASTER'!$B122,Bridges!$A$9:$N$24,G$2,0))+IF(ISNA(VLOOKUP('Project Details by Yr - MASTER'!$B122,'Parking Lots &amp; Playgrounds'!$A$9:$N$33,G$2,0)),0,VLOOKUP('Project Details by Yr - MASTER'!$B122,'Parking Lots &amp; Playgrounds'!$A$9:$N$33,G$2,0))+IF(ISNA(VLOOKUP($B122,Vehicles!$B$9:$O$50,G$2,0)),0,VLOOKUP($B122,Vehicles!$B$9:$O$50,G$2,0))</f>
        <v>25000</v>
      </c>
      <c r="H122" s="8">
        <f>IF(ISNA(VLOOKUP($B122,'Other Capital Needs'!$C$51:$P$95,H$2,0)),0,VLOOKUP($B122,'Other Capital Needs'!$C$51:$P$95,H$2,0))+IF(ISNA(VLOOKUP('Project Details by Yr - MASTER'!$B122,'Public Grounds'!$A$11:$N$49,H$2,0)),0,VLOOKUP('Project Details by Yr - MASTER'!$B122,'Public Grounds'!$A$11:$N$49,H$2,0))+IF(ISNA(VLOOKUP('Project Details by Yr - MASTER'!$B122,'Public Buildings'!$A$10:$N$96,H$2,0)),0,VLOOKUP('Project Details by Yr - MASTER'!$B122,'Public Buildings'!$A$10:$N$96,H$2,0))+IF(ISNA(VLOOKUP('Project Details by Yr - MASTER'!$B122,Bridges!$A$9:$N$24,H$2,0)),0,VLOOKUP('Project Details by Yr - MASTER'!$B122,Bridges!$A$9:$N$24,H$2,0))+IF(ISNA(VLOOKUP('Project Details by Yr - MASTER'!$B122,'Parking Lots &amp; Playgrounds'!$A$9:$N$33,H$2,0)),0,VLOOKUP('Project Details by Yr - MASTER'!$B122,'Parking Lots &amp; Playgrounds'!$A$9:$N$33,H$2,0))+IF(ISNA(VLOOKUP($B122,Vehicles!$B$9:$O$50,H$2,0)),0,VLOOKUP($B122,Vehicles!$B$9:$O$50,H$2,0))</f>
        <v>25000</v>
      </c>
      <c r="I122" s="8">
        <f>IF(ISNA(VLOOKUP($B122,'Other Capital Needs'!$C$51:$P$95,I$2,0)),0,VLOOKUP($B122,'Other Capital Needs'!$C$51:$P$95,I$2,0))+IF(ISNA(VLOOKUP('Project Details by Yr - MASTER'!$B122,'Public Grounds'!$A$11:$N$49,I$2,0)),0,VLOOKUP('Project Details by Yr - MASTER'!$B122,'Public Grounds'!$A$11:$N$49,I$2,0))+IF(ISNA(VLOOKUP('Project Details by Yr - MASTER'!$B122,'Public Buildings'!$A$10:$N$96,I$2,0)),0,VLOOKUP('Project Details by Yr - MASTER'!$B122,'Public Buildings'!$A$10:$N$96,I$2,0))+IF(ISNA(VLOOKUP('Project Details by Yr - MASTER'!$B122,Bridges!$A$9:$N$24,I$2,0)),0,VLOOKUP('Project Details by Yr - MASTER'!$B122,Bridges!$A$9:$N$24,I$2,0))+IF(ISNA(VLOOKUP('Project Details by Yr - MASTER'!$B122,'Parking Lots &amp; Playgrounds'!$A$9:$N$33,I$2,0)),0,VLOOKUP('Project Details by Yr - MASTER'!$B122,'Parking Lots &amp; Playgrounds'!$A$9:$N$33,I$2,0))+IF(ISNA(VLOOKUP($B122,Vehicles!$B$9:$O$50,I$2,0)),0,VLOOKUP($B122,Vehicles!$B$9:$O$50,I$2,0))</f>
        <v>25000</v>
      </c>
      <c r="J122" s="8">
        <f>IF(ISNA(VLOOKUP($B122,'Other Capital Needs'!$C$51:$P$95,J$2,0)),0,VLOOKUP($B122,'Other Capital Needs'!$C$51:$P$95,J$2,0))+IF(ISNA(VLOOKUP('Project Details by Yr - MASTER'!$B122,'Public Grounds'!$A$11:$N$49,J$2,0)),0,VLOOKUP('Project Details by Yr - MASTER'!$B122,'Public Grounds'!$A$11:$N$49,J$2,0))+IF(ISNA(VLOOKUP('Project Details by Yr - MASTER'!$B122,'Public Buildings'!$A$10:$N$96,J$2,0)),0,VLOOKUP('Project Details by Yr - MASTER'!$B122,'Public Buildings'!$A$10:$N$96,J$2,0))+IF(ISNA(VLOOKUP('Project Details by Yr - MASTER'!$B122,Bridges!$A$9:$N$24,J$2,0)),0,VLOOKUP('Project Details by Yr - MASTER'!$B122,Bridges!$A$9:$N$24,J$2,0))+IF(ISNA(VLOOKUP('Project Details by Yr - MASTER'!$B122,'Parking Lots &amp; Playgrounds'!$A$9:$N$33,J$2,0)),0,VLOOKUP('Project Details by Yr - MASTER'!$B122,'Parking Lots &amp; Playgrounds'!$A$9:$N$33,J$2,0))+IF(ISNA(VLOOKUP($B122,Vehicles!$B$9:$O$50,J$2,0)),0,VLOOKUP($B122,Vehicles!$B$9:$O$50,J$2,0))</f>
        <v>25000</v>
      </c>
      <c r="K122" s="8">
        <f>IF(ISNA(VLOOKUP($B122,'Other Capital Needs'!$C$51:$P$95,K$2,0)),0,VLOOKUP($B122,'Other Capital Needs'!$C$51:$P$95,K$2,0))+IF(ISNA(VLOOKUP('Project Details by Yr - MASTER'!$B122,'Public Grounds'!$A$11:$N$49,K$2,0)),0,VLOOKUP('Project Details by Yr - MASTER'!$B122,'Public Grounds'!$A$11:$N$49,K$2,0))+IF(ISNA(VLOOKUP('Project Details by Yr - MASTER'!$B122,'Public Buildings'!$A$10:$N$96,K$2,0)),0,VLOOKUP('Project Details by Yr - MASTER'!$B122,'Public Buildings'!$A$10:$N$96,K$2,0))+IF(ISNA(VLOOKUP('Project Details by Yr - MASTER'!$B122,Bridges!$A$9:$N$24,K$2,0)),0,VLOOKUP('Project Details by Yr - MASTER'!$B122,Bridges!$A$9:$N$24,K$2,0))+IF(ISNA(VLOOKUP('Project Details by Yr - MASTER'!$B122,'Parking Lots &amp; Playgrounds'!$A$9:$N$33,K$2,0)),0,VLOOKUP('Project Details by Yr - MASTER'!$B122,'Parking Lots &amp; Playgrounds'!$A$9:$N$33,K$2,0))+IF(ISNA(VLOOKUP($B122,Vehicles!$B$9:$O$50,K$2,0)),0,VLOOKUP($B122,Vehicles!$B$9:$O$50,K$2,0))</f>
        <v>25000</v>
      </c>
    </row>
    <row r="123" spans="2:11" x14ac:dyDescent="0.25">
      <c r="B123" t="s">
        <v>193</v>
      </c>
      <c r="C123" t="s">
        <v>47</v>
      </c>
      <c r="D123" t="s">
        <v>272</v>
      </c>
      <c r="E123" s="1" t="s">
        <v>16</v>
      </c>
      <c r="G123" s="8">
        <f>IF(ISNA(VLOOKUP($B123,'Other Capital Needs'!$C$51:$P$95,G$2,0)),0,VLOOKUP($B123,'Other Capital Needs'!$C$51:$P$95,G$2,0))+IF(ISNA(VLOOKUP('Project Details by Yr - MASTER'!$B123,'Public Grounds'!$A$11:$N$49,G$2,0)),0,VLOOKUP('Project Details by Yr - MASTER'!$B123,'Public Grounds'!$A$11:$N$49,G$2,0))+IF(ISNA(VLOOKUP('Project Details by Yr - MASTER'!$B123,'Public Buildings'!$A$10:$N$96,G$2,0)),0,VLOOKUP('Project Details by Yr - MASTER'!$B123,'Public Buildings'!$A$10:$N$96,G$2,0))+IF(ISNA(VLOOKUP('Project Details by Yr - MASTER'!$B123,Bridges!$A$9:$N$24,G$2,0)),0,VLOOKUP('Project Details by Yr - MASTER'!$B123,Bridges!$A$9:$N$24,G$2,0))+IF(ISNA(VLOOKUP('Project Details by Yr - MASTER'!$B123,'Parking Lots &amp; Playgrounds'!$A$9:$N$33,G$2,0)),0,VLOOKUP('Project Details by Yr - MASTER'!$B123,'Parking Lots &amp; Playgrounds'!$A$9:$N$33,G$2,0))+IF(ISNA(VLOOKUP($B123,Vehicles!$B$9:$O$50,G$2,0)),0,VLOOKUP($B123,Vehicles!$B$9:$O$50,G$2,0))</f>
        <v>10000</v>
      </c>
      <c r="H123" s="8">
        <f>IF(ISNA(VLOOKUP($B123,'Other Capital Needs'!$C$51:$P$95,H$2,0)),0,VLOOKUP($B123,'Other Capital Needs'!$C$51:$P$95,H$2,0))+IF(ISNA(VLOOKUP('Project Details by Yr - MASTER'!$B123,'Public Grounds'!$A$11:$N$49,H$2,0)),0,VLOOKUP('Project Details by Yr - MASTER'!$B123,'Public Grounds'!$A$11:$N$49,H$2,0))+IF(ISNA(VLOOKUP('Project Details by Yr - MASTER'!$B123,'Public Buildings'!$A$10:$N$96,H$2,0)),0,VLOOKUP('Project Details by Yr - MASTER'!$B123,'Public Buildings'!$A$10:$N$96,H$2,0))+IF(ISNA(VLOOKUP('Project Details by Yr - MASTER'!$B123,Bridges!$A$9:$N$24,H$2,0)),0,VLOOKUP('Project Details by Yr - MASTER'!$B123,Bridges!$A$9:$N$24,H$2,0))+IF(ISNA(VLOOKUP('Project Details by Yr - MASTER'!$B123,'Parking Lots &amp; Playgrounds'!$A$9:$N$33,H$2,0)),0,VLOOKUP('Project Details by Yr - MASTER'!$B123,'Parking Lots &amp; Playgrounds'!$A$9:$N$33,H$2,0))+IF(ISNA(VLOOKUP($B123,Vehicles!$B$9:$O$50,H$2,0)),0,VLOOKUP($B123,Vehicles!$B$9:$O$50,H$2,0))</f>
        <v>10000</v>
      </c>
      <c r="I123" s="8">
        <f>IF(ISNA(VLOOKUP($B123,'Other Capital Needs'!$C$51:$P$95,I$2,0)),0,VLOOKUP($B123,'Other Capital Needs'!$C$51:$P$95,I$2,0))+IF(ISNA(VLOOKUP('Project Details by Yr - MASTER'!$B123,'Public Grounds'!$A$11:$N$49,I$2,0)),0,VLOOKUP('Project Details by Yr - MASTER'!$B123,'Public Grounds'!$A$11:$N$49,I$2,0))+IF(ISNA(VLOOKUP('Project Details by Yr - MASTER'!$B123,'Public Buildings'!$A$10:$N$96,I$2,0)),0,VLOOKUP('Project Details by Yr - MASTER'!$B123,'Public Buildings'!$A$10:$N$96,I$2,0))+IF(ISNA(VLOOKUP('Project Details by Yr - MASTER'!$B123,Bridges!$A$9:$N$24,I$2,0)),0,VLOOKUP('Project Details by Yr - MASTER'!$B123,Bridges!$A$9:$N$24,I$2,0))+IF(ISNA(VLOOKUP('Project Details by Yr - MASTER'!$B123,'Parking Lots &amp; Playgrounds'!$A$9:$N$33,I$2,0)),0,VLOOKUP('Project Details by Yr - MASTER'!$B123,'Parking Lots &amp; Playgrounds'!$A$9:$N$33,I$2,0))+IF(ISNA(VLOOKUP($B123,Vehicles!$B$9:$O$50,I$2,0)),0,VLOOKUP($B123,Vehicles!$B$9:$O$50,I$2,0))</f>
        <v>10000</v>
      </c>
      <c r="J123" s="8">
        <f>IF(ISNA(VLOOKUP($B123,'Other Capital Needs'!$C$51:$P$95,J$2,0)),0,VLOOKUP($B123,'Other Capital Needs'!$C$51:$P$95,J$2,0))+IF(ISNA(VLOOKUP('Project Details by Yr - MASTER'!$B123,'Public Grounds'!$A$11:$N$49,J$2,0)),0,VLOOKUP('Project Details by Yr - MASTER'!$B123,'Public Grounds'!$A$11:$N$49,J$2,0))+IF(ISNA(VLOOKUP('Project Details by Yr - MASTER'!$B123,'Public Buildings'!$A$10:$N$96,J$2,0)),0,VLOOKUP('Project Details by Yr - MASTER'!$B123,'Public Buildings'!$A$10:$N$96,J$2,0))+IF(ISNA(VLOOKUP('Project Details by Yr - MASTER'!$B123,Bridges!$A$9:$N$24,J$2,0)),0,VLOOKUP('Project Details by Yr - MASTER'!$B123,Bridges!$A$9:$N$24,J$2,0))+IF(ISNA(VLOOKUP('Project Details by Yr - MASTER'!$B123,'Parking Lots &amp; Playgrounds'!$A$9:$N$33,J$2,0)),0,VLOOKUP('Project Details by Yr - MASTER'!$B123,'Parking Lots &amp; Playgrounds'!$A$9:$N$33,J$2,0))+IF(ISNA(VLOOKUP($B123,Vehicles!$B$9:$O$50,J$2,0)),0,VLOOKUP($B123,Vehicles!$B$9:$O$50,J$2,0))</f>
        <v>10000</v>
      </c>
      <c r="K123" s="8">
        <f>IF(ISNA(VLOOKUP($B123,'Other Capital Needs'!$C$51:$P$95,K$2,0)),0,VLOOKUP($B123,'Other Capital Needs'!$C$51:$P$95,K$2,0))+IF(ISNA(VLOOKUP('Project Details by Yr - MASTER'!$B123,'Public Grounds'!$A$11:$N$49,K$2,0)),0,VLOOKUP('Project Details by Yr - MASTER'!$B123,'Public Grounds'!$A$11:$N$49,K$2,0))+IF(ISNA(VLOOKUP('Project Details by Yr - MASTER'!$B123,'Public Buildings'!$A$10:$N$96,K$2,0)),0,VLOOKUP('Project Details by Yr - MASTER'!$B123,'Public Buildings'!$A$10:$N$96,K$2,0))+IF(ISNA(VLOOKUP('Project Details by Yr - MASTER'!$B123,Bridges!$A$9:$N$24,K$2,0)),0,VLOOKUP('Project Details by Yr - MASTER'!$B123,Bridges!$A$9:$N$24,K$2,0))+IF(ISNA(VLOOKUP('Project Details by Yr - MASTER'!$B123,'Parking Lots &amp; Playgrounds'!$A$9:$N$33,K$2,0)),0,VLOOKUP('Project Details by Yr - MASTER'!$B123,'Parking Lots &amp; Playgrounds'!$A$9:$N$33,K$2,0))+IF(ISNA(VLOOKUP($B123,Vehicles!$B$9:$O$50,K$2,0)),0,VLOOKUP($B123,Vehicles!$B$9:$O$50,K$2,0))</f>
        <v>10000</v>
      </c>
    </row>
    <row r="124" spans="2:11" x14ac:dyDescent="0.25">
      <c r="B124" t="s">
        <v>195</v>
      </c>
      <c r="C124" t="s">
        <v>47</v>
      </c>
      <c r="D124" t="s">
        <v>272</v>
      </c>
      <c r="E124" s="1" t="s">
        <v>16</v>
      </c>
      <c r="G124" s="8">
        <f>IF(ISNA(VLOOKUP($B124,'Other Capital Needs'!$C$51:$P$95,G$2,0)),0,VLOOKUP($B124,'Other Capital Needs'!$C$51:$P$95,G$2,0))+IF(ISNA(VLOOKUP('Project Details by Yr - MASTER'!$B124,'Public Grounds'!$A$11:$N$49,G$2,0)),0,VLOOKUP('Project Details by Yr - MASTER'!$B124,'Public Grounds'!$A$11:$N$49,G$2,0))+IF(ISNA(VLOOKUP('Project Details by Yr - MASTER'!$B124,'Public Buildings'!$A$10:$N$96,G$2,0)),0,VLOOKUP('Project Details by Yr - MASTER'!$B124,'Public Buildings'!$A$10:$N$96,G$2,0))+IF(ISNA(VLOOKUP('Project Details by Yr - MASTER'!$B124,Bridges!$A$9:$N$24,G$2,0)),0,VLOOKUP('Project Details by Yr - MASTER'!$B124,Bridges!$A$9:$N$24,G$2,0))+IF(ISNA(VLOOKUP('Project Details by Yr - MASTER'!$B124,'Parking Lots &amp; Playgrounds'!$A$9:$N$33,G$2,0)),0,VLOOKUP('Project Details by Yr - MASTER'!$B124,'Parking Lots &amp; Playgrounds'!$A$9:$N$33,G$2,0))+IF(ISNA(VLOOKUP($B124,Vehicles!$B$9:$O$50,G$2,0)),0,VLOOKUP($B124,Vehicles!$B$9:$O$50,G$2,0))</f>
        <v>0</v>
      </c>
      <c r="H124" s="8">
        <f>IF(ISNA(VLOOKUP($B124,'Other Capital Needs'!$C$51:$P$95,H$2,0)),0,VLOOKUP($B124,'Other Capital Needs'!$C$51:$P$95,H$2,0))+IF(ISNA(VLOOKUP('Project Details by Yr - MASTER'!$B124,'Public Grounds'!$A$11:$N$49,H$2,0)),0,VLOOKUP('Project Details by Yr - MASTER'!$B124,'Public Grounds'!$A$11:$N$49,H$2,0))+IF(ISNA(VLOOKUP('Project Details by Yr - MASTER'!$B124,'Public Buildings'!$A$10:$N$96,H$2,0)),0,VLOOKUP('Project Details by Yr - MASTER'!$B124,'Public Buildings'!$A$10:$N$96,H$2,0))+IF(ISNA(VLOOKUP('Project Details by Yr - MASTER'!$B124,Bridges!$A$9:$N$24,H$2,0)),0,VLOOKUP('Project Details by Yr - MASTER'!$B124,Bridges!$A$9:$N$24,H$2,0))+IF(ISNA(VLOOKUP('Project Details by Yr - MASTER'!$B124,'Parking Lots &amp; Playgrounds'!$A$9:$N$33,H$2,0)),0,VLOOKUP('Project Details by Yr - MASTER'!$B124,'Parking Lots &amp; Playgrounds'!$A$9:$N$33,H$2,0))+IF(ISNA(VLOOKUP($B124,Vehicles!$B$9:$O$50,H$2,0)),0,VLOOKUP($B124,Vehicles!$B$9:$O$50,H$2,0))</f>
        <v>0</v>
      </c>
      <c r="I124" s="8">
        <f>IF(ISNA(VLOOKUP($B124,'Other Capital Needs'!$C$51:$P$95,I$2,0)),0,VLOOKUP($B124,'Other Capital Needs'!$C$51:$P$95,I$2,0))+IF(ISNA(VLOOKUP('Project Details by Yr - MASTER'!$B124,'Public Grounds'!$A$11:$N$49,I$2,0)),0,VLOOKUP('Project Details by Yr - MASTER'!$B124,'Public Grounds'!$A$11:$N$49,I$2,0))+IF(ISNA(VLOOKUP('Project Details by Yr - MASTER'!$B124,'Public Buildings'!$A$10:$N$96,I$2,0)),0,VLOOKUP('Project Details by Yr - MASTER'!$B124,'Public Buildings'!$A$10:$N$96,I$2,0))+IF(ISNA(VLOOKUP('Project Details by Yr - MASTER'!$B124,Bridges!$A$9:$N$24,I$2,0)),0,VLOOKUP('Project Details by Yr - MASTER'!$B124,Bridges!$A$9:$N$24,I$2,0))+IF(ISNA(VLOOKUP('Project Details by Yr - MASTER'!$B124,'Parking Lots &amp; Playgrounds'!$A$9:$N$33,I$2,0)),0,VLOOKUP('Project Details by Yr - MASTER'!$B124,'Parking Lots &amp; Playgrounds'!$A$9:$N$33,I$2,0))+IF(ISNA(VLOOKUP($B124,Vehicles!$B$9:$O$50,I$2,0)),0,VLOOKUP($B124,Vehicles!$B$9:$O$50,I$2,0))</f>
        <v>500000</v>
      </c>
      <c r="J124" s="8">
        <f>IF(ISNA(VLOOKUP($B124,'Other Capital Needs'!$C$51:$P$95,J$2,0)),0,VLOOKUP($B124,'Other Capital Needs'!$C$51:$P$95,J$2,0))+IF(ISNA(VLOOKUP('Project Details by Yr - MASTER'!$B124,'Public Grounds'!$A$11:$N$49,J$2,0)),0,VLOOKUP('Project Details by Yr - MASTER'!$B124,'Public Grounds'!$A$11:$N$49,J$2,0))+IF(ISNA(VLOOKUP('Project Details by Yr - MASTER'!$B124,'Public Buildings'!$A$10:$N$96,J$2,0)),0,VLOOKUP('Project Details by Yr - MASTER'!$B124,'Public Buildings'!$A$10:$N$96,J$2,0))+IF(ISNA(VLOOKUP('Project Details by Yr - MASTER'!$B124,Bridges!$A$9:$N$24,J$2,0)),0,VLOOKUP('Project Details by Yr - MASTER'!$B124,Bridges!$A$9:$N$24,J$2,0))+IF(ISNA(VLOOKUP('Project Details by Yr - MASTER'!$B124,'Parking Lots &amp; Playgrounds'!$A$9:$N$33,J$2,0)),0,VLOOKUP('Project Details by Yr - MASTER'!$B124,'Parking Lots &amp; Playgrounds'!$A$9:$N$33,J$2,0))+IF(ISNA(VLOOKUP($B124,Vehicles!$B$9:$O$50,J$2,0)),0,VLOOKUP($B124,Vehicles!$B$9:$O$50,J$2,0))</f>
        <v>0</v>
      </c>
      <c r="K124" s="8">
        <f>IF(ISNA(VLOOKUP($B124,'Other Capital Needs'!$C$51:$P$95,K$2,0)),0,VLOOKUP($B124,'Other Capital Needs'!$C$51:$P$95,K$2,0))+IF(ISNA(VLOOKUP('Project Details by Yr - MASTER'!$B124,'Public Grounds'!$A$11:$N$49,K$2,0)),0,VLOOKUP('Project Details by Yr - MASTER'!$B124,'Public Grounds'!$A$11:$N$49,K$2,0))+IF(ISNA(VLOOKUP('Project Details by Yr - MASTER'!$B124,'Public Buildings'!$A$10:$N$96,K$2,0)),0,VLOOKUP('Project Details by Yr - MASTER'!$B124,'Public Buildings'!$A$10:$N$96,K$2,0))+IF(ISNA(VLOOKUP('Project Details by Yr - MASTER'!$B124,Bridges!$A$9:$N$24,K$2,0)),0,VLOOKUP('Project Details by Yr - MASTER'!$B124,Bridges!$A$9:$N$24,K$2,0))+IF(ISNA(VLOOKUP('Project Details by Yr - MASTER'!$B124,'Parking Lots &amp; Playgrounds'!$A$9:$N$33,K$2,0)),0,VLOOKUP('Project Details by Yr - MASTER'!$B124,'Parking Lots &amp; Playgrounds'!$A$9:$N$33,K$2,0))+IF(ISNA(VLOOKUP($B124,Vehicles!$B$9:$O$50,K$2,0)),0,VLOOKUP($B124,Vehicles!$B$9:$O$50,K$2,0))</f>
        <v>0</v>
      </c>
    </row>
    <row r="125" spans="2:11" x14ac:dyDescent="0.25">
      <c r="B125" t="s">
        <v>194</v>
      </c>
      <c r="C125" t="s">
        <v>47</v>
      </c>
      <c r="D125" t="s">
        <v>272</v>
      </c>
      <c r="E125" s="1" t="s">
        <v>16</v>
      </c>
      <c r="G125" s="8">
        <f>IF(ISNA(VLOOKUP($B125,'Other Capital Needs'!$C$51:$P$95,G$2,0)),0,VLOOKUP($B125,'Other Capital Needs'!$C$51:$P$95,G$2,0))+IF(ISNA(VLOOKUP('Project Details by Yr - MASTER'!$B125,'Public Grounds'!$A$11:$N$49,G$2,0)),0,VLOOKUP('Project Details by Yr - MASTER'!$B125,'Public Grounds'!$A$11:$N$49,G$2,0))+IF(ISNA(VLOOKUP('Project Details by Yr - MASTER'!$B125,'Public Buildings'!$A$10:$N$96,G$2,0)),0,VLOOKUP('Project Details by Yr - MASTER'!$B125,'Public Buildings'!$A$10:$N$96,G$2,0))+IF(ISNA(VLOOKUP('Project Details by Yr - MASTER'!$B125,Bridges!$A$9:$N$24,G$2,0)),0,VLOOKUP('Project Details by Yr - MASTER'!$B125,Bridges!$A$9:$N$24,G$2,0))+IF(ISNA(VLOOKUP('Project Details by Yr - MASTER'!$B125,'Parking Lots &amp; Playgrounds'!$A$9:$N$33,G$2,0)),0,VLOOKUP('Project Details by Yr - MASTER'!$B125,'Parking Lots &amp; Playgrounds'!$A$9:$N$33,G$2,0))+IF(ISNA(VLOOKUP($B125,Vehicles!$B$9:$O$50,G$2,0)),0,VLOOKUP($B125,Vehicles!$B$9:$O$50,G$2,0))</f>
        <v>0</v>
      </c>
      <c r="H125" s="8">
        <f>IF(ISNA(VLOOKUP($B125,'Other Capital Needs'!$C$51:$P$95,H$2,0)),0,VLOOKUP($B125,'Other Capital Needs'!$C$51:$P$95,H$2,0))+IF(ISNA(VLOOKUP('Project Details by Yr - MASTER'!$B125,'Public Grounds'!$A$11:$N$49,H$2,0)),0,VLOOKUP('Project Details by Yr - MASTER'!$B125,'Public Grounds'!$A$11:$N$49,H$2,0))+IF(ISNA(VLOOKUP('Project Details by Yr - MASTER'!$B125,'Public Buildings'!$A$10:$N$96,H$2,0)),0,VLOOKUP('Project Details by Yr - MASTER'!$B125,'Public Buildings'!$A$10:$N$96,H$2,0))+IF(ISNA(VLOOKUP('Project Details by Yr - MASTER'!$B125,Bridges!$A$9:$N$24,H$2,0)),0,VLOOKUP('Project Details by Yr - MASTER'!$B125,Bridges!$A$9:$N$24,H$2,0))+IF(ISNA(VLOOKUP('Project Details by Yr - MASTER'!$B125,'Parking Lots &amp; Playgrounds'!$A$9:$N$33,H$2,0)),0,VLOOKUP('Project Details by Yr - MASTER'!$B125,'Parking Lots &amp; Playgrounds'!$A$9:$N$33,H$2,0))+IF(ISNA(VLOOKUP($B125,Vehicles!$B$9:$O$50,H$2,0)),0,VLOOKUP($B125,Vehicles!$B$9:$O$50,H$2,0))</f>
        <v>0</v>
      </c>
      <c r="I125" s="8">
        <f>IF(ISNA(VLOOKUP($B125,'Other Capital Needs'!$C$51:$P$95,I$2,0)),0,VLOOKUP($B125,'Other Capital Needs'!$C$51:$P$95,I$2,0))+IF(ISNA(VLOOKUP('Project Details by Yr - MASTER'!$B125,'Public Grounds'!$A$11:$N$49,I$2,0)),0,VLOOKUP('Project Details by Yr - MASTER'!$B125,'Public Grounds'!$A$11:$N$49,I$2,0))+IF(ISNA(VLOOKUP('Project Details by Yr - MASTER'!$B125,'Public Buildings'!$A$10:$N$96,I$2,0)),0,VLOOKUP('Project Details by Yr - MASTER'!$B125,'Public Buildings'!$A$10:$N$96,I$2,0))+IF(ISNA(VLOOKUP('Project Details by Yr - MASTER'!$B125,Bridges!$A$9:$N$24,I$2,0)),0,VLOOKUP('Project Details by Yr - MASTER'!$B125,Bridges!$A$9:$N$24,I$2,0))+IF(ISNA(VLOOKUP('Project Details by Yr - MASTER'!$B125,'Parking Lots &amp; Playgrounds'!$A$9:$N$33,I$2,0)),0,VLOOKUP('Project Details by Yr - MASTER'!$B125,'Parking Lots &amp; Playgrounds'!$A$9:$N$33,I$2,0))+IF(ISNA(VLOOKUP($B125,Vehicles!$B$9:$O$50,I$2,0)),0,VLOOKUP($B125,Vehicles!$B$9:$O$50,I$2,0))</f>
        <v>0</v>
      </c>
      <c r="J125" s="8">
        <f>IF(ISNA(VLOOKUP($B125,'Other Capital Needs'!$C$51:$P$95,J$2,0)),0,VLOOKUP($B125,'Other Capital Needs'!$C$51:$P$95,J$2,0))+IF(ISNA(VLOOKUP('Project Details by Yr - MASTER'!$B125,'Public Grounds'!$A$11:$N$49,J$2,0)),0,VLOOKUP('Project Details by Yr - MASTER'!$B125,'Public Grounds'!$A$11:$N$49,J$2,0))+IF(ISNA(VLOOKUP('Project Details by Yr - MASTER'!$B125,'Public Buildings'!$A$10:$N$96,J$2,0)),0,VLOOKUP('Project Details by Yr - MASTER'!$B125,'Public Buildings'!$A$10:$N$96,J$2,0))+IF(ISNA(VLOOKUP('Project Details by Yr - MASTER'!$B125,Bridges!$A$9:$N$24,J$2,0)),0,VLOOKUP('Project Details by Yr - MASTER'!$B125,Bridges!$A$9:$N$24,J$2,0))+IF(ISNA(VLOOKUP('Project Details by Yr - MASTER'!$B125,'Parking Lots &amp; Playgrounds'!$A$9:$N$33,J$2,0)),0,VLOOKUP('Project Details by Yr - MASTER'!$B125,'Parking Lots &amp; Playgrounds'!$A$9:$N$33,J$2,0))+IF(ISNA(VLOOKUP($B125,Vehicles!$B$9:$O$50,J$2,0)),0,VLOOKUP($B125,Vehicles!$B$9:$O$50,J$2,0))</f>
        <v>500000</v>
      </c>
      <c r="K125" s="8">
        <f>IF(ISNA(VLOOKUP($B125,'Other Capital Needs'!$C$51:$P$95,K$2,0)),0,VLOOKUP($B125,'Other Capital Needs'!$C$51:$P$95,K$2,0))+IF(ISNA(VLOOKUP('Project Details by Yr - MASTER'!$B125,'Public Grounds'!$A$11:$N$49,K$2,0)),0,VLOOKUP('Project Details by Yr - MASTER'!$B125,'Public Grounds'!$A$11:$N$49,K$2,0))+IF(ISNA(VLOOKUP('Project Details by Yr - MASTER'!$B125,'Public Buildings'!$A$10:$N$96,K$2,0)),0,VLOOKUP('Project Details by Yr - MASTER'!$B125,'Public Buildings'!$A$10:$N$96,K$2,0))+IF(ISNA(VLOOKUP('Project Details by Yr - MASTER'!$B125,Bridges!$A$9:$N$24,K$2,0)),0,VLOOKUP('Project Details by Yr - MASTER'!$B125,Bridges!$A$9:$N$24,K$2,0))+IF(ISNA(VLOOKUP('Project Details by Yr - MASTER'!$B125,'Parking Lots &amp; Playgrounds'!$A$9:$N$33,K$2,0)),0,VLOOKUP('Project Details by Yr - MASTER'!$B125,'Parking Lots &amp; Playgrounds'!$A$9:$N$33,K$2,0))+IF(ISNA(VLOOKUP($B125,Vehicles!$B$9:$O$50,K$2,0)),0,VLOOKUP($B125,Vehicles!$B$9:$O$50,K$2,0))</f>
        <v>0</v>
      </c>
    </row>
    <row r="126" spans="2:11" x14ac:dyDescent="0.25">
      <c r="B126" t="s">
        <v>196</v>
      </c>
      <c r="C126" t="s">
        <v>47</v>
      </c>
      <c r="D126" t="s">
        <v>272</v>
      </c>
      <c r="E126" s="1" t="s">
        <v>19</v>
      </c>
      <c r="G126" s="8">
        <f>IF(ISNA(VLOOKUP($B126,'Other Capital Needs'!$C$51:$P$95,G$2,0)),0,VLOOKUP($B126,'Other Capital Needs'!$C$51:$P$95,G$2,0))+IF(ISNA(VLOOKUP('Project Details by Yr - MASTER'!$B126,'Public Grounds'!$A$11:$N$49,G$2,0)),0,VLOOKUP('Project Details by Yr - MASTER'!$B126,'Public Grounds'!$A$11:$N$49,G$2,0))+IF(ISNA(VLOOKUP('Project Details by Yr - MASTER'!$B126,'Public Buildings'!$A$10:$N$96,G$2,0)),0,VLOOKUP('Project Details by Yr - MASTER'!$B126,'Public Buildings'!$A$10:$N$96,G$2,0))+IF(ISNA(VLOOKUP('Project Details by Yr - MASTER'!$B126,Bridges!$A$9:$N$24,G$2,0)),0,VLOOKUP('Project Details by Yr - MASTER'!$B126,Bridges!$A$9:$N$24,G$2,0))+IF(ISNA(VLOOKUP('Project Details by Yr - MASTER'!$B126,'Parking Lots &amp; Playgrounds'!$A$9:$N$33,G$2,0)),0,VLOOKUP('Project Details by Yr - MASTER'!$B126,'Parking Lots &amp; Playgrounds'!$A$9:$N$33,G$2,0))+IF(ISNA(VLOOKUP($B126,Vehicles!$B$9:$O$50,G$2,0)),0,VLOOKUP($B126,Vehicles!$B$9:$O$50,G$2,0))</f>
        <v>0</v>
      </c>
      <c r="H126" s="8">
        <f>IF(ISNA(VLOOKUP($B126,'Other Capital Needs'!$C$51:$P$95,H$2,0)),0,VLOOKUP($B126,'Other Capital Needs'!$C$51:$P$95,H$2,0))+IF(ISNA(VLOOKUP('Project Details by Yr - MASTER'!$B126,'Public Grounds'!$A$11:$N$49,H$2,0)),0,VLOOKUP('Project Details by Yr - MASTER'!$B126,'Public Grounds'!$A$11:$N$49,H$2,0))+IF(ISNA(VLOOKUP('Project Details by Yr - MASTER'!$B126,'Public Buildings'!$A$10:$N$96,H$2,0)),0,VLOOKUP('Project Details by Yr - MASTER'!$B126,'Public Buildings'!$A$10:$N$96,H$2,0))+IF(ISNA(VLOOKUP('Project Details by Yr - MASTER'!$B126,Bridges!$A$9:$N$24,H$2,0)),0,VLOOKUP('Project Details by Yr - MASTER'!$B126,Bridges!$A$9:$N$24,H$2,0))+IF(ISNA(VLOOKUP('Project Details by Yr - MASTER'!$B126,'Parking Lots &amp; Playgrounds'!$A$9:$N$33,H$2,0)),0,VLOOKUP('Project Details by Yr - MASTER'!$B126,'Parking Lots &amp; Playgrounds'!$A$9:$N$33,H$2,0))+IF(ISNA(VLOOKUP($B126,Vehicles!$B$9:$O$50,H$2,0)),0,VLOOKUP($B126,Vehicles!$B$9:$O$50,H$2,0))</f>
        <v>0</v>
      </c>
      <c r="I126" s="8">
        <f>IF(ISNA(VLOOKUP($B126,'Other Capital Needs'!$C$51:$P$95,I$2,0)),0,VLOOKUP($B126,'Other Capital Needs'!$C$51:$P$95,I$2,0))+IF(ISNA(VLOOKUP('Project Details by Yr - MASTER'!$B126,'Public Grounds'!$A$11:$N$49,I$2,0)),0,VLOOKUP('Project Details by Yr - MASTER'!$B126,'Public Grounds'!$A$11:$N$49,I$2,0))+IF(ISNA(VLOOKUP('Project Details by Yr - MASTER'!$B126,'Public Buildings'!$A$10:$N$96,I$2,0)),0,VLOOKUP('Project Details by Yr - MASTER'!$B126,'Public Buildings'!$A$10:$N$96,I$2,0))+IF(ISNA(VLOOKUP('Project Details by Yr - MASTER'!$B126,Bridges!$A$9:$N$24,I$2,0)),0,VLOOKUP('Project Details by Yr - MASTER'!$B126,Bridges!$A$9:$N$24,I$2,0))+IF(ISNA(VLOOKUP('Project Details by Yr - MASTER'!$B126,'Parking Lots &amp; Playgrounds'!$A$9:$N$33,I$2,0)),0,VLOOKUP('Project Details by Yr - MASTER'!$B126,'Parking Lots &amp; Playgrounds'!$A$9:$N$33,I$2,0))+IF(ISNA(VLOOKUP($B126,Vehicles!$B$9:$O$50,I$2,0)),0,VLOOKUP($B126,Vehicles!$B$9:$O$50,I$2,0))</f>
        <v>0</v>
      </c>
      <c r="J126" s="8">
        <f>IF(ISNA(VLOOKUP($B126,'Other Capital Needs'!$C$51:$P$95,J$2,0)),0,VLOOKUP($B126,'Other Capital Needs'!$C$51:$P$95,J$2,0))+IF(ISNA(VLOOKUP('Project Details by Yr - MASTER'!$B126,'Public Grounds'!$A$11:$N$49,J$2,0)),0,VLOOKUP('Project Details by Yr - MASTER'!$B126,'Public Grounds'!$A$11:$N$49,J$2,0))+IF(ISNA(VLOOKUP('Project Details by Yr - MASTER'!$B126,'Public Buildings'!$A$10:$N$96,J$2,0)),0,VLOOKUP('Project Details by Yr - MASTER'!$B126,'Public Buildings'!$A$10:$N$96,J$2,0))+IF(ISNA(VLOOKUP('Project Details by Yr - MASTER'!$B126,Bridges!$A$9:$N$24,J$2,0)),0,VLOOKUP('Project Details by Yr - MASTER'!$B126,Bridges!$A$9:$N$24,J$2,0))+IF(ISNA(VLOOKUP('Project Details by Yr - MASTER'!$B126,'Parking Lots &amp; Playgrounds'!$A$9:$N$33,J$2,0)),0,VLOOKUP('Project Details by Yr - MASTER'!$B126,'Parking Lots &amp; Playgrounds'!$A$9:$N$33,J$2,0))+IF(ISNA(VLOOKUP($B126,Vehicles!$B$9:$O$50,J$2,0)),0,VLOOKUP($B126,Vehicles!$B$9:$O$50,J$2,0))</f>
        <v>950000</v>
      </c>
      <c r="K126" s="8">
        <f>IF(ISNA(VLOOKUP($B126,'Other Capital Needs'!$C$51:$P$95,K$2,0)),0,VLOOKUP($B126,'Other Capital Needs'!$C$51:$P$95,K$2,0))+IF(ISNA(VLOOKUP('Project Details by Yr - MASTER'!$B126,'Public Grounds'!$A$11:$N$49,K$2,0)),0,VLOOKUP('Project Details by Yr - MASTER'!$B126,'Public Grounds'!$A$11:$N$49,K$2,0))+IF(ISNA(VLOOKUP('Project Details by Yr - MASTER'!$B126,'Public Buildings'!$A$10:$N$96,K$2,0)),0,VLOOKUP('Project Details by Yr - MASTER'!$B126,'Public Buildings'!$A$10:$N$96,K$2,0))+IF(ISNA(VLOOKUP('Project Details by Yr - MASTER'!$B126,Bridges!$A$9:$N$24,K$2,0)),0,VLOOKUP('Project Details by Yr - MASTER'!$B126,Bridges!$A$9:$N$24,K$2,0))+IF(ISNA(VLOOKUP('Project Details by Yr - MASTER'!$B126,'Parking Lots &amp; Playgrounds'!$A$9:$N$33,K$2,0)),0,VLOOKUP('Project Details by Yr - MASTER'!$B126,'Parking Lots &amp; Playgrounds'!$A$9:$N$33,K$2,0))+IF(ISNA(VLOOKUP($B126,Vehicles!$B$9:$O$50,K$2,0)),0,VLOOKUP($B126,Vehicles!$B$9:$O$50,K$2,0))</f>
        <v>0</v>
      </c>
    </row>
    <row r="127" spans="2:11" x14ac:dyDescent="0.25">
      <c r="B127" t="s">
        <v>197</v>
      </c>
      <c r="C127" t="s">
        <v>47</v>
      </c>
      <c r="D127" t="s">
        <v>272</v>
      </c>
      <c r="E127" s="1" t="s">
        <v>16</v>
      </c>
      <c r="G127" s="8">
        <f>IF(ISNA(VLOOKUP($B127,'Other Capital Needs'!$C$51:$P$95,G$2,0)),0,VLOOKUP($B127,'Other Capital Needs'!$C$51:$P$95,G$2,0))+IF(ISNA(VLOOKUP('Project Details by Yr - MASTER'!$B127,'Public Grounds'!$A$11:$N$49,G$2,0)),0,VLOOKUP('Project Details by Yr - MASTER'!$B127,'Public Grounds'!$A$11:$N$49,G$2,0))+IF(ISNA(VLOOKUP('Project Details by Yr - MASTER'!$B127,'Public Buildings'!$A$10:$N$96,G$2,0)),0,VLOOKUP('Project Details by Yr - MASTER'!$B127,'Public Buildings'!$A$10:$N$96,G$2,0))+IF(ISNA(VLOOKUP('Project Details by Yr - MASTER'!$B127,Bridges!$A$9:$N$24,G$2,0)),0,VLOOKUP('Project Details by Yr - MASTER'!$B127,Bridges!$A$9:$N$24,G$2,0))+IF(ISNA(VLOOKUP('Project Details by Yr - MASTER'!$B127,'Parking Lots &amp; Playgrounds'!$A$9:$N$33,G$2,0)),0,VLOOKUP('Project Details by Yr - MASTER'!$B127,'Parking Lots &amp; Playgrounds'!$A$9:$N$33,G$2,0))+IF(ISNA(VLOOKUP($B127,Vehicles!$B$9:$O$50,G$2,0)),0,VLOOKUP($B127,Vehicles!$B$9:$O$50,G$2,0))</f>
        <v>0</v>
      </c>
      <c r="H127" s="8">
        <f>IF(ISNA(VLOOKUP($B127,'Other Capital Needs'!$C$51:$P$95,H$2,0)),0,VLOOKUP($B127,'Other Capital Needs'!$C$51:$P$95,H$2,0))+IF(ISNA(VLOOKUP('Project Details by Yr - MASTER'!$B127,'Public Grounds'!$A$11:$N$49,H$2,0)),0,VLOOKUP('Project Details by Yr - MASTER'!$B127,'Public Grounds'!$A$11:$N$49,H$2,0))+IF(ISNA(VLOOKUP('Project Details by Yr - MASTER'!$B127,'Public Buildings'!$A$10:$N$96,H$2,0)),0,VLOOKUP('Project Details by Yr - MASTER'!$B127,'Public Buildings'!$A$10:$N$96,H$2,0))+IF(ISNA(VLOOKUP('Project Details by Yr - MASTER'!$B127,Bridges!$A$9:$N$24,H$2,0)),0,VLOOKUP('Project Details by Yr - MASTER'!$B127,Bridges!$A$9:$N$24,H$2,0))+IF(ISNA(VLOOKUP('Project Details by Yr - MASTER'!$B127,'Parking Lots &amp; Playgrounds'!$A$9:$N$33,H$2,0)),0,VLOOKUP('Project Details by Yr - MASTER'!$B127,'Parking Lots &amp; Playgrounds'!$A$9:$N$33,H$2,0))+IF(ISNA(VLOOKUP($B127,Vehicles!$B$9:$O$50,H$2,0)),0,VLOOKUP($B127,Vehicles!$B$9:$O$50,H$2,0))</f>
        <v>0</v>
      </c>
      <c r="I127" s="8">
        <f>IF(ISNA(VLOOKUP($B127,'Other Capital Needs'!$C$51:$P$95,I$2,0)),0,VLOOKUP($B127,'Other Capital Needs'!$C$51:$P$95,I$2,0))+IF(ISNA(VLOOKUP('Project Details by Yr - MASTER'!$B127,'Public Grounds'!$A$11:$N$49,I$2,0)),0,VLOOKUP('Project Details by Yr - MASTER'!$B127,'Public Grounds'!$A$11:$N$49,I$2,0))+IF(ISNA(VLOOKUP('Project Details by Yr - MASTER'!$B127,'Public Buildings'!$A$10:$N$96,I$2,0)),0,VLOOKUP('Project Details by Yr - MASTER'!$B127,'Public Buildings'!$A$10:$N$96,I$2,0))+IF(ISNA(VLOOKUP('Project Details by Yr - MASTER'!$B127,Bridges!$A$9:$N$24,I$2,0)),0,VLOOKUP('Project Details by Yr - MASTER'!$B127,Bridges!$A$9:$N$24,I$2,0))+IF(ISNA(VLOOKUP('Project Details by Yr - MASTER'!$B127,'Parking Lots &amp; Playgrounds'!$A$9:$N$33,I$2,0)),0,VLOOKUP('Project Details by Yr - MASTER'!$B127,'Parking Lots &amp; Playgrounds'!$A$9:$N$33,I$2,0))+IF(ISNA(VLOOKUP($B127,Vehicles!$B$9:$O$50,I$2,0)),0,VLOOKUP($B127,Vehicles!$B$9:$O$50,I$2,0))</f>
        <v>175000</v>
      </c>
      <c r="J127" s="8">
        <f>IF(ISNA(VLOOKUP($B127,'Other Capital Needs'!$C$51:$P$95,J$2,0)),0,VLOOKUP($B127,'Other Capital Needs'!$C$51:$P$95,J$2,0))+IF(ISNA(VLOOKUP('Project Details by Yr - MASTER'!$B127,'Public Grounds'!$A$11:$N$49,J$2,0)),0,VLOOKUP('Project Details by Yr - MASTER'!$B127,'Public Grounds'!$A$11:$N$49,J$2,0))+IF(ISNA(VLOOKUP('Project Details by Yr - MASTER'!$B127,'Public Buildings'!$A$10:$N$96,J$2,0)),0,VLOOKUP('Project Details by Yr - MASTER'!$B127,'Public Buildings'!$A$10:$N$96,J$2,0))+IF(ISNA(VLOOKUP('Project Details by Yr - MASTER'!$B127,Bridges!$A$9:$N$24,J$2,0)),0,VLOOKUP('Project Details by Yr - MASTER'!$B127,Bridges!$A$9:$N$24,J$2,0))+IF(ISNA(VLOOKUP('Project Details by Yr - MASTER'!$B127,'Parking Lots &amp; Playgrounds'!$A$9:$N$33,J$2,0)),0,VLOOKUP('Project Details by Yr - MASTER'!$B127,'Parking Lots &amp; Playgrounds'!$A$9:$N$33,J$2,0))+IF(ISNA(VLOOKUP($B127,Vehicles!$B$9:$O$50,J$2,0)),0,VLOOKUP($B127,Vehicles!$B$9:$O$50,J$2,0))</f>
        <v>200000</v>
      </c>
      <c r="K127" s="8">
        <f>IF(ISNA(VLOOKUP($B127,'Other Capital Needs'!$C$51:$P$95,K$2,0)),0,VLOOKUP($B127,'Other Capital Needs'!$C$51:$P$95,K$2,0))+IF(ISNA(VLOOKUP('Project Details by Yr - MASTER'!$B127,'Public Grounds'!$A$11:$N$49,K$2,0)),0,VLOOKUP('Project Details by Yr - MASTER'!$B127,'Public Grounds'!$A$11:$N$49,K$2,0))+IF(ISNA(VLOOKUP('Project Details by Yr - MASTER'!$B127,'Public Buildings'!$A$10:$N$96,K$2,0)),0,VLOOKUP('Project Details by Yr - MASTER'!$B127,'Public Buildings'!$A$10:$N$96,K$2,0))+IF(ISNA(VLOOKUP('Project Details by Yr - MASTER'!$B127,Bridges!$A$9:$N$24,K$2,0)),0,VLOOKUP('Project Details by Yr - MASTER'!$B127,Bridges!$A$9:$N$24,K$2,0))+IF(ISNA(VLOOKUP('Project Details by Yr - MASTER'!$B127,'Parking Lots &amp; Playgrounds'!$A$9:$N$33,K$2,0)),0,VLOOKUP('Project Details by Yr - MASTER'!$B127,'Parking Lots &amp; Playgrounds'!$A$9:$N$33,K$2,0))+IF(ISNA(VLOOKUP($B127,Vehicles!$B$9:$O$50,K$2,0)),0,VLOOKUP($B127,Vehicles!$B$9:$O$50,K$2,0))</f>
        <v>0</v>
      </c>
    </row>
    <row r="128" spans="2:11" x14ac:dyDescent="0.25">
      <c r="B128" t="s">
        <v>198</v>
      </c>
      <c r="C128" t="s">
        <v>47</v>
      </c>
      <c r="D128" t="s">
        <v>272</v>
      </c>
      <c r="E128" s="1" t="s">
        <v>19</v>
      </c>
      <c r="G128" s="8">
        <f>IF(ISNA(VLOOKUP($B128,'Other Capital Needs'!$C$51:$P$95,G$2,0)),0,VLOOKUP($B128,'Other Capital Needs'!$C$51:$P$95,G$2,0))+IF(ISNA(VLOOKUP('Project Details by Yr - MASTER'!$B128,'Public Grounds'!$A$11:$N$49,G$2,0)),0,VLOOKUP('Project Details by Yr - MASTER'!$B128,'Public Grounds'!$A$11:$N$49,G$2,0))+IF(ISNA(VLOOKUP('Project Details by Yr - MASTER'!$B128,'Public Buildings'!$A$10:$N$96,G$2,0)),0,VLOOKUP('Project Details by Yr - MASTER'!$B128,'Public Buildings'!$A$10:$N$96,G$2,0))+IF(ISNA(VLOOKUP('Project Details by Yr - MASTER'!$B128,Bridges!$A$9:$N$24,G$2,0)),0,VLOOKUP('Project Details by Yr - MASTER'!$B128,Bridges!$A$9:$N$24,G$2,0))+IF(ISNA(VLOOKUP('Project Details by Yr - MASTER'!$B128,'Parking Lots &amp; Playgrounds'!$A$9:$N$33,G$2,0)),0,VLOOKUP('Project Details by Yr - MASTER'!$B128,'Parking Lots &amp; Playgrounds'!$A$9:$N$33,G$2,0))+IF(ISNA(VLOOKUP($B128,Vehicles!$B$9:$O$50,G$2,0)),0,VLOOKUP($B128,Vehicles!$B$9:$O$50,G$2,0))</f>
        <v>0</v>
      </c>
      <c r="H128" s="8">
        <f>IF(ISNA(VLOOKUP($B128,'Other Capital Needs'!$C$51:$P$95,H$2,0)),0,VLOOKUP($B128,'Other Capital Needs'!$C$51:$P$95,H$2,0))+IF(ISNA(VLOOKUP('Project Details by Yr - MASTER'!$B128,'Public Grounds'!$A$11:$N$49,H$2,0)),0,VLOOKUP('Project Details by Yr - MASTER'!$B128,'Public Grounds'!$A$11:$N$49,H$2,0))+IF(ISNA(VLOOKUP('Project Details by Yr - MASTER'!$B128,'Public Buildings'!$A$10:$N$96,H$2,0)),0,VLOOKUP('Project Details by Yr - MASTER'!$B128,'Public Buildings'!$A$10:$N$96,H$2,0))+IF(ISNA(VLOOKUP('Project Details by Yr - MASTER'!$B128,Bridges!$A$9:$N$24,H$2,0)),0,VLOOKUP('Project Details by Yr - MASTER'!$B128,Bridges!$A$9:$N$24,H$2,0))+IF(ISNA(VLOOKUP('Project Details by Yr - MASTER'!$B128,'Parking Lots &amp; Playgrounds'!$A$9:$N$33,H$2,0)),0,VLOOKUP('Project Details by Yr - MASTER'!$B128,'Parking Lots &amp; Playgrounds'!$A$9:$N$33,H$2,0))+IF(ISNA(VLOOKUP($B128,Vehicles!$B$9:$O$50,H$2,0)),0,VLOOKUP($B128,Vehicles!$B$9:$O$50,H$2,0))</f>
        <v>0</v>
      </c>
      <c r="I128" s="8">
        <f>IF(ISNA(VLOOKUP($B128,'Other Capital Needs'!$C$51:$P$95,I$2,0)),0,VLOOKUP($B128,'Other Capital Needs'!$C$51:$P$95,I$2,0))+IF(ISNA(VLOOKUP('Project Details by Yr - MASTER'!$B128,'Public Grounds'!$A$11:$N$49,I$2,0)),0,VLOOKUP('Project Details by Yr - MASTER'!$B128,'Public Grounds'!$A$11:$N$49,I$2,0))+IF(ISNA(VLOOKUP('Project Details by Yr - MASTER'!$B128,'Public Buildings'!$A$10:$N$96,I$2,0)),0,VLOOKUP('Project Details by Yr - MASTER'!$B128,'Public Buildings'!$A$10:$N$96,I$2,0))+IF(ISNA(VLOOKUP('Project Details by Yr - MASTER'!$B128,Bridges!$A$9:$N$24,I$2,0)),0,VLOOKUP('Project Details by Yr - MASTER'!$B128,Bridges!$A$9:$N$24,I$2,0))+IF(ISNA(VLOOKUP('Project Details by Yr - MASTER'!$B128,'Parking Lots &amp; Playgrounds'!$A$9:$N$33,I$2,0)),0,VLOOKUP('Project Details by Yr - MASTER'!$B128,'Parking Lots &amp; Playgrounds'!$A$9:$N$33,I$2,0))+IF(ISNA(VLOOKUP($B128,Vehicles!$B$9:$O$50,I$2,0)),0,VLOOKUP($B128,Vehicles!$B$9:$O$50,I$2,0))</f>
        <v>0</v>
      </c>
      <c r="J128" s="8">
        <f>IF(ISNA(VLOOKUP($B128,'Other Capital Needs'!$C$51:$P$95,J$2,0)),0,VLOOKUP($B128,'Other Capital Needs'!$C$51:$P$95,J$2,0))+IF(ISNA(VLOOKUP('Project Details by Yr - MASTER'!$B128,'Public Grounds'!$A$11:$N$49,J$2,0)),0,VLOOKUP('Project Details by Yr - MASTER'!$B128,'Public Grounds'!$A$11:$N$49,J$2,0))+IF(ISNA(VLOOKUP('Project Details by Yr - MASTER'!$B128,'Public Buildings'!$A$10:$N$96,J$2,0)),0,VLOOKUP('Project Details by Yr - MASTER'!$B128,'Public Buildings'!$A$10:$N$96,J$2,0))+IF(ISNA(VLOOKUP('Project Details by Yr - MASTER'!$B128,Bridges!$A$9:$N$24,J$2,0)),0,VLOOKUP('Project Details by Yr - MASTER'!$B128,Bridges!$A$9:$N$24,J$2,0))+IF(ISNA(VLOOKUP('Project Details by Yr - MASTER'!$B128,'Parking Lots &amp; Playgrounds'!$A$9:$N$33,J$2,0)),0,VLOOKUP('Project Details by Yr - MASTER'!$B128,'Parking Lots &amp; Playgrounds'!$A$9:$N$33,J$2,0))+IF(ISNA(VLOOKUP($B128,Vehicles!$B$9:$O$50,J$2,0)),0,VLOOKUP($B128,Vehicles!$B$9:$O$50,J$2,0))</f>
        <v>0</v>
      </c>
      <c r="K128" s="8">
        <f>IF(ISNA(VLOOKUP($B128,'Other Capital Needs'!$C$51:$P$95,K$2,0)),0,VLOOKUP($B128,'Other Capital Needs'!$C$51:$P$95,K$2,0))+IF(ISNA(VLOOKUP('Project Details by Yr - MASTER'!$B128,'Public Grounds'!$A$11:$N$49,K$2,0)),0,VLOOKUP('Project Details by Yr - MASTER'!$B128,'Public Grounds'!$A$11:$N$49,K$2,0))+IF(ISNA(VLOOKUP('Project Details by Yr - MASTER'!$B128,'Public Buildings'!$A$10:$N$96,K$2,0)),0,VLOOKUP('Project Details by Yr - MASTER'!$B128,'Public Buildings'!$A$10:$N$96,K$2,0))+IF(ISNA(VLOOKUP('Project Details by Yr - MASTER'!$B128,Bridges!$A$9:$N$24,K$2,0)),0,VLOOKUP('Project Details by Yr - MASTER'!$B128,Bridges!$A$9:$N$24,K$2,0))+IF(ISNA(VLOOKUP('Project Details by Yr - MASTER'!$B128,'Parking Lots &amp; Playgrounds'!$A$9:$N$33,K$2,0)),0,VLOOKUP('Project Details by Yr - MASTER'!$B128,'Parking Lots &amp; Playgrounds'!$A$9:$N$33,K$2,0))+IF(ISNA(VLOOKUP($B128,Vehicles!$B$9:$O$50,K$2,0)),0,VLOOKUP($B128,Vehicles!$B$9:$O$50,K$2,0))</f>
        <v>0</v>
      </c>
    </row>
    <row r="129" spans="2:11" x14ac:dyDescent="0.25">
      <c r="B129" t="s">
        <v>199</v>
      </c>
      <c r="C129" t="s">
        <v>47</v>
      </c>
      <c r="D129" t="s">
        <v>272</v>
      </c>
      <c r="E129" s="1" t="s">
        <v>19</v>
      </c>
      <c r="G129" s="8">
        <f>IF(ISNA(VLOOKUP($B129,'Other Capital Needs'!$C$51:$P$95,G$2,0)),0,VLOOKUP($B129,'Other Capital Needs'!$C$51:$P$95,G$2,0))+IF(ISNA(VLOOKUP('Project Details by Yr - MASTER'!$B129,'Public Grounds'!$A$11:$N$49,G$2,0)),0,VLOOKUP('Project Details by Yr - MASTER'!$B129,'Public Grounds'!$A$11:$N$49,G$2,0))+IF(ISNA(VLOOKUP('Project Details by Yr - MASTER'!$B129,'Public Buildings'!$A$10:$N$96,G$2,0)),0,VLOOKUP('Project Details by Yr - MASTER'!$B129,'Public Buildings'!$A$10:$N$96,G$2,0))+IF(ISNA(VLOOKUP('Project Details by Yr - MASTER'!$B129,Bridges!$A$9:$N$24,G$2,0)),0,VLOOKUP('Project Details by Yr - MASTER'!$B129,Bridges!$A$9:$N$24,G$2,0))+IF(ISNA(VLOOKUP('Project Details by Yr - MASTER'!$B129,'Parking Lots &amp; Playgrounds'!$A$9:$N$33,G$2,0)),0,VLOOKUP('Project Details by Yr - MASTER'!$B129,'Parking Lots &amp; Playgrounds'!$A$9:$N$33,G$2,0))+IF(ISNA(VLOOKUP($B129,Vehicles!$B$9:$O$50,G$2,0)),0,VLOOKUP($B129,Vehicles!$B$9:$O$50,G$2,0))</f>
        <v>0</v>
      </c>
      <c r="H129" s="8">
        <f>IF(ISNA(VLOOKUP($B129,'Other Capital Needs'!$C$51:$P$95,H$2,0)),0,VLOOKUP($B129,'Other Capital Needs'!$C$51:$P$95,H$2,0))+IF(ISNA(VLOOKUP('Project Details by Yr - MASTER'!$B129,'Public Grounds'!$A$11:$N$49,H$2,0)),0,VLOOKUP('Project Details by Yr - MASTER'!$B129,'Public Grounds'!$A$11:$N$49,H$2,0))+IF(ISNA(VLOOKUP('Project Details by Yr - MASTER'!$B129,'Public Buildings'!$A$10:$N$96,H$2,0)),0,VLOOKUP('Project Details by Yr - MASTER'!$B129,'Public Buildings'!$A$10:$N$96,H$2,0))+IF(ISNA(VLOOKUP('Project Details by Yr - MASTER'!$B129,Bridges!$A$9:$N$24,H$2,0)),0,VLOOKUP('Project Details by Yr - MASTER'!$B129,Bridges!$A$9:$N$24,H$2,0))+IF(ISNA(VLOOKUP('Project Details by Yr - MASTER'!$B129,'Parking Lots &amp; Playgrounds'!$A$9:$N$33,H$2,0)),0,VLOOKUP('Project Details by Yr - MASTER'!$B129,'Parking Lots &amp; Playgrounds'!$A$9:$N$33,H$2,0))+IF(ISNA(VLOOKUP($B129,Vehicles!$B$9:$O$50,H$2,0)),0,VLOOKUP($B129,Vehicles!$B$9:$O$50,H$2,0))</f>
        <v>0</v>
      </c>
      <c r="I129" s="8">
        <f>IF(ISNA(VLOOKUP($B129,'Other Capital Needs'!$C$51:$P$95,I$2,0)),0,VLOOKUP($B129,'Other Capital Needs'!$C$51:$P$95,I$2,0))+IF(ISNA(VLOOKUP('Project Details by Yr - MASTER'!$B129,'Public Grounds'!$A$11:$N$49,I$2,0)),0,VLOOKUP('Project Details by Yr - MASTER'!$B129,'Public Grounds'!$A$11:$N$49,I$2,0))+IF(ISNA(VLOOKUP('Project Details by Yr - MASTER'!$B129,'Public Buildings'!$A$10:$N$96,I$2,0)),0,VLOOKUP('Project Details by Yr - MASTER'!$B129,'Public Buildings'!$A$10:$N$96,I$2,0))+IF(ISNA(VLOOKUP('Project Details by Yr - MASTER'!$B129,Bridges!$A$9:$N$24,I$2,0)),0,VLOOKUP('Project Details by Yr - MASTER'!$B129,Bridges!$A$9:$N$24,I$2,0))+IF(ISNA(VLOOKUP('Project Details by Yr - MASTER'!$B129,'Parking Lots &amp; Playgrounds'!$A$9:$N$33,I$2,0)),0,VLOOKUP('Project Details by Yr - MASTER'!$B129,'Parking Lots &amp; Playgrounds'!$A$9:$N$33,I$2,0))+IF(ISNA(VLOOKUP($B129,Vehicles!$B$9:$O$50,I$2,0)),0,VLOOKUP($B129,Vehicles!$B$9:$O$50,I$2,0))</f>
        <v>0</v>
      </c>
      <c r="J129" s="8">
        <f>IF(ISNA(VLOOKUP($B129,'Other Capital Needs'!$C$51:$P$95,J$2,0)),0,VLOOKUP($B129,'Other Capital Needs'!$C$51:$P$95,J$2,0))+IF(ISNA(VLOOKUP('Project Details by Yr - MASTER'!$B129,'Public Grounds'!$A$11:$N$49,J$2,0)),0,VLOOKUP('Project Details by Yr - MASTER'!$B129,'Public Grounds'!$A$11:$N$49,J$2,0))+IF(ISNA(VLOOKUP('Project Details by Yr - MASTER'!$B129,'Public Buildings'!$A$10:$N$96,J$2,0)),0,VLOOKUP('Project Details by Yr - MASTER'!$B129,'Public Buildings'!$A$10:$N$96,J$2,0))+IF(ISNA(VLOOKUP('Project Details by Yr - MASTER'!$B129,Bridges!$A$9:$N$24,J$2,0)),0,VLOOKUP('Project Details by Yr - MASTER'!$B129,Bridges!$A$9:$N$24,J$2,0))+IF(ISNA(VLOOKUP('Project Details by Yr - MASTER'!$B129,'Parking Lots &amp; Playgrounds'!$A$9:$N$33,J$2,0)),0,VLOOKUP('Project Details by Yr - MASTER'!$B129,'Parking Lots &amp; Playgrounds'!$A$9:$N$33,J$2,0))+IF(ISNA(VLOOKUP($B129,Vehicles!$B$9:$O$50,J$2,0)),0,VLOOKUP($B129,Vehicles!$B$9:$O$50,J$2,0))</f>
        <v>0</v>
      </c>
      <c r="K129" s="8">
        <f>IF(ISNA(VLOOKUP($B129,'Other Capital Needs'!$C$51:$P$95,K$2,0)),0,VLOOKUP($B129,'Other Capital Needs'!$C$51:$P$95,K$2,0))+IF(ISNA(VLOOKUP('Project Details by Yr - MASTER'!$B129,'Public Grounds'!$A$11:$N$49,K$2,0)),0,VLOOKUP('Project Details by Yr - MASTER'!$B129,'Public Grounds'!$A$11:$N$49,K$2,0))+IF(ISNA(VLOOKUP('Project Details by Yr - MASTER'!$B129,'Public Buildings'!$A$10:$N$96,K$2,0)),0,VLOOKUP('Project Details by Yr - MASTER'!$B129,'Public Buildings'!$A$10:$N$96,K$2,0))+IF(ISNA(VLOOKUP('Project Details by Yr - MASTER'!$B129,Bridges!$A$9:$N$24,K$2,0)),0,VLOOKUP('Project Details by Yr - MASTER'!$B129,Bridges!$A$9:$N$24,K$2,0))+IF(ISNA(VLOOKUP('Project Details by Yr - MASTER'!$B129,'Parking Lots &amp; Playgrounds'!$A$9:$N$33,K$2,0)),0,VLOOKUP('Project Details by Yr - MASTER'!$B129,'Parking Lots &amp; Playgrounds'!$A$9:$N$33,K$2,0))+IF(ISNA(VLOOKUP($B129,Vehicles!$B$9:$O$50,K$2,0)),0,VLOOKUP($B129,Vehicles!$B$9:$O$50,K$2,0))</f>
        <v>1100000</v>
      </c>
    </row>
    <row r="130" spans="2:11" x14ac:dyDescent="0.25">
      <c r="B130" t="s">
        <v>240</v>
      </c>
      <c r="C130" t="s">
        <v>47</v>
      </c>
      <c r="D130" t="s">
        <v>272</v>
      </c>
      <c r="E130" s="1" t="s">
        <v>19</v>
      </c>
      <c r="G130" s="8">
        <f>IF(ISNA(VLOOKUP($B130,'Other Capital Needs'!$C$51:$P$95,G$2,0)),0,VLOOKUP($B130,'Other Capital Needs'!$C$51:$P$95,G$2,0))+IF(ISNA(VLOOKUP('Project Details by Yr - MASTER'!$B130,'Public Grounds'!$A$11:$N$49,G$2,0)),0,VLOOKUP('Project Details by Yr - MASTER'!$B130,'Public Grounds'!$A$11:$N$49,G$2,0))+IF(ISNA(VLOOKUP('Project Details by Yr - MASTER'!$B130,'Public Buildings'!$A$10:$N$96,G$2,0)),0,VLOOKUP('Project Details by Yr - MASTER'!$B130,'Public Buildings'!$A$10:$N$96,G$2,0))+IF(ISNA(VLOOKUP('Project Details by Yr - MASTER'!$B130,Bridges!$A$9:$N$24,G$2,0)),0,VLOOKUP('Project Details by Yr - MASTER'!$B130,Bridges!$A$9:$N$24,G$2,0))+IF(ISNA(VLOOKUP('Project Details by Yr - MASTER'!$B130,'Parking Lots &amp; Playgrounds'!$A$9:$N$33,G$2,0)),0,VLOOKUP('Project Details by Yr - MASTER'!$B130,'Parking Lots &amp; Playgrounds'!$A$9:$N$33,G$2,0))+IF(ISNA(VLOOKUP($B130,Vehicles!$B$9:$O$50,G$2,0)),0,VLOOKUP($B130,Vehicles!$B$9:$O$50,G$2,0))</f>
        <v>0</v>
      </c>
      <c r="H130" s="8">
        <f>IF(ISNA(VLOOKUP($B130,'Other Capital Needs'!$C$51:$P$95,H$2,0)),0,VLOOKUP($B130,'Other Capital Needs'!$C$51:$P$95,H$2,0))+IF(ISNA(VLOOKUP('Project Details by Yr - MASTER'!$B130,'Public Grounds'!$A$11:$N$49,H$2,0)),0,VLOOKUP('Project Details by Yr - MASTER'!$B130,'Public Grounds'!$A$11:$N$49,H$2,0))+IF(ISNA(VLOOKUP('Project Details by Yr - MASTER'!$B130,'Public Buildings'!$A$10:$N$96,H$2,0)),0,VLOOKUP('Project Details by Yr - MASTER'!$B130,'Public Buildings'!$A$10:$N$96,H$2,0))+IF(ISNA(VLOOKUP('Project Details by Yr - MASTER'!$B130,Bridges!$A$9:$N$24,H$2,0)),0,VLOOKUP('Project Details by Yr - MASTER'!$B130,Bridges!$A$9:$N$24,H$2,0))+IF(ISNA(VLOOKUP('Project Details by Yr - MASTER'!$B130,'Parking Lots &amp; Playgrounds'!$A$9:$N$33,H$2,0)),0,VLOOKUP('Project Details by Yr - MASTER'!$B130,'Parking Lots &amp; Playgrounds'!$A$9:$N$33,H$2,0))+IF(ISNA(VLOOKUP($B130,Vehicles!$B$9:$O$50,H$2,0)),0,VLOOKUP($B130,Vehicles!$B$9:$O$50,H$2,0))</f>
        <v>0</v>
      </c>
      <c r="I130" s="8">
        <f>IF(ISNA(VLOOKUP($B130,'Other Capital Needs'!$C$51:$P$95,I$2,0)),0,VLOOKUP($B130,'Other Capital Needs'!$C$51:$P$95,I$2,0))+IF(ISNA(VLOOKUP('Project Details by Yr - MASTER'!$B130,'Public Grounds'!$A$11:$N$49,I$2,0)),0,VLOOKUP('Project Details by Yr - MASTER'!$B130,'Public Grounds'!$A$11:$N$49,I$2,0))+IF(ISNA(VLOOKUP('Project Details by Yr - MASTER'!$B130,'Public Buildings'!$A$10:$N$96,I$2,0)),0,VLOOKUP('Project Details by Yr - MASTER'!$B130,'Public Buildings'!$A$10:$N$96,I$2,0))+IF(ISNA(VLOOKUP('Project Details by Yr - MASTER'!$B130,Bridges!$A$9:$N$24,I$2,0)),0,VLOOKUP('Project Details by Yr - MASTER'!$B130,Bridges!$A$9:$N$24,I$2,0))+IF(ISNA(VLOOKUP('Project Details by Yr - MASTER'!$B130,'Parking Lots &amp; Playgrounds'!$A$9:$N$33,I$2,0)),0,VLOOKUP('Project Details by Yr - MASTER'!$B130,'Parking Lots &amp; Playgrounds'!$A$9:$N$33,I$2,0))+IF(ISNA(VLOOKUP($B130,Vehicles!$B$9:$O$50,I$2,0)),0,VLOOKUP($B130,Vehicles!$B$9:$O$50,I$2,0))</f>
        <v>1100000</v>
      </c>
      <c r="J130" s="8">
        <f>IF(ISNA(VLOOKUP($B130,'Other Capital Needs'!$C$51:$P$95,J$2,0)),0,VLOOKUP($B130,'Other Capital Needs'!$C$51:$P$95,J$2,0))+IF(ISNA(VLOOKUP('Project Details by Yr - MASTER'!$B130,'Public Grounds'!$A$11:$N$49,J$2,0)),0,VLOOKUP('Project Details by Yr - MASTER'!$B130,'Public Grounds'!$A$11:$N$49,J$2,0))+IF(ISNA(VLOOKUP('Project Details by Yr - MASTER'!$B130,'Public Buildings'!$A$10:$N$96,J$2,0)),0,VLOOKUP('Project Details by Yr - MASTER'!$B130,'Public Buildings'!$A$10:$N$96,J$2,0))+IF(ISNA(VLOOKUP('Project Details by Yr - MASTER'!$B130,Bridges!$A$9:$N$24,J$2,0)),0,VLOOKUP('Project Details by Yr - MASTER'!$B130,Bridges!$A$9:$N$24,J$2,0))+IF(ISNA(VLOOKUP('Project Details by Yr - MASTER'!$B130,'Parking Lots &amp; Playgrounds'!$A$9:$N$33,J$2,0)),0,VLOOKUP('Project Details by Yr - MASTER'!$B130,'Parking Lots &amp; Playgrounds'!$A$9:$N$33,J$2,0))+IF(ISNA(VLOOKUP($B130,Vehicles!$B$9:$O$50,J$2,0)),0,VLOOKUP($B130,Vehicles!$B$9:$O$50,J$2,0))</f>
        <v>0</v>
      </c>
      <c r="K130" s="8">
        <f>IF(ISNA(VLOOKUP($B130,'Other Capital Needs'!$C$51:$P$95,K$2,0)),0,VLOOKUP($B130,'Other Capital Needs'!$C$51:$P$95,K$2,0))+IF(ISNA(VLOOKUP('Project Details by Yr - MASTER'!$B130,'Public Grounds'!$A$11:$N$49,K$2,0)),0,VLOOKUP('Project Details by Yr - MASTER'!$B130,'Public Grounds'!$A$11:$N$49,K$2,0))+IF(ISNA(VLOOKUP('Project Details by Yr - MASTER'!$B130,'Public Buildings'!$A$10:$N$96,K$2,0)),0,VLOOKUP('Project Details by Yr - MASTER'!$B130,'Public Buildings'!$A$10:$N$96,K$2,0))+IF(ISNA(VLOOKUP('Project Details by Yr - MASTER'!$B130,Bridges!$A$9:$N$24,K$2,0)),0,VLOOKUP('Project Details by Yr - MASTER'!$B130,Bridges!$A$9:$N$24,K$2,0))+IF(ISNA(VLOOKUP('Project Details by Yr - MASTER'!$B130,'Parking Lots &amp; Playgrounds'!$A$9:$N$33,K$2,0)),0,VLOOKUP('Project Details by Yr - MASTER'!$B130,'Parking Lots &amp; Playgrounds'!$A$9:$N$33,K$2,0))+IF(ISNA(VLOOKUP($B130,Vehicles!$B$9:$O$50,K$2,0)),0,VLOOKUP($B130,Vehicles!$B$9:$O$50,K$2,0))</f>
        <v>0</v>
      </c>
    </row>
    <row r="131" spans="2:11" x14ac:dyDescent="0.25">
      <c r="B131" t="s">
        <v>241</v>
      </c>
      <c r="C131" t="s">
        <v>47</v>
      </c>
      <c r="D131" t="s">
        <v>272</v>
      </c>
      <c r="E131" s="1"/>
      <c r="G131" s="8">
        <f>IF(ISNA(VLOOKUP($B131,'Other Capital Needs'!$C$51:$P$95,G$2,0)),0,VLOOKUP($B131,'Other Capital Needs'!$C$51:$P$95,G$2,0))+IF(ISNA(VLOOKUP('Project Details by Yr - MASTER'!$B131,'Public Grounds'!$A$11:$N$49,G$2,0)),0,VLOOKUP('Project Details by Yr - MASTER'!$B131,'Public Grounds'!$A$11:$N$49,G$2,0))+IF(ISNA(VLOOKUP('Project Details by Yr - MASTER'!$B131,'Public Buildings'!$A$10:$N$96,G$2,0)),0,VLOOKUP('Project Details by Yr - MASTER'!$B131,'Public Buildings'!$A$10:$N$96,G$2,0))+IF(ISNA(VLOOKUP('Project Details by Yr - MASTER'!$B131,Bridges!$A$9:$N$24,G$2,0)),0,VLOOKUP('Project Details by Yr - MASTER'!$B131,Bridges!$A$9:$N$24,G$2,0))+IF(ISNA(VLOOKUP('Project Details by Yr - MASTER'!$B131,'Parking Lots &amp; Playgrounds'!$A$9:$N$33,G$2,0)),0,VLOOKUP('Project Details by Yr - MASTER'!$B131,'Parking Lots &amp; Playgrounds'!$A$9:$N$33,G$2,0))+IF(ISNA(VLOOKUP($B131,Vehicles!$B$9:$O$50,G$2,0)),0,VLOOKUP($B131,Vehicles!$B$9:$O$50,G$2,0))</f>
        <v>0</v>
      </c>
      <c r="H131" s="8">
        <f>IF(ISNA(VLOOKUP($B131,'Other Capital Needs'!$C$51:$P$95,H$2,0)),0,VLOOKUP($B131,'Other Capital Needs'!$C$51:$P$95,H$2,0))+IF(ISNA(VLOOKUP('Project Details by Yr - MASTER'!$B131,'Public Grounds'!$A$11:$N$49,H$2,0)),0,VLOOKUP('Project Details by Yr - MASTER'!$B131,'Public Grounds'!$A$11:$N$49,H$2,0))+IF(ISNA(VLOOKUP('Project Details by Yr - MASTER'!$B131,'Public Buildings'!$A$10:$N$96,H$2,0)),0,VLOOKUP('Project Details by Yr - MASTER'!$B131,'Public Buildings'!$A$10:$N$96,H$2,0))+IF(ISNA(VLOOKUP('Project Details by Yr - MASTER'!$B131,Bridges!$A$9:$N$24,H$2,0)),0,VLOOKUP('Project Details by Yr - MASTER'!$B131,Bridges!$A$9:$N$24,H$2,0))+IF(ISNA(VLOOKUP('Project Details by Yr - MASTER'!$B131,'Parking Lots &amp; Playgrounds'!$A$9:$N$33,H$2,0)),0,VLOOKUP('Project Details by Yr - MASTER'!$B131,'Parking Lots &amp; Playgrounds'!$A$9:$N$33,H$2,0))+IF(ISNA(VLOOKUP($B131,Vehicles!$B$9:$O$50,H$2,0)),0,VLOOKUP($B131,Vehicles!$B$9:$O$50,H$2,0))</f>
        <v>0</v>
      </c>
      <c r="I131" s="8">
        <f>IF(ISNA(VLOOKUP($B131,'Other Capital Needs'!$C$51:$P$95,I$2,0)),0,VLOOKUP($B131,'Other Capital Needs'!$C$51:$P$95,I$2,0))+IF(ISNA(VLOOKUP('Project Details by Yr - MASTER'!$B131,'Public Grounds'!$A$11:$N$49,I$2,0)),0,VLOOKUP('Project Details by Yr - MASTER'!$B131,'Public Grounds'!$A$11:$N$49,I$2,0))+IF(ISNA(VLOOKUP('Project Details by Yr - MASTER'!$B131,'Public Buildings'!$A$10:$N$96,I$2,0)),0,VLOOKUP('Project Details by Yr - MASTER'!$B131,'Public Buildings'!$A$10:$N$96,I$2,0))+IF(ISNA(VLOOKUP('Project Details by Yr - MASTER'!$B131,Bridges!$A$9:$N$24,I$2,0)),0,VLOOKUP('Project Details by Yr - MASTER'!$B131,Bridges!$A$9:$N$24,I$2,0))+IF(ISNA(VLOOKUP('Project Details by Yr - MASTER'!$B131,'Parking Lots &amp; Playgrounds'!$A$9:$N$33,I$2,0)),0,VLOOKUP('Project Details by Yr - MASTER'!$B131,'Parking Lots &amp; Playgrounds'!$A$9:$N$33,I$2,0))+IF(ISNA(VLOOKUP($B131,Vehicles!$B$9:$O$50,I$2,0)),0,VLOOKUP($B131,Vehicles!$B$9:$O$50,I$2,0))</f>
        <v>0</v>
      </c>
      <c r="J131" s="8">
        <f>IF(ISNA(VLOOKUP($B131,'Other Capital Needs'!$C$51:$P$95,J$2,0)),0,VLOOKUP($B131,'Other Capital Needs'!$C$51:$P$95,J$2,0))+IF(ISNA(VLOOKUP('Project Details by Yr - MASTER'!$B131,'Public Grounds'!$A$11:$N$49,J$2,0)),0,VLOOKUP('Project Details by Yr - MASTER'!$B131,'Public Grounds'!$A$11:$N$49,J$2,0))+IF(ISNA(VLOOKUP('Project Details by Yr - MASTER'!$B131,'Public Buildings'!$A$10:$N$96,J$2,0)),0,VLOOKUP('Project Details by Yr - MASTER'!$B131,'Public Buildings'!$A$10:$N$96,J$2,0))+IF(ISNA(VLOOKUP('Project Details by Yr - MASTER'!$B131,Bridges!$A$9:$N$24,J$2,0)),0,VLOOKUP('Project Details by Yr - MASTER'!$B131,Bridges!$A$9:$N$24,J$2,0))+IF(ISNA(VLOOKUP('Project Details by Yr - MASTER'!$B131,'Parking Lots &amp; Playgrounds'!$A$9:$N$33,J$2,0)),0,VLOOKUP('Project Details by Yr - MASTER'!$B131,'Parking Lots &amp; Playgrounds'!$A$9:$N$33,J$2,0))+IF(ISNA(VLOOKUP($B131,Vehicles!$B$9:$O$50,J$2,0)),0,VLOOKUP($B131,Vehicles!$B$9:$O$50,J$2,0))</f>
        <v>0</v>
      </c>
      <c r="K131" s="8">
        <f>IF(ISNA(VLOOKUP($B131,'Other Capital Needs'!$C$51:$P$95,K$2,0)),0,VLOOKUP($B131,'Other Capital Needs'!$C$51:$P$95,K$2,0))+IF(ISNA(VLOOKUP('Project Details by Yr - MASTER'!$B131,'Public Grounds'!$A$11:$N$49,K$2,0)),0,VLOOKUP('Project Details by Yr - MASTER'!$B131,'Public Grounds'!$A$11:$N$49,K$2,0))+IF(ISNA(VLOOKUP('Project Details by Yr - MASTER'!$B131,'Public Buildings'!$A$10:$N$96,K$2,0)),0,VLOOKUP('Project Details by Yr - MASTER'!$B131,'Public Buildings'!$A$10:$N$96,K$2,0))+IF(ISNA(VLOOKUP('Project Details by Yr - MASTER'!$B131,Bridges!$A$9:$N$24,K$2,0)),0,VLOOKUP('Project Details by Yr - MASTER'!$B131,Bridges!$A$9:$N$24,K$2,0))+IF(ISNA(VLOOKUP('Project Details by Yr - MASTER'!$B131,'Parking Lots &amp; Playgrounds'!$A$9:$N$33,K$2,0)),0,VLOOKUP('Project Details by Yr - MASTER'!$B131,'Parking Lots &amp; Playgrounds'!$A$9:$N$33,K$2,0))+IF(ISNA(VLOOKUP($B131,Vehicles!$B$9:$O$50,K$2,0)),0,VLOOKUP($B131,Vehicles!$B$9:$O$50,K$2,0))</f>
        <v>0</v>
      </c>
    </row>
    <row r="132" spans="2:11" x14ac:dyDescent="0.25">
      <c r="B132" t="s">
        <v>200</v>
      </c>
      <c r="C132" t="s">
        <v>47</v>
      </c>
      <c r="D132" t="s">
        <v>272</v>
      </c>
      <c r="E132" s="1" t="s">
        <v>16</v>
      </c>
      <c r="G132" s="8">
        <f>IF(ISNA(VLOOKUP($B132,'Other Capital Needs'!$C$51:$P$95,G$2,0)),0,VLOOKUP($B132,'Other Capital Needs'!$C$51:$P$95,G$2,0))+IF(ISNA(VLOOKUP('Project Details by Yr - MASTER'!$B132,'Public Grounds'!$A$11:$N$49,G$2,0)),0,VLOOKUP('Project Details by Yr - MASTER'!$B132,'Public Grounds'!$A$11:$N$49,G$2,0))+IF(ISNA(VLOOKUP('Project Details by Yr - MASTER'!$B132,'Public Buildings'!$A$10:$N$96,G$2,0)),0,VLOOKUP('Project Details by Yr - MASTER'!$B132,'Public Buildings'!$A$10:$N$96,G$2,0))+IF(ISNA(VLOOKUP('Project Details by Yr - MASTER'!$B132,Bridges!$A$9:$N$24,G$2,0)),0,VLOOKUP('Project Details by Yr - MASTER'!$B132,Bridges!$A$9:$N$24,G$2,0))+IF(ISNA(VLOOKUP('Project Details by Yr - MASTER'!$B132,'Parking Lots &amp; Playgrounds'!$A$9:$N$33,G$2,0)),0,VLOOKUP('Project Details by Yr - MASTER'!$B132,'Parking Lots &amp; Playgrounds'!$A$9:$N$33,G$2,0))+IF(ISNA(VLOOKUP($B132,Vehicles!$B$9:$O$50,G$2,0)),0,VLOOKUP($B132,Vehicles!$B$9:$O$50,G$2,0))</f>
        <v>50000</v>
      </c>
      <c r="H132" s="8">
        <f>IF(ISNA(VLOOKUP($B132,'Other Capital Needs'!$C$51:$P$95,H$2,0)),0,VLOOKUP($B132,'Other Capital Needs'!$C$51:$P$95,H$2,0))+IF(ISNA(VLOOKUP('Project Details by Yr - MASTER'!$B132,'Public Grounds'!$A$11:$N$49,H$2,0)),0,VLOOKUP('Project Details by Yr - MASTER'!$B132,'Public Grounds'!$A$11:$N$49,H$2,0))+IF(ISNA(VLOOKUP('Project Details by Yr - MASTER'!$B132,'Public Buildings'!$A$10:$N$96,H$2,0)),0,VLOOKUP('Project Details by Yr - MASTER'!$B132,'Public Buildings'!$A$10:$N$96,H$2,0))+IF(ISNA(VLOOKUP('Project Details by Yr - MASTER'!$B132,Bridges!$A$9:$N$24,H$2,0)),0,VLOOKUP('Project Details by Yr - MASTER'!$B132,Bridges!$A$9:$N$24,H$2,0))+IF(ISNA(VLOOKUP('Project Details by Yr - MASTER'!$B132,'Parking Lots &amp; Playgrounds'!$A$9:$N$33,H$2,0)),0,VLOOKUP('Project Details by Yr - MASTER'!$B132,'Parking Lots &amp; Playgrounds'!$A$9:$N$33,H$2,0))+IF(ISNA(VLOOKUP($B132,Vehicles!$B$9:$O$50,H$2,0)),0,VLOOKUP($B132,Vehicles!$B$9:$O$50,H$2,0))</f>
        <v>0</v>
      </c>
      <c r="I132" s="8">
        <f>IF(ISNA(VLOOKUP($B132,'Other Capital Needs'!$C$51:$P$95,I$2,0)),0,VLOOKUP($B132,'Other Capital Needs'!$C$51:$P$95,I$2,0))+IF(ISNA(VLOOKUP('Project Details by Yr - MASTER'!$B132,'Public Grounds'!$A$11:$N$49,I$2,0)),0,VLOOKUP('Project Details by Yr - MASTER'!$B132,'Public Grounds'!$A$11:$N$49,I$2,0))+IF(ISNA(VLOOKUP('Project Details by Yr - MASTER'!$B132,'Public Buildings'!$A$10:$N$96,I$2,0)),0,VLOOKUP('Project Details by Yr - MASTER'!$B132,'Public Buildings'!$A$10:$N$96,I$2,0))+IF(ISNA(VLOOKUP('Project Details by Yr - MASTER'!$B132,Bridges!$A$9:$N$24,I$2,0)),0,VLOOKUP('Project Details by Yr - MASTER'!$B132,Bridges!$A$9:$N$24,I$2,0))+IF(ISNA(VLOOKUP('Project Details by Yr - MASTER'!$B132,'Parking Lots &amp; Playgrounds'!$A$9:$N$33,I$2,0)),0,VLOOKUP('Project Details by Yr - MASTER'!$B132,'Parking Lots &amp; Playgrounds'!$A$9:$N$33,I$2,0))+IF(ISNA(VLOOKUP($B132,Vehicles!$B$9:$O$50,I$2,0)),0,VLOOKUP($B132,Vehicles!$B$9:$O$50,I$2,0))</f>
        <v>0</v>
      </c>
      <c r="J132" s="8">
        <f>IF(ISNA(VLOOKUP($B132,'Other Capital Needs'!$C$51:$P$95,J$2,0)),0,VLOOKUP($B132,'Other Capital Needs'!$C$51:$P$95,J$2,0))+IF(ISNA(VLOOKUP('Project Details by Yr - MASTER'!$B132,'Public Grounds'!$A$11:$N$49,J$2,0)),0,VLOOKUP('Project Details by Yr - MASTER'!$B132,'Public Grounds'!$A$11:$N$49,J$2,0))+IF(ISNA(VLOOKUP('Project Details by Yr - MASTER'!$B132,'Public Buildings'!$A$10:$N$96,J$2,0)),0,VLOOKUP('Project Details by Yr - MASTER'!$B132,'Public Buildings'!$A$10:$N$96,J$2,0))+IF(ISNA(VLOOKUP('Project Details by Yr - MASTER'!$B132,Bridges!$A$9:$N$24,J$2,0)),0,VLOOKUP('Project Details by Yr - MASTER'!$B132,Bridges!$A$9:$N$24,J$2,0))+IF(ISNA(VLOOKUP('Project Details by Yr - MASTER'!$B132,'Parking Lots &amp; Playgrounds'!$A$9:$N$33,J$2,0)),0,VLOOKUP('Project Details by Yr - MASTER'!$B132,'Parking Lots &amp; Playgrounds'!$A$9:$N$33,J$2,0))+IF(ISNA(VLOOKUP($B132,Vehicles!$B$9:$O$50,J$2,0)),0,VLOOKUP($B132,Vehicles!$B$9:$O$50,J$2,0))</f>
        <v>0</v>
      </c>
      <c r="K132" s="8">
        <f>IF(ISNA(VLOOKUP($B132,'Other Capital Needs'!$C$51:$P$95,K$2,0)),0,VLOOKUP($B132,'Other Capital Needs'!$C$51:$P$95,K$2,0))+IF(ISNA(VLOOKUP('Project Details by Yr - MASTER'!$B132,'Public Grounds'!$A$11:$N$49,K$2,0)),0,VLOOKUP('Project Details by Yr - MASTER'!$B132,'Public Grounds'!$A$11:$N$49,K$2,0))+IF(ISNA(VLOOKUP('Project Details by Yr - MASTER'!$B132,'Public Buildings'!$A$10:$N$96,K$2,0)),0,VLOOKUP('Project Details by Yr - MASTER'!$B132,'Public Buildings'!$A$10:$N$96,K$2,0))+IF(ISNA(VLOOKUP('Project Details by Yr - MASTER'!$B132,Bridges!$A$9:$N$24,K$2,0)),0,VLOOKUP('Project Details by Yr - MASTER'!$B132,Bridges!$A$9:$N$24,K$2,0))+IF(ISNA(VLOOKUP('Project Details by Yr - MASTER'!$B132,'Parking Lots &amp; Playgrounds'!$A$9:$N$33,K$2,0)),0,VLOOKUP('Project Details by Yr - MASTER'!$B132,'Parking Lots &amp; Playgrounds'!$A$9:$N$33,K$2,0))+IF(ISNA(VLOOKUP($B132,Vehicles!$B$9:$O$50,K$2,0)),0,VLOOKUP($B132,Vehicles!$B$9:$O$50,K$2,0))</f>
        <v>0</v>
      </c>
    </row>
    <row r="133" spans="2:11" x14ac:dyDescent="0.25">
      <c r="B133" t="s">
        <v>201</v>
      </c>
      <c r="C133" t="s">
        <v>47</v>
      </c>
      <c r="D133" t="s">
        <v>272</v>
      </c>
      <c r="E133" s="1" t="s">
        <v>16</v>
      </c>
      <c r="G133" s="8">
        <f>IF(ISNA(VLOOKUP($B133,'Other Capital Needs'!$C$51:$P$95,G$2,0)),0,VLOOKUP($B133,'Other Capital Needs'!$C$51:$P$95,G$2,0))+IF(ISNA(VLOOKUP('Project Details by Yr - MASTER'!$B133,'Public Grounds'!$A$11:$N$49,G$2,0)),0,VLOOKUP('Project Details by Yr - MASTER'!$B133,'Public Grounds'!$A$11:$N$49,G$2,0))+IF(ISNA(VLOOKUP('Project Details by Yr - MASTER'!$B133,'Public Buildings'!$A$10:$N$96,G$2,0)),0,VLOOKUP('Project Details by Yr - MASTER'!$B133,'Public Buildings'!$A$10:$N$96,G$2,0))+IF(ISNA(VLOOKUP('Project Details by Yr - MASTER'!$B133,Bridges!$A$9:$N$24,G$2,0)),0,VLOOKUP('Project Details by Yr - MASTER'!$B133,Bridges!$A$9:$N$24,G$2,0))+IF(ISNA(VLOOKUP('Project Details by Yr - MASTER'!$B133,'Parking Lots &amp; Playgrounds'!$A$9:$N$33,G$2,0)),0,VLOOKUP('Project Details by Yr - MASTER'!$B133,'Parking Lots &amp; Playgrounds'!$A$9:$N$33,G$2,0))+IF(ISNA(VLOOKUP($B133,Vehicles!$B$9:$O$50,G$2,0)),0,VLOOKUP($B133,Vehicles!$B$9:$O$50,G$2,0))</f>
        <v>0</v>
      </c>
      <c r="H133" s="8">
        <f>IF(ISNA(VLOOKUP($B133,'Other Capital Needs'!$C$51:$P$95,H$2,0)),0,VLOOKUP($B133,'Other Capital Needs'!$C$51:$P$95,H$2,0))+IF(ISNA(VLOOKUP('Project Details by Yr - MASTER'!$B133,'Public Grounds'!$A$11:$N$49,H$2,0)),0,VLOOKUP('Project Details by Yr - MASTER'!$B133,'Public Grounds'!$A$11:$N$49,H$2,0))+IF(ISNA(VLOOKUP('Project Details by Yr - MASTER'!$B133,'Public Buildings'!$A$10:$N$96,H$2,0)),0,VLOOKUP('Project Details by Yr - MASTER'!$B133,'Public Buildings'!$A$10:$N$96,H$2,0))+IF(ISNA(VLOOKUP('Project Details by Yr - MASTER'!$B133,Bridges!$A$9:$N$24,H$2,0)),0,VLOOKUP('Project Details by Yr - MASTER'!$B133,Bridges!$A$9:$N$24,H$2,0))+IF(ISNA(VLOOKUP('Project Details by Yr - MASTER'!$B133,'Parking Lots &amp; Playgrounds'!$A$9:$N$33,H$2,0)),0,VLOOKUP('Project Details by Yr - MASTER'!$B133,'Parking Lots &amp; Playgrounds'!$A$9:$N$33,H$2,0))+IF(ISNA(VLOOKUP($B133,Vehicles!$B$9:$O$50,H$2,0)),0,VLOOKUP($B133,Vehicles!$B$9:$O$50,H$2,0))</f>
        <v>35000</v>
      </c>
      <c r="I133" s="8">
        <f>IF(ISNA(VLOOKUP($B133,'Other Capital Needs'!$C$51:$P$95,I$2,0)),0,VLOOKUP($B133,'Other Capital Needs'!$C$51:$P$95,I$2,0))+IF(ISNA(VLOOKUP('Project Details by Yr - MASTER'!$B133,'Public Grounds'!$A$11:$N$49,I$2,0)),0,VLOOKUP('Project Details by Yr - MASTER'!$B133,'Public Grounds'!$A$11:$N$49,I$2,0))+IF(ISNA(VLOOKUP('Project Details by Yr - MASTER'!$B133,'Public Buildings'!$A$10:$N$96,I$2,0)),0,VLOOKUP('Project Details by Yr - MASTER'!$B133,'Public Buildings'!$A$10:$N$96,I$2,0))+IF(ISNA(VLOOKUP('Project Details by Yr - MASTER'!$B133,Bridges!$A$9:$N$24,I$2,0)),0,VLOOKUP('Project Details by Yr - MASTER'!$B133,Bridges!$A$9:$N$24,I$2,0))+IF(ISNA(VLOOKUP('Project Details by Yr - MASTER'!$B133,'Parking Lots &amp; Playgrounds'!$A$9:$N$33,I$2,0)),0,VLOOKUP('Project Details by Yr - MASTER'!$B133,'Parking Lots &amp; Playgrounds'!$A$9:$N$33,I$2,0))+IF(ISNA(VLOOKUP($B133,Vehicles!$B$9:$O$50,I$2,0)),0,VLOOKUP($B133,Vehicles!$B$9:$O$50,I$2,0))</f>
        <v>0</v>
      </c>
      <c r="J133" s="8">
        <f>IF(ISNA(VLOOKUP($B133,'Other Capital Needs'!$C$51:$P$95,J$2,0)),0,VLOOKUP($B133,'Other Capital Needs'!$C$51:$P$95,J$2,0))+IF(ISNA(VLOOKUP('Project Details by Yr - MASTER'!$B133,'Public Grounds'!$A$11:$N$49,J$2,0)),0,VLOOKUP('Project Details by Yr - MASTER'!$B133,'Public Grounds'!$A$11:$N$49,J$2,0))+IF(ISNA(VLOOKUP('Project Details by Yr - MASTER'!$B133,'Public Buildings'!$A$10:$N$96,J$2,0)),0,VLOOKUP('Project Details by Yr - MASTER'!$B133,'Public Buildings'!$A$10:$N$96,J$2,0))+IF(ISNA(VLOOKUP('Project Details by Yr - MASTER'!$B133,Bridges!$A$9:$N$24,J$2,0)),0,VLOOKUP('Project Details by Yr - MASTER'!$B133,Bridges!$A$9:$N$24,J$2,0))+IF(ISNA(VLOOKUP('Project Details by Yr - MASTER'!$B133,'Parking Lots &amp; Playgrounds'!$A$9:$N$33,J$2,0)),0,VLOOKUP('Project Details by Yr - MASTER'!$B133,'Parking Lots &amp; Playgrounds'!$A$9:$N$33,J$2,0))+IF(ISNA(VLOOKUP($B133,Vehicles!$B$9:$O$50,J$2,0)),0,VLOOKUP($B133,Vehicles!$B$9:$O$50,J$2,0))</f>
        <v>0</v>
      </c>
      <c r="K133" s="8">
        <f>IF(ISNA(VLOOKUP($B133,'Other Capital Needs'!$C$51:$P$95,K$2,0)),0,VLOOKUP($B133,'Other Capital Needs'!$C$51:$P$95,K$2,0))+IF(ISNA(VLOOKUP('Project Details by Yr - MASTER'!$B133,'Public Grounds'!$A$11:$N$49,K$2,0)),0,VLOOKUP('Project Details by Yr - MASTER'!$B133,'Public Grounds'!$A$11:$N$49,K$2,0))+IF(ISNA(VLOOKUP('Project Details by Yr - MASTER'!$B133,'Public Buildings'!$A$10:$N$96,K$2,0)),0,VLOOKUP('Project Details by Yr - MASTER'!$B133,'Public Buildings'!$A$10:$N$96,K$2,0))+IF(ISNA(VLOOKUP('Project Details by Yr - MASTER'!$B133,Bridges!$A$9:$N$24,K$2,0)),0,VLOOKUP('Project Details by Yr - MASTER'!$B133,Bridges!$A$9:$N$24,K$2,0))+IF(ISNA(VLOOKUP('Project Details by Yr - MASTER'!$B133,'Parking Lots &amp; Playgrounds'!$A$9:$N$33,K$2,0)),0,VLOOKUP('Project Details by Yr - MASTER'!$B133,'Parking Lots &amp; Playgrounds'!$A$9:$N$33,K$2,0))+IF(ISNA(VLOOKUP($B133,Vehicles!$B$9:$O$50,K$2,0)),0,VLOOKUP($B133,Vehicles!$B$9:$O$50,K$2,0))</f>
        <v>0</v>
      </c>
    </row>
    <row r="134" spans="2:11" x14ac:dyDescent="0.25">
      <c r="B134" t="s">
        <v>202</v>
      </c>
      <c r="C134" t="s">
        <v>47</v>
      </c>
      <c r="D134" t="s">
        <v>272</v>
      </c>
      <c r="E134" s="1" t="s">
        <v>16</v>
      </c>
      <c r="G134" s="8">
        <f>IF(ISNA(VLOOKUP($B134,'Other Capital Needs'!$C$51:$P$95,G$2,0)),0,VLOOKUP($B134,'Other Capital Needs'!$C$51:$P$95,G$2,0))+IF(ISNA(VLOOKUP('Project Details by Yr - MASTER'!$B134,'Public Grounds'!$A$11:$N$49,G$2,0)),0,VLOOKUP('Project Details by Yr - MASTER'!$B134,'Public Grounds'!$A$11:$N$49,G$2,0))+IF(ISNA(VLOOKUP('Project Details by Yr - MASTER'!$B134,'Public Buildings'!$A$10:$N$96,G$2,0)),0,VLOOKUP('Project Details by Yr - MASTER'!$B134,'Public Buildings'!$A$10:$N$96,G$2,0))+IF(ISNA(VLOOKUP('Project Details by Yr - MASTER'!$B134,Bridges!$A$9:$N$24,G$2,0)),0,VLOOKUP('Project Details by Yr - MASTER'!$B134,Bridges!$A$9:$N$24,G$2,0))+IF(ISNA(VLOOKUP('Project Details by Yr - MASTER'!$B134,'Parking Lots &amp; Playgrounds'!$A$9:$N$33,G$2,0)),0,VLOOKUP('Project Details by Yr - MASTER'!$B134,'Parking Lots &amp; Playgrounds'!$A$9:$N$33,G$2,0))+IF(ISNA(VLOOKUP($B134,Vehicles!$B$9:$O$50,G$2,0)),0,VLOOKUP($B134,Vehicles!$B$9:$O$50,G$2,0))</f>
        <v>0</v>
      </c>
      <c r="H134" s="8">
        <f>IF(ISNA(VLOOKUP($B134,'Other Capital Needs'!$C$51:$P$95,H$2,0)),0,VLOOKUP($B134,'Other Capital Needs'!$C$51:$P$95,H$2,0))+IF(ISNA(VLOOKUP('Project Details by Yr - MASTER'!$B134,'Public Grounds'!$A$11:$N$49,H$2,0)),0,VLOOKUP('Project Details by Yr - MASTER'!$B134,'Public Grounds'!$A$11:$N$49,H$2,0))+IF(ISNA(VLOOKUP('Project Details by Yr - MASTER'!$B134,'Public Buildings'!$A$10:$N$96,H$2,0)),0,VLOOKUP('Project Details by Yr - MASTER'!$B134,'Public Buildings'!$A$10:$N$96,H$2,0))+IF(ISNA(VLOOKUP('Project Details by Yr - MASTER'!$B134,Bridges!$A$9:$N$24,H$2,0)),0,VLOOKUP('Project Details by Yr - MASTER'!$B134,Bridges!$A$9:$N$24,H$2,0))+IF(ISNA(VLOOKUP('Project Details by Yr - MASTER'!$B134,'Parking Lots &amp; Playgrounds'!$A$9:$N$33,H$2,0)),0,VLOOKUP('Project Details by Yr - MASTER'!$B134,'Parking Lots &amp; Playgrounds'!$A$9:$N$33,H$2,0))+IF(ISNA(VLOOKUP($B134,Vehicles!$B$9:$O$50,H$2,0)),0,VLOOKUP($B134,Vehicles!$B$9:$O$50,H$2,0))</f>
        <v>0</v>
      </c>
      <c r="I134" s="8">
        <f>IF(ISNA(VLOOKUP($B134,'Other Capital Needs'!$C$51:$P$95,I$2,0)),0,VLOOKUP($B134,'Other Capital Needs'!$C$51:$P$95,I$2,0))+IF(ISNA(VLOOKUP('Project Details by Yr - MASTER'!$B134,'Public Grounds'!$A$11:$N$49,I$2,0)),0,VLOOKUP('Project Details by Yr - MASTER'!$B134,'Public Grounds'!$A$11:$N$49,I$2,0))+IF(ISNA(VLOOKUP('Project Details by Yr - MASTER'!$B134,'Public Buildings'!$A$10:$N$96,I$2,0)),0,VLOOKUP('Project Details by Yr - MASTER'!$B134,'Public Buildings'!$A$10:$N$96,I$2,0))+IF(ISNA(VLOOKUP('Project Details by Yr - MASTER'!$B134,Bridges!$A$9:$N$24,I$2,0)),0,VLOOKUP('Project Details by Yr - MASTER'!$B134,Bridges!$A$9:$N$24,I$2,0))+IF(ISNA(VLOOKUP('Project Details by Yr - MASTER'!$B134,'Parking Lots &amp; Playgrounds'!$A$9:$N$33,I$2,0)),0,VLOOKUP('Project Details by Yr - MASTER'!$B134,'Parking Lots &amp; Playgrounds'!$A$9:$N$33,I$2,0))+IF(ISNA(VLOOKUP($B134,Vehicles!$B$9:$O$50,I$2,0)),0,VLOOKUP($B134,Vehicles!$B$9:$O$50,I$2,0))</f>
        <v>40000</v>
      </c>
      <c r="J134" s="8">
        <f>IF(ISNA(VLOOKUP($B134,'Other Capital Needs'!$C$51:$P$95,J$2,0)),0,VLOOKUP($B134,'Other Capital Needs'!$C$51:$P$95,J$2,0))+IF(ISNA(VLOOKUP('Project Details by Yr - MASTER'!$B134,'Public Grounds'!$A$11:$N$49,J$2,0)),0,VLOOKUP('Project Details by Yr - MASTER'!$B134,'Public Grounds'!$A$11:$N$49,J$2,0))+IF(ISNA(VLOOKUP('Project Details by Yr - MASTER'!$B134,'Public Buildings'!$A$10:$N$96,J$2,0)),0,VLOOKUP('Project Details by Yr - MASTER'!$B134,'Public Buildings'!$A$10:$N$96,J$2,0))+IF(ISNA(VLOOKUP('Project Details by Yr - MASTER'!$B134,Bridges!$A$9:$N$24,J$2,0)),0,VLOOKUP('Project Details by Yr - MASTER'!$B134,Bridges!$A$9:$N$24,J$2,0))+IF(ISNA(VLOOKUP('Project Details by Yr - MASTER'!$B134,'Parking Lots &amp; Playgrounds'!$A$9:$N$33,J$2,0)),0,VLOOKUP('Project Details by Yr - MASTER'!$B134,'Parking Lots &amp; Playgrounds'!$A$9:$N$33,J$2,0))+IF(ISNA(VLOOKUP($B134,Vehicles!$B$9:$O$50,J$2,0)),0,VLOOKUP($B134,Vehicles!$B$9:$O$50,J$2,0))</f>
        <v>0</v>
      </c>
      <c r="K134" s="8">
        <f>IF(ISNA(VLOOKUP($B134,'Other Capital Needs'!$C$51:$P$95,K$2,0)),0,VLOOKUP($B134,'Other Capital Needs'!$C$51:$P$95,K$2,0))+IF(ISNA(VLOOKUP('Project Details by Yr - MASTER'!$B134,'Public Grounds'!$A$11:$N$49,K$2,0)),0,VLOOKUP('Project Details by Yr - MASTER'!$B134,'Public Grounds'!$A$11:$N$49,K$2,0))+IF(ISNA(VLOOKUP('Project Details by Yr - MASTER'!$B134,'Public Buildings'!$A$10:$N$96,K$2,0)),0,VLOOKUP('Project Details by Yr - MASTER'!$B134,'Public Buildings'!$A$10:$N$96,K$2,0))+IF(ISNA(VLOOKUP('Project Details by Yr - MASTER'!$B134,Bridges!$A$9:$N$24,K$2,0)),0,VLOOKUP('Project Details by Yr - MASTER'!$B134,Bridges!$A$9:$N$24,K$2,0))+IF(ISNA(VLOOKUP('Project Details by Yr - MASTER'!$B134,'Parking Lots &amp; Playgrounds'!$A$9:$N$33,K$2,0)),0,VLOOKUP('Project Details by Yr - MASTER'!$B134,'Parking Lots &amp; Playgrounds'!$A$9:$N$33,K$2,0))+IF(ISNA(VLOOKUP($B134,Vehicles!$B$9:$O$50,K$2,0)),0,VLOOKUP($B134,Vehicles!$B$9:$O$50,K$2,0))</f>
        <v>0</v>
      </c>
    </row>
    <row r="135" spans="2:11" x14ac:dyDescent="0.25">
      <c r="B135" t="s">
        <v>203</v>
      </c>
      <c r="C135" t="s">
        <v>47</v>
      </c>
      <c r="D135" t="s">
        <v>272</v>
      </c>
      <c r="E135" s="1" t="s">
        <v>16</v>
      </c>
      <c r="G135" s="8">
        <f>IF(ISNA(VLOOKUP($B135,'Other Capital Needs'!$C$51:$P$95,G$2,0)),0,VLOOKUP($B135,'Other Capital Needs'!$C$51:$P$95,G$2,0))+IF(ISNA(VLOOKUP('Project Details by Yr - MASTER'!$B135,'Public Grounds'!$A$11:$N$49,G$2,0)),0,VLOOKUP('Project Details by Yr - MASTER'!$B135,'Public Grounds'!$A$11:$N$49,G$2,0))+IF(ISNA(VLOOKUP('Project Details by Yr - MASTER'!$B135,'Public Buildings'!$A$10:$N$96,G$2,0)),0,VLOOKUP('Project Details by Yr - MASTER'!$B135,'Public Buildings'!$A$10:$N$96,G$2,0))+IF(ISNA(VLOOKUP('Project Details by Yr - MASTER'!$B135,Bridges!$A$9:$N$24,G$2,0)),0,VLOOKUP('Project Details by Yr - MASTER'!$B135,Bridges!$A$9:$N$24,G$2,0))+IF(ISNA(VLOOKUP('Project Details by Yr - MASTER'!$B135,'Parking Lots &amp; Playgrounds'!$A$9:$N$33,G$2,0)),0,VLOOKUP('Project Details by Yr - MASTER'!$B135,'Parking Lots &amp; Playgrounds'!$A$9:$N$33,G$2,0))+IF(ISNA(VLOOKUP($B135,Vehicles!$B$9:$O$50,G$2,0)),0,VLOOKUP($B135,Vehicles!$B$9:$O$50,G$2,0))</f>
        <v>0</v>
      </c>
      <c r="H135" s="8">
        <f>IF(ISNA(VLOOKUP($B135,'Other Capital Needs'!$C$51:$P$95,H$2,0)),0,VLOOKUP($B135,'Other Capital Needs'!$C$51:$P$95,H$2,0))+IF(ISNA(VLOOKUP('Project Details by Yr - MASTER'!$B135,'Public Grounds'!$A$11:$N$49,H$2,0)),0,VLOOKUP('Project Details by Yr - MASTER'!$B135,'Public Grounds'!$A$11:$N$49,H$2,0))+IF(ISNA(VLOOKUP('Project Details by Yr - MASTER'!$B135,'Public Buildings'!$A$10:$N$96,H$2,0)),0,VLOOKUP('Project Details by Yr - MASTER'!$B135,'Public Buildings'!$A$10:$N$96,H$2,0))+IF(ISNA(VLOOKUP('Project Details by Yr - MASTER'!$B135,Bridges!$A$9:$N$24,H$2,0)),0,VLOOKUP('Project Details by Yr - MASTER'!$B135,Bridges!$A$9:$N$24,H$2,0))+IF(ISNA(VLOOKUP('Project Details by Yr - MASTER'!$B135,'Parking Lots &amp; Playgrounds'!$A$9:$N$33,H$2,0)),0,VLOOKUP('Project Details by Yr - MASTER'!$B135,'Parking Lots &amp; Playgrounds'!$A$9:$N$33,H$2,0))+IF(ISNA(VLOOKUP($B135,Vehicles!$B$9:$O$50,H$2,0)),0,VLOOKUP($B135,Vehicles!$B$9:$O$50,H$2,0))</f>
        <v>0</v>
      </c>
      <c r="I135" s="8">
        <f>IF(ISNA(VLOOKUP($B135,'Other Capital Needs'!$C$51:$P$95,I$2,0)),0,VLOOKUP($B135,'Other Capital Needs'!$C$51:$P$95,I$2,0))+IF(ISNA(VLOOKUP('Project Details by Yr - MASTER'!$B135,'Public Grounds'!$A$11:$N$49,I$2,0)),0,VLOOKUP('Project Details by Yr - MASTER'!$B135,'Public Grounds'!$A$11:$N$49,I$2,0))+IF(ISNA(VLOOKUP('Project Details by Yr - MASTER'!$B135,'Public Buildings'!$A$10:$N$96,I$2,0)),0,VLOOKUP('Project Details by Yr - MASTER'!$B135,'Public Buildings'!$A$10:$N$96,I$2,0))+IF(ISNA(VLOOKUP('Project Details by Yr - MASTER'!$B135,Bridges!$A$9:$N$24,I$2,0)),0,VLOOKUP('Project Details by Yr - MASTER'!$B135,Bridges!$A$9:$N$24,I$2,0))+IF(ISNA(VLOOKUP('Project Details by Yr - MASTER'!$B135,'Parking Lots &amp; Playgrounds'!$A$9:$N$33,I$2,0)),0,VLOOKUP('Project Details by Yr - MASTER'!$B135,'Parking Lots &amp; Playgrounds'!$A$9:$N$33,I$2,0))+IF(ISNA(VLOOKUP($B135,Vehicles!$B$9:$O$50,I$2,0)),0,VLOOKUP($B135,Vehicles!$B$9:$O$50,I$2,0))</f>
        <v>0</v>
      </c>
      <c r="J135" s="8">
        <f>IF(ISNA(VLOOKUP($B135,'Other Capital Needs'!$C$51:$P$95,J$2,0)),0,VLOOKUP($B135,'Other Capital Needs'!$C$51:$P$95,J$2,0))+IF(ISNA(VLOOKUP('Project Details by Yr - MASTER'!$B135,'Public Grounds'!$A$11:$N$49,J$2,0)),0,VLOOKUP('Project Details by Yr - MASTER'!$B135,'Public Grounds'!$A$11:$N$49,J$2,0))+IF(ISNA(VLOOKUP('Project Details by Yr - MASTER'!$B135,'Public Buildings'!$A$10:$N$96,J$2,0)),0,VLOOKUP('Project Details by Yr - MASTER'!$B135,'Public Buildings'!$A$10:$N$96,J$2,0))+IF(ISNA(VLOOKUP('Project Details by Yr - MASTER'!$B135,Bridges!$A$9:$N$24,J$2,0)),0,VLOOKUP('Project Details by Yr - MASTER'!$B135,Bridges!$A$9:$N$24,J$2,0))+IF(ISNA(VLOOKUP('Project Details by Yr - MASTER'!$B135,'Parking Lots &amp; Playgrounds'!$A$9:$N$33,J$2,0)),0,VLOOKUP('Project Details by Yr - MASTER'!$B135,'Parking Lots &amp; Playgrounds'!$A$9:$N$33,J$2,0))+IF(ISNA(VLOOKUP($B135,Vehicles!$B$9:$O$50,J$2,0)),0,VLOOKUP($B135,Vehicles!$B$9:$O$50,J$2,0))</f>
        <v>45000</v>
      </c>
      <c r="K135" s="8">
        <f>IF(ISNA(VLOOKUP($B135,'Other Capital Needs'!$C$51:$P$95,K$2,0)),0,VLOOKUP($B135,'Other Capital Needs'!$C$51:$P$95,K$2,0))+IF(ISNA(VLOOKUP('Project Details by Yr - MASTER'!$B135,'Public Grounds'!$A$11:$N$49,K$2,0)),0,VLOOKUP('Project Details by Yr - MASTER'!$B135,'Public Grounds'!$A$11:$N$49,K$2,0))+IF(ISNA(VLOOKUP('Project Details by Yr - MASTER'!$B135,'Public Buildings'!$A$10:$N$96,K$2,0)),0,VLOOKUP('Project Details by Yr - MASTER'!$B135,'Public Buildings'!$A$10:$N$96,K$2,0))+IF(ISNA(VLOOKUP('Project Details by Yr - MASTER'!$B135,Bridges!$A$9:$N$24,K$2,0)),0,VLOOKUP('Project Details by Yr - MASTER'!$B135,Bridges!$A$9:$N$24,K$2,0))+IF(ISNA(VLOOKUP('Project Details by Yr - MASTER'!$B135,'Parking Lots &amp; Playgrounds'!$A$9:$N$33,K$2,0)),0,VLOOKUP('Project Details by Yr - MASTER'!$B135,'Parking Lots &amp; Playgrounds'!$A$9:$N$33,K$2,0))+IF(ISNA(VLOOKUP($B135,Vehicles!$B$9:$O$50,K$2,0)),0,VLOOKUP($B135,Vehicles!$B$9:$O$50,K$2,0))</f>
        <v>0</v>
      </c>
    </row>
    <row r="136" spans="2:11" x14ac:dyDescent="0.25">
      <c r="B136" t="s">
        <v>80</v>
      </c>
      <c r="C136" t="s">
        <v>91</v>
      </c>
      <c r="D136" t="s">
        <v>271</v>
      </c>
      <c r="E136" s="1" t="s">
        <v>16</v>
      </c>
      <c r="G136" s="8">
        <f>IF(ISNA(VLOOKUP($B136,'Other Capital Needs'!$C$51:$P$95,G$2,0)),0,VLOOKUP($B136,'Other Capital Needs'!$C$51:$P$95,G$2,0))+IF(ISNA(VLOOKUP('Project Details by Yr - MASTER'!$B136,'Public Grounds'!$A$11:$N$49,G$2,0)),0,VLOOKUP('Project Details by Yr - MASTER'!$B136,'Public Grounds'!$A$11:$N$49,G$2,0))+IF(ISNA(VLOOKUP('Project Details by Yr - MASTER'!$B136,'Public Buildings'!$A$10:$N$96,G$2,0)),0,VLOOKUP('Project Details by Yr - MASTER'!$B136,'Public Buildings'!$A$10:$N$96,G$2,0))+IF(ISNA(VLOOKUP('Project Details by Yr - MASTER'!$B136,Bridges!$A$9:$N$24,G$2,0)),0,VLOOKUP('Project Details by Yr - MASTER'!$B136,Bridges!$A$9:$N$24,G$2,0))+IF(ISNA(VLOOKUP('Project Details by Yr - MASTER'!$B136,'Parking Lots &amp; Playgrounds'!$A$9:$N$33,G$2,0)),0,VLOOKUP('Project Details by Yr - MASTER'!$B136,'Parking Lots &amp; Playgrounds'!$A$9:$N$33,G$2,0))+IF(ISNA(VLOOKUP($B136,Vehicles!$B$9:$O$50,G$2,0)),0,VLOOKUP($B136,Vehicles!$B$9:$O$50,G$2,0))</f>
        <v>0</v>
      </c>
      <c r="H136" s="8">
        <f>IF(ISNA(VLOOKUP($B136,'Other Capital Needs'!$C$51:$P$95,H$2,0)),0,VLOOKUP($B136,'Other Capital Needs'!$C$51:$P$95,H$2,0))+IF(ISNA(VLOOKUP('Project Details by Yr - MASTER'!$B136,'Public Grounds'!$A$11:$N$49,H$2,0)),0,VLOOKUP('Project Details by Yr - MASTER'!$B136,'Public Grounds'!$A$11:$N$49,H$2,0))+IF(ISNA(VLOOKUP('Project Details by Yr - MASTER'!$B136,'Public Buildings'!$A$10:$N$96,H$2,0)),0,VLOOKUP('Project Details by Yr - MASTER'!$B136,'Public Buildings'!$A$10:$N$96,H$2,0))+IF(ISNA(VLOOKUP('Project Details by Yr - MASTER'!$B136,Bridges!$A$9:$N$24,H$2,0)),0,VLOOKUP('Project Details by Yr - MASTER'!$B136,Bridges!$A$9:$N$24,H$2,0))+IF(ISNA(VLOOKUP('Project Details by Yr - MASTER'!$B136,'Parking Lots &amp; Playgrounds'!$A$9:$N$33,H$2,0)),0,VLOOKUP('Project Details by Yr - MASTER'!$B136,'Parking Lots &amp; Playgrounds'!$A$9:$N$33,H$2,0))+IF(ISNA(VLOOKUP($B136,Vehicles!$B$9:$O$50,H$2,0)),0,VLOOKUP($B136,Vehicles!$B$9:$O$50,H$2,0))</f>
        <v>0</v>
      </c>
      <c r="I136" s="8">
        <f>IF(ISNA(VLOOKUP($B136,'Other Capital Needs'!$C$51:$P$95,I$2,0)),0,VLOOKUP($B136,'Other Capital Needs'!$C$51:$P$95,I$2,0))+IF(ISNA(VLOOKUP('Project Details by Yr - MASTER'!$B136,'Public Grounds'!$A$11:$N$49,I$2,0)),0,VLOOKUP('Project Details by Yr - MASTER'!$B136,'Public Grounds'!$A$11:$N$49,I$2,0))+IF(ISNA(VLOOKUP('Project Details by Yr - MASTER'!$B136,'Public Buildings'!$A$10:$N$96,I$2,0)),0,VLOOKUP('Project Details by Yr - MASTER'!$B136,'Public Buildings'!$A$10:$N$96,I$2,0))+IF(ISNA(VLOOKUP('Project Details by Yr - MASTER'!$B136,Bridges!$A$9:$N$24,I$2,0)),0,VLOOKUP('Project Details by Yr - MASTER'!$B136,Bridges!$A$9:$N$24,I$2,0))+IF(ISNA(VLOOKUP('Project Details by Yr - MASTER'!$B136,'Parking Lots &amp; Playgrounds'!$A$9:$N$33,I$2,0)),0,VLOOKUP('Project Details by Yr - MASTER'!$B136,'Parking Lots &amp; Playgrounds'!$A$9:$N$33,I$2,0))+IF(ISNA(VLOOKUP($B136,Vehicles!$B$9:$O$50,I$2,0)),0,VLOOKUP($B136,Vehicles!$B$9:$O$50,I$2,0))</f>
        <v>0</v>
      </c>
      <c r="J136" s="8">
        <f>IF(ISNA(VLOOKUP($B136,'Other Capital Needs'!$C$51:$P$95,J$2,0)),0,VLOOKUP($B136,'Other Capital Needs'!$C$51:$P$95,J$2,0))+IF(ISNA(VLOOKUP('Project Details by Yr - MASTER'!$B136,'Public Grounds'!$A$11:$N$49,J$2,0)),0,VLOOKUP('Project Details by Yr - MASTER'!$B136,'Public Grounds'!$A$11:$N$49,J$2,0))+IF(ISNA(VLOOKUP('Project Details by Yr - MASTER'!$B136,'Public Buildings'!$A$10:$N$96,J$2,0)),0,VLOOKUP('Project Details by Yr - MASTER'!$B136,'Public Buildings'!$A$10:$N$96,J$2,0))+IF(ISNA(VLOOKUP('Project Details by Yr - MASTER'!$B136,Bridges!$A$9:$N$24,J$2,0)),0,VLOOKUP('Project Details by Yr - MASTER'!$B136,Bridges!$A$9:$N$24,J$2,0))+IF(ISNA(VLOOKUP('Project Details by Yr - MASTER'!$B136,'Parking Lots &amp; Playgrounds'!$A$9:$N$33,J$2,0)),0,VLOOKUP('Project Details by Yr - MASTER'!$B136,'Parking Lots &amp; Playgrounds'!$A$9:$N$33,J$2,0))+IF(ISNA(VLOOKUP($B136,Vehicles!$B$9:$O$50,J$2,0)),0,VLOOKUP($B136,Vehicles!$B$9:$O$50,J$2,0))</f>
        <v>0</v>
      </c>
      <c r="K136" s="8">
        <f>IF(ISNA(VLOOKUP($B136,'Other Capital Needs'!$C$51:$P$95,K$2,0)),0,VLOOKUP($B136,'Other Capital Needs'!$C$51:$P$95,K$2,0))+IF(ISNA(VLOOKUP('Project Details by Yr - MASTER'!$B136,'Public Grounds'!$A$11:$N$49,K$2,0)),0,VLOOKUP('Project Details by Yr - MASTER'!$B136,'Public Grounds'!$A$11:$N$49,K$2,0))+IF(ISNA(VLOOKUP('Project Details by Yr - MASTER'!$B136,'Public Buildings'!$A$10:$N$96,K$2,0)),0,VLOOKUP('Project Details by Yr - MASTER'!$B136,'Public Buildings'!$A$10:$N$96,K$2,0))+IF(ISNA(VLOOKUP('Project Details by Yr - MASTER'!$B136,Bridges!$A$9:$N$24,K$2,0)),0,VLOOKUP('Project Details by Yr - MASTER'!$B136,Bridges!$A$9:$N$24,K$2,0))+IF(ISNA(VLOOKUP('Project Details by Yr - MASTER'!$B136,'Parking Lots &amp; Playgrounds'!$A$9:$N$33,K$2,0)),0,VLOOKUP('Project Details by Yr - MASTER'!$B136,'Parking Lots &amp; Playgrounds'!$A$9:$N$33,K$2,0))+IF(ISNA(VLOOKUP($B136,Vehicles!$B$9:$O$50,K$2,0)),0,VLOOKUP($B136,Vehicles!$B$9:$O$50,K$2,0))</f>
        <v>0</v>
      </c>
    </row>
    <row r="137" spans="2:11" x14ac:dyDescent="0.25">
      <c r="B137" t="s">
        <v>81</v>
      </c>
      <c r="C137" t="s">
        <v>91</v>
      </c>
      <c r="D137" t="s">
        <v>271</v>
      </c>
      <c r="E137" s="1" t="s">
        <v>16</v>
      </c>
      <c r="G137" s="8">
        <f>IF(ISNA(VLOOKUP($B137,'Other Capital Needs'!$C$51:$P$95,G$2,0)),0,VLOOKUP($B137,'Other Capital Needs'!$C$51:$P$95,G$2,0))+IF(ISNA(VLOOKUP('Project Details by Yr - MASTER'!$B137,'Public Grounds'!$A$11:$N$49,G$2,0)),0,VLOOKUP('Project Details by Yr - MASTER'!$B137,'Public Grounds'!$A$11:$N$49,G$2,0))+IF(ISNA(VLOOKUP('Project Details by Yr - MASTER'!$B137,'Public Buildings'!$A$10:$N$96,G$2,0)),0,VLOOKUP('Project Details by Yr - MASTER'!$B137,'Public Buildings'!$A$10:$N$96,G$2,0))+IF(ISNA(VLOOKUP('Project Details by Yr - MASTER'!$B137,Bridges!$A$9:$N$24,G$2,0)),0,VLOOKUP('Project Details by Yr - MASTER'!$B137,Bridges!$A$9:$N$24,G$2,0))+IF(ISNA(VLOOKUP('Project Details by Yr - MASTER'!$B137,'Parking Lots &amp; Playgrounds'!$A$9:$N$33,G$2,0)),0,VLOOKUP('Project Details by Yr - MASTER'!$B137,'Parking Lots &amp; Playgrounds'!$A$9:$N$33,G$2,0))+IF(ISNA(VLOOKUP($B137,Vehicles!$B$9:$O$50,G$2,0)),0,VLOOKUP($B137,Vehicles!$B$9:$O$50,G$2,0))</f>
        <v>0</v>
      </c>
      <c r="H137" s="8">
        <f>IF(ISNA(VLOOKUP($B137,'Other Capital Needs'!$C$51:$P$95,H$2,0)),0,VLOOKUP($B137,'Other Capital Needs'!$C$51:$P$95,H$2,0))+IF(ISNA(VLOOKUP('Project Details by Yr - MASTER'!$B137,'Public Grounds'!$A$11:$N$49,H$2,0)),0,VLOOKUP('Project Details by Yr - MASTER'!$B137,'Public Grounds'!$A$11:$N$49,H$2,0))+IF(ISNA(VLOOKUP('Project Details by Yr - MASTER'!$B137,'Public Buildings'!$A$10:$N$96,H$2,0)),0,VLOOKUP('Project Details by Yr - MASTER'!$B137,'Public Buildings'!$A$10:$N$96,H$2,0))+IF(ISNA(VLOOKUP('Project Details by Yr - MASTER'!$B137,Bridges!$A$9:$N$24,H$2,0)),0,VLOOKUP('Project Details by Yr - MASTER'!$B137,Bridges!$A$9:$N$24,H$2,0))+IF(ISNA(VLOOKUP('Project Details by Yr - MASTER'!$B137,'Parking Lots &amp; Playgrounds'!$A$9:$N$33,H$2,0)),0,VLOOKUP('Project Details by Yr - MASTER'!$B137,'Parking Lots &amp; Playgrounds'!$A$9:$N$33,H$2,0))+IF(ISNA(VLOOKUP($B137,Vehicles!$B$9:$O$50,H$2,0)),0,VLOOKUP($B137,Vehicles!$B$9:$O$50,H$2,0))</f>
        <v>55000</v>
      </c>
      <c r="I137" s="8">
        <f>IF(ISNA(VLOOKUP($B137,'Other Capital Needs'!$C$51:$P$95,I$2,0)),0,VLOOKUP($B137,'Other Capital Needs'!$C$51:$P$95,I$2,0))+IF(ISNA(VLOOKUP('Project Details by Yr - MASTER'!$B137,'Public Grounds'!$A$11:$N$49,I$2,0)),0,VLOOKUP('Project Details by Yr - MASTER'!$B137,'Public Grounds'!$A$11:$N$49,I$2,0))+IF(ISNA(VLOOKUP('Project Details by Yr - MASTER'!$B137,'Public Buildings'!$A$10:$N$96,I$2,0)),0,VLOOKUP('Project Details by Yr - MASTER'!$B137,'Public Buildings'!$A$10:$N$96,I$2,0))+IF(ISNA(VLOOKUP('Project Details by Yr - MASTER'!$B137,Bridges!$A$9:$N$24,I$2,0)),0,VLOOKUP('Project Details by Yr - MASTER'!$B137,Bridges!$A$9:$N$24,I$2,0))+IF(ISNA(VLOOKUP('Project Details by Yr - MASTER'!$B137,'Parking Lots &amp; Playgrounds'!$A$9:$N$33,I$2,0)),0,VLOOKUP('Project Details by Yr - MASTER'!$B137,'Parking Lots &amp; Playgrounds'!$A$9:$N$33,I$2,0))+IF(ISNA(VLOOKUP($B137,Vehicles!$B$9:$O$50,I$2,0)),0,VLOOKUP($B137,Vehicles!$B$9:$O$50,I$2,0))</f>
        <v>0</v>
      </c>
      <c r="J137" s="8">
        <f>IF(ISNA(VLOOKUP($B137,'Other Capital Needs'!$C$51:$P$95,J$2,0)),0,VLOOKUP($B137,'Other Capital Needs'!$C$51:$P$95,J$2,0))+IF(ISNA(VLOOKUP('Project Details by Yr - MASTER'!$B137,'Public Grounds'!$A$11:$N$49,J$2,0)),0,VLOOKUP('Project Details by Yr - MASTER'!$B137,'Public Grounds'!$A$11:$N$49,J$2,0))+IF(ISNA(VLOOKUP('Project Details by Yr - MASTER'!$B137,'Public Buildings'!$A$10:$N$96,J$2,0)),0,VLOOKUP('Project Details by Yr - MASTER'!$B137,'Public Buildings'!$A$10:$N$96,J$2,0))+IF(ISNA(VLOOKUP('Project Details by Yr - MASTER'!$B137,Bridges!$A$9:$N$24,J$2,0)),0,VLOOKUP('Project Details by Yr - MASTER'!$B137,Bridges!$A$9:$N$24,J$2,0))+IF(ISNA(VLOOKUP('Project Details by Yr - MASTER'!$B137,'Parking Lots &amp; Playgrounds'!$A$9:$N$33,J$2,0)),0,VLOOKUP('Project Details by Yr - MASTER'!$B137,'Parking Lots &amp; Playgrounds'!$A$9:$N$33,J$2,0))+IF(ISNA(VLOOKUP($B137,Vehicles!$B$9:$O$50,J$2,0)),0,VLOOKUP($B137,Vehicles!$B$9:$O$50,J$2,0))</f>
        <v>0</v>
      </c>
      <c r="K137" s="8">
        <f>IF(ISNA(VLOOKUP($B137,'Other Capital Needs'!$C$51:$P$95,K$2,0)),0,VLOOKUP($B137,'Other Capital Needs'!$C$51:$P$95,K$2,0))+IF(ISNA(VLOOKUP('Project Details by Yr - MASTER'!$B137,'Public Grounds'!$A$11:$N$49,K$2,0)),0,VLOOKUP('Project Details by Yr - MASTER'!$B137,'Public Grounds'!$A$11:$N$49,K$2,0))+IF(ISNA(VLOOKUP('Project Details by Yr - MASTER'!$B137,'Public Buildings'!$A$10:$N$96,K$2,0)),0,VLOOKUP('Project Details by Yr - MASTER'!$B137,'Public Buildings'!$A$10:$N$96,K$2,0))+IF(ISNA(VLOOKUP('Project Details by Yr - MASTER'!$B137,Bridges!$A$9:$N$24,K$2,0)),0,VLOOKUP('Project Details by Yr - MASTER'!$B137,Bridges!$A$9:$N$24,K$2,0))+IF(ISNA(VLOOKUP('Project Details by Yr - MASTER'!$B137,'Parking Lots &amp; Playgrounds'!$A$9:$N$33,K$2,0)),0,VLOOKUP('Project Details by Yr - MASTER'!$B137,'Parking Lots &amp; Playgrounds'!$A$9:$N$33,K$2,0))+IF(ISNA(VLOOKUP($B137,Vehicles!$B$9:$O$50,K$2,0)),0,VLOOKUP($B137,Vehicles!$B$9:$O$50,K$2,0))</f>
        <v>0</v>
      </c>
    </row>
    <row r="138" spans="2:11" x14ac:dyDescent="0.25">
      <c r="B138" t="s">
        <v>82</v>
      </c>
      <c r="C138" t="s">
        <v>91</v>
      </c>
      <c r="D138" t="s">
        <v>271</v>
      </c>
      <c r="E138" s="1" t="s">
        <v>16</v>
      </c>
      <c r="G138" s="8">
        <f>IF(ISNA(VLOOKUP($B138,'Other Capital Needs'!$C$51:$P$95,G$2,0)),0,VLOOKUP($B138,'Other Capital Needs'!$C$51:$P$95,G$2,0))+IF(ISNA(VLOOKUP('Project Details by Yr - MASTER'!$B138,'Public Grounds'!$A$11:$N$49,G$2,0)),0,VLOOKUP('Project Details by Yr - MASTER'!$B138,'Public Grounds'!$A$11:$N$49,G$2,0))+IF(ISNA(VLOOKUP('Project Details by Yr - MASTER'!$B138,'Public Buildings'!$A$10:$N$96,G$2,0)),0,VLOOKUP('Project Details by Yr - MASTER'!$B138,'Public Buildings'!$A$10:$N$96,G$2,0))+IF(ISNA(VLOOKUP('Project Details by Yr - MASTER'!$B138,Bridges!$A$9:$N$24,G$2,0)),0,VLOOKUP('Project Details by Yr - MASTER'!$B138,Bridges!$A$9:$N$24,G$2,0))+IF(ISNA(VLOOKUP('Project Details by Yr - MASTER'!$B138,'Parking Lots &amp; Playgrounds'!$A$9:$N$33,G$2,0)),0,VLOOKUP('Project Details by Yr - MASTER'!$B138,'Parking Lots &amp; Playgrounds'!$A$9:$N$33,G$2,0))+IF(ISNA(VLOOKUP($B138,Vehicles!$B$9:$O$50,G$2,0)),0,VLOOKUP($B138,Vehicles!$B$9:$O$50,G$2,0))</f>
        <v>0</v>
      </c>
      <c r="H138" s="8">
        <f>IF(ISNA(VLOOKUP($B138,'Other Capital Needs'!$C$51:$P$95,H$2,0)),0,VLOOKUP($B138,'Other Capital Needs'!$C$51:$P$95,H$2,0))+IF(ISNA(VLOOKUP('Project Details by Yr - MASTER'!$B138,'Public Grounds'!$A$11:$N$49,H$2,0)),0,VLOOKUP('Project Details by Yr - MASTER'!$B138,'Public Grounds'!$A$11:$N$49,H$2,0))+IF(ISNA(VLOOKUP('Project Details by Yr - MASTER'!$B138,'Public Buildings'!$A$10:$N$96,H$2,0)),0,VLOOKUP('Project Details by Yr - MASTER'!$B138,'Public Buildings'!$A$10:$N$96,H$2,0))+IF(ISNA(VLOOKUP('Project Details by Yr - MASTER'!$B138,Bridges!$A$9:$N$24,H$2,0)),0,VLOOKUP('Project Details by Yr - MASTER'!$B138,Bridges!$A$9:$N$24,H$2,0))+IF(ISNA(VLOOKUP('Project Details by Yr - MASTER'!$B138,'Parking Lots &amp; Playgrounds'!$A$9:$N$33,H$2,0)),0,VLOOKUP('Project Details by Yr - MASTER'!$B138,'Parking Lots &amp; Playgrounds'!$A$9:$N$33,H$2,0))+IF(ISNA(VLOOKUP($B138,Vehicles!$B$9:$O$50,H$2,0)),0,VLOOKUP($B138,Vehicles!$B$9:$O$50,H$2,0))</f>
        <v>275000</v>
      </c>
      <c r="I138" s="8">
        <f>IF(ISNA(VLOOKUP($B138,'Other Capital Needs'!$C$51:$P$95,I$2,0)),0,VLOOKUP($B138,'Other Capital Needs'!$C$51:$P$95,I$2,0))+IF(ISNA(VLOOKUP('Project Details by Yr - MASTER'!$B138,'Public Grounds'!$A$11:$N$49,I$2,0)),0,VLOOKUP('Project Details by Yr - MASTER'!$B138,'Public Grounds'!$A$11:$N$49,I$2,0))+IF(ISNA(VLOOKUP('Project Details by Yr - MASTER'!$B138,'Public Buildings'!$A$10:$N$96,I$2,0)),0,VLOOKUP('Project Details by Yr - MASTER'!$B138,'Public Buildings'!$A$10:$N$96,I$2,0))+IF(ISNA(VLOOKUP('Project Details by Yr - MASTER'!$B138,Bridges!$A$9:$N$24,I$2,0)),0,VLOOKUP('Project Details by Yr - MASTER'!$B138,Bridges!$A$9:$N$24,I$2,0))+IF(ISNA(VLOOKUP('Project Details by Yr - MASTER'!$B138,'Parking Lots &amp; Playgrounds'!$A$9:$N$33,I$2,0)),0,VLOOKUP('Project Details by Yr - MASTER'!$B138,'Parking Lots &amp; Playgrounds'!$A$9:$N$33,I$2,0))+IF(ISNA(VLOOKUP($B138,Vehicles!$B$9:$O$50,I$2,0)),0,VLOOKUP($B138,Vehicles!$B$9:$O$50,I$2,0))</f>
        <v>0</v>
      </c>
      <c r="J138" s="8">
        <f>IF(ISNA(VLOOKUP($B138,'Other Capital Needs'!$C$51:$P$95,J$2,0)),0,VLOOKUP($B138,'Other Capital Needs'!$C$51:$P$95,J$2,0))+IF(ISNA(VLOOKUP('Project Details by Yr - MASTER'!$B138,'Public Grounds'!$A$11:$N$49,J$2,0)),0,VLOOKUP('Project Details by Yr - MASTER'!$B138,'Public Grounds'!$A$11:$N$49,J$2,0))+IF(ISNA(VLOOKUP('Project Details by Yr - MASTER'!$B138,'Public Buildings'!$A$10:$N$96,J$2,0)),0,VLOOKUP('Project Details by Yr - MASTER'!$B138,'Public Buildings'!$A$10:$N$96,J$2,0))+IF(ISNA(VLOOKUP('Project Details by Yr - MASTER'!$B138,Bridges!$A$9:$N$24,J$2,0)),0,VLOOKUP('Project Details by Yr - MASTER'!$B138,Bridges!$A$9:$N$24,J$2,0))+IF(ISNA(VLOOKUP('Project Details by Yr - MASTER'!$B138,'Parking Lots &amp; Playgrounds'!$A$9:$N$33,J$2,0)),0,VLOOKUP('Project Details by Yr - MASTER'!$B138,'Parking Lots &amp; Playgrounds'!$A$9:$N$33,J$2,0))+IF(ISNA(VLOOKUP($B138,Vehicles!$B$9:$O$50,J$2,0)),0,VLOOKUP($B138,Vehicles!$B$9:$O$50,J$2,0))</f>
        <v>0</v>
      </c>
      <c r="K138" s="8">
        <f>IF(ISNA(VLOOKUP($B138,'Other Capital Needs'!$C$51:$P$95,K$2,0)),0,VLOOKUP($B138,'Other Capital Needs'!$C$51:$P$95,K$2,0))+IF(ISNA(VLOOKUP('Project Details by Yr - MASTER'!$B138,'Public Grounds'!$A$11:$N$49,K$2,0)),0,VLOOKUP('Project Details by Yr - MASTER'!$B138,'Public Grounds'!$A$11:$N$49,K$2,0))+IF(ISNA(VLOOKUP('Project Details by Yr - MASTER'!$B138,'Public Buildings'!$A$10:$N$96,K$2,0)),0,VLOOKUP('Project Details by Yr - MASTER'!$B138,'Public Buildings'!$A$10:$N$96,K$2,0))+IF(ISNA(VLOOKUP('Project Details by Yr - MASTER'!$B138,Bridges!$A$9:$N$24,K$2,0)),0,VLOOKUP('Project Details by Yr - MASTER'!$B138,Bridges!$A$9:$N$24,K$2,0))+IF(ISNA(VLOOKUP('Project Details by Yr - MASTER'!$B138,'Parking Lots &amp; Playgrounds'!$A$9:$N$33,K$2,0)),0,VLOOKUP('Project Details by Yr - MASTER'!$B138,'Parking Lots &amp; Playgrounds'!$A$9:$N$33,K$2,0))+IF(ISNA(VLOOKUP($B138,Vehicles!$B$9:$O$50,K$2,0)),0,VLOOKUP($B138,Vehicles!$B$9:$O$50,K$2,0))</f>
        <v>0</v>
      </c>
    </row>
    <row r="139" spans="2:11" x14ac:dyDescent="0.25">
      <c r="B139" t="s">
        <v>83</v>
      </c>
      <c r="C139" t="s">
        <v>91</v>
      </c>
      <c r="D139" t="s">
        <v>271</v>
      </c>
      <c r="E139" s="1" t="s">
        <v>16</v>
      </c>
      <c r="G139" s="8">
        <f>IF(ISNA(VLOOKUP($B139,'Other Capital Needs'!$C$51:$P$95,G$2,0)),0,VLOOKUP($B139,'Other Capital Needs'!$C$51:$P$95,G$2,0))+IF(ISNA(VLOOKUP('Project Details by Yr - MASTER'!$B139,'Public Grounds'!$A$11:$N$49,G$2,0)),0,VLOOKUP('Project Details by Yr - MASTER'!$B139,'Public Grounds'!$A$11:$N$49,G$2,0))+IF(ISNA(VLOOKUP('Project Details by Yr - MASTER'!$B139,'Public Buildings'!$A$10:$N$96,G$2,0)),0,VLOOKUP('Project Details by Yr - MASTER'!$B139,'Public Buildings'!$A$10:$N$96,G$2,0))+IF(ISNA(VLOOKUP('Project Details by Yr - MASTER'!$B139,Bridges!$A$9:$N$24,G$2,0)),0,VLOOKUP('Project Details by Yr - MASTER'!$B139,Bridges!$A$9:$N$24,G$2,0))+IF(ISNA(VLOOKUP('Project Details by Yr - MASTER'!$B139,'Parking Lots &amp; Playgrounds'!$A$9:$N$33,G$2,0)),0,VLOOKUP('Project Details by Yr - MASTER'!$B139,'Parking Lots &amp; Playgrounds'!$A$9:$N$33,G$2,0))+IF(ISNA(VLOOKUP($B139,Vehicles!$B$9:$O$50,G$2,0)),0,VLOOKUP($B139,Vehicles!$B$9:$O$50,G$2,0))</f>
        <v>0</v>
      </c>
      <c r="H139" s="8">
        <f>IF(ISNA(VLOOKUP($B139,'Other Capital Needs'!$C$51:$P$95,H$2,0)),0,VLOOKUP($B139,'Other Capital Needs'!$C$51:$P$95,H$2,0))+IF(ISNA(VLOOKUP('Project Details by Yr - MASTER'!$B139,'Public Grounds'!$A$11:$N$49,H$2,0)),0,VLOOKUP('Project Details by Yr - MASTER'!$B139,'Public Grounds'!$A$11:$N$49,H$2,0))+IF(ISNA(VLOOKUP('Project Details by Yr - MASTER'!$B139,'Public Buildings'!$A$10:$N$96,H$2,0)),0,VLOOKUP('Project Details by Yr - MASTER'!$B139,'Public Buildings'!$A$10:$N$96,H$2,0))+IF(ISNA(VLOOKUP('Project Details by Yr - MASTER'!$B139,Bridges!$A$9:$N$24,H$2,0)),0,VLOOKUP('Project Details by Yr - MASTER'!$B139,Bridges!$A$9:$N$24,H$2,0))+IF(ISNA(VLOOKUP('Project Details by Yr - MASTER'!$B139,'Parking Lots &amp; Playgrounds'!$A$9:$N$33,H$2,0)),0,VLOOKUP('Project Details by Yr - MASTER'!$B139,'Parking Lots &amp; Playgrounds'!$A$9:$N$33,H$2,0))+IF(ISNA(VLOOKUP($B139,Vehicles!$B$9:$O$50,H$2,0)),0,VLOOKUP($B139,Vehicles!$B$9:$O$50,H$2,0))</f>
        <v>0</v>
      </c>
      <c r="I139" s="8">
        <f>IF(ISNA(VLOOKUP($B139,'Other Capital Needs'!$C$51:$P$95,I$2,0)),0,VLOOKUP($B139,'Other Capital Needs'!$C$51:$P$95,I$2,0))+IF(ISNA(VLOOKUP('Project Details by Yr - MASTER'!$B139,'Public Grounds'!$A$11:$N$49,I$2,0)),0,VLOOKUP('Project Details by Yr - MASTER'!$B139,'Public Grounds'!$A$11:$N$49,I$2,0))+IF(ISNA(VLOOKUP('Project Details by Yr - MASTER'!$B139,'Public Buildings'!$A$10:$N$96,I$2,0)),0,VLOOKUP('Project Details by Yr - MASTER'!$B139,'Public Buildings'!$A$10:$N$96,I$2,0))+IF(ISNA(VLOOKUP('Project Details by Yr - MASTER'!$B139,Bridges!$A$9:$N$24,I$2,0)),0,VLOOKUP('Project Details by Yr - MASTER'!$B139,Bridges!$A$9:$N$24,I$2,0))+IF(ISNA(VLOOKUP('Project Details by Yr - MASTER'!$B139,'Parking Lots &amp; Playgrounds'!$A$9:$N$33,I$2,0)),0,VLOOKUP('Project Details by Yr - MASTER'!$B139,'Parking Lots &amp; Playgrounds'!$A$9:$N$33,I$2,0))+IF(ISNA(VLOOKUP($B139,Vehicles!$B$9:$O$50,I$2,0)),0,VLOOKUP($B139,Vehicles!$B$9:$O$50,I$2,0))</f>
        <v>235000</v>
      </c>
      <c r="J139" s="8">
        <f>IF(ISNA(VLOOKUP($B139,'Other Capital Needs'!$C$51:$P$95,J$2,0)),0,VLOOKUP($B139,'Other Capital Needs'!$C$51:$P$95,J$2,0))+IF(ISNA(VLOOKUP('Project Details by Yr - MASTER'!$B139,'Public Grounds'!$A$11:$N$49,J$2,0)),0,VLOOKUP('Project Details by Yr - MASTER'!$B139,'Public Grounds'!$A$11:$N$49,J$2,0))+IF(ISNA(VLOOKUP('Project Details by Yr - MASTER'!$B139,'Public Buildings'!$A$10:$N$96,J$2,0)),0,VLOOKUP('Project Details by Yr - MASTER'!$B139,'Public Buildings'!$A$10:$N$96,J$2,0))+IF(ISNA(VLOOKUP('Project Details by Yr - MASTER'!$B139,Bridges!$A$9:$N$24,J$2,0)),0,VLOOKUP('Project Details by Yr - MASTER'!$B139,Bridges!$A$9:$N$24,J$2,0))+IF(ISNA(VLOOKUP('Project Details by Yr - MASTER'!$B139,'Parking Lots &amp; Playgrounds'!$A$9:$N$33,J$2,0)),0,VLOOKUP('Project Details by Yr - MASTER'!$B139,'Parking Lots &amp; Playgrounds'!$A$9:$N$33,J$2,0))+IF(ISNA(VLOOKUP($B139,Vehicles!$B$9:$O$50,J$2,0)),0,VLOOKUP($B139,Vehicles!$B$9:$O$50,J$2,0))</f>
        <v>0</v>
      </c>
      <c r="K139" s="8">
        <f>IF(ISNA(VLOOKUP($B139,'Other Capital Needs'!$C$51:$P$95,K$2,0)),0,VLOOKUP($B139,'Other Capital Needs'!$C$51:$P$95,K$2,0))+IF(ISNA(VLOOKUP('Project Details by Yr - MASTER'!$B139,'Public Grounds'!$A$11:$N$49,K$2,0)),0,VLOOKUP('Project Details by Yr - MASTER'!$B139,'Public Grounds'!$A$11:$N$49,K$2,0))+IF(ISNA(VLOOKUP('Project Details by Yr - MASTER'!$B139,'Public Buildings'!$A$10:$N$96,K$2,0)),0,VLOOKUP('Project Details by Yr - MASTER'!$B139,'Public Buildings'!$A$10:$N$96,K$2,0))+IF(ISNA(VLOOKUP('Project Details by Yr - MASTER'!$B139,Bridges!$A$9:$N$24,K$2,0)),0,VLOOKUP('Project Details by Yr - MASTER'!$B139,Bridges!$A$9:$N$24,K$2,0))+IF(ISNA(VLOOKUP('Project Details by Yr - MASTER'!$B139,'Parking Lots &amp; Playgrounds'!$A$9:$N$33,K$2,0)),0,VLOOKUP('Project Details by Yr - MASTER'!$B139,'Parking Lots &amp; Playgrounds'!$A$9:$N$33,K$2,0))+IF(ISNA(VLOOKUP($B139,Vehicles!$B$9:$O$50,K$2,0)),0,VLOOKUP($B139,Vehicles!$B$9:$O$50,K$2,0))</f>
        <v>0</v>
      </c>
    </row>
    <row r="140" spans="2:11" x14ac:dyDescent="0.25">
      <c r="B140" t="s">
        <v>84</v>
      </c>
      <c r="C140" t="s">
        <v>91</v>
      </c>
      <c r="D140" t="s">
        <v>271</v>
      </c>
      <c r="E140" s="1" t="s">
        <v>16</v>
      </c>
      <c r="G140" s="8">
        <f>IF(ISNA(VLOOKUP($B140,'Other Capital Needs'!$C$51:$P$95,G$2,0)),0,VLOOKUP($B140,'Other Capital Needs'!$C$51:$P$95,G$2,0))+IF(ISNA(VLOOKUP('Project Details by Yr - MASTER'!$B140,'Public Grounds'!$A$11:$N$49,G$2,0)),0,VLOOKUP('Project Details by Yr - MASTER'!$B140,'Public Grounds'!$A$11:$N$49,G$2,0))+IF(ISNA(VLOOKUP('Project Details by Yr - MASTER'!$B140,'Public Buildings'!$A$10:$N$96,G$2,0)),0,VLOOKUP('Project Details by Yr - MASTER'!$B140,'Public Buildings'!$A$10:$N$96,G$2,0))+IF(ISNA(VLOOKUP('Project Details by Yr - MASTER'!$B140,Bridges!$A$9:$N$24,G$2,0)),0,VLOOKUP('Project Details by Yr - MASTER'!$B140,Bridges!$A$9:$N$24,G$2,0))+IF(ISNA(VLOOKUP('Project Details by Yr - MASTER'!$B140,'Parking Lots &amp; Playgrounds'!$A$9:$N$33,G$2,0)),0,VLOOKUP('Project Details by Yr - MASTER'!$B140,'Parking Lots &amp; Playgrounds'!$A$9:$N$33,G$2,0))+IF(ISNA(VLOOKUP($B140,Vehicles!$B$9:$O$50,G$2,0)),0,VLOOKUP($B140,Vehicles!$B$9:$O$50,G$2,0))</f>
        <v>0</v>
      </c>
      <c r="H140" s="8">
        <f>IF(ISNA(VLOOKUP($B140,'Other Capital Needs'!$C$51:$P$95,H$2,0)),0,VLOOKUP($B140,'Other Capital Needs'!$C$51:$P$95,H$2,0))+IF(ISNA(VLOOKUP('Project Details by Yr - MASTER'!$B140,'Public Grounds'!$A$11:$N$49,H$2,0)),0,VLOOKUP('Project Details by Yr - MASTER'!$B140,'Public Grounds'!$A$11:$N$49,H$2,0))+IF(ISNA(VLOOKUP('Project Details by Yr - MASTER'!$B140,'Public Buildings'!$A$10:$N$96,H$2,0)),0,VLOOKUP('Project Details by Yr - MASTER'!$B140,'Public Buildings'!$A$10:$N$96,H$2,0))+IF(ISNA(VLOOKUP('Project Details by Yr - MASTER'!$B140,Bridges!$A$9:$N$24,H$2,0)),0,VLOOKUP('Project Details by Yr - MASTER'!$B140,Bridges!$A$9:$N$24,H$2,0))+IF(ISNA(VLOOKUP('Project Details by Yr - MASTER'!$B140,'Parking Lots &amp; Playgrounds'!$A$9:$N$33,H$2,0)),0,VLOOKUP('Project Details by Yr - MASTER'!$B140,'Parking Lots &amp; Playgrounds'!$A$9:$N$33,H$2,0))+IF(ISNA(VLOOKUP($B140,Vehicles!$B$9:$O$50,H$2,0)),0,VLOOKUP($B140,Vehicles!$B$9:$O$50,H$2,0))</f>
        <v>0</v>
      </c>
      <c r="I140" s="8">
        <f>IF(ISNA(VLOOKUP($B140,'Other Capital Needs'!$C$51:$P$95,I$2,0)),0,VLOOKUP($B140,'Other Capital Needs'!$C$51:$P$95,I$2,0))+IF(ISNA(VLOOKUP('Project Details by Yr - MASTER'!$B140,'Public Grounds'!$A$11:$N$49,I$2,0)),0,VLOOKUP('Project Details by Yr - MASTER'!$B140,'Public Grounds'!$A$11:$N$49,I$2,0))+IF(ISNA(VLOOKUP('Project Details by Yr - MASTER'!$B140,'Public Buildings'!$A$10:$N$96,I$2,0)),0,VLOOKUP('Project Details by Yr - MASTER'!$B140,'Public Buildings'!$A$10:$N$96,I$2,0))+IF(ISNA(VLOOKUP('Project Details by Yr - MASTER'!$B140,Bridges!$A$9:$N$24,I$2,0)),0,VLOOKUP('Project Details by Yr - MASTER'!$B140,Bridges!$A$9:$N$24,I$2,0))+IF(ISNA(VLOOKUP('Project Details by Yr - MASTER'!$B140,'Parking Lots &amp; Playgrounds'!$A$9:$N$33,I$2,0)),0,VLOOKUP('Project Details by Yr - MASTER'!$B140,'Parking Lots &amp; Playgrounds'!$A$9:$N$33,I$2,0))+IF(ISNA(VLOOKUP($B140,Vehicles!$B$9:$O$50,I$2,0)),0,VLOOKUP($B140,Vehicles!$B$9:$O$50,I$2,0))</f>
        <v>16000</v>
      </c>
      <c r="J140" s="8">
        <f>IF(ISNA(VLOOKUP($B140,'Other Capital Needs'!$C$51:$P$95,J$2,0)),0,VLOOKUP($B140,'Other Capital Needs'!$C$51:$P$95,J$2,0))+IF(ISNA(VLOOKUP('Project Details by Yr - MASTER'!$B140,'Public Grounds'!$A$11:$N$49,J$2,0)),0,VLOOKUP('Project Details by Yr - MASTER'!$B140,'Public Grounds'!$A$11:$N$49,J$2,0))+IF(ISNA(VLOOKUP('Project Details by Yr - MASTER'!$B140,'Public Buildings'!$A$10:$N$96,J$2,0)),0,VLOOKUP('Project Details by Yr - MASTER'!$B140,'Public Buildings'!$A$10:$N$96,J$2,0))+IF(ISNA(VLOOKUP('Project Details by Yr - MASTER'!$B140,Bridges!$A$9:$N$24,J$2,0)),0,VLOOKUP('Project Details by Yr - MASTER'!$B140,Bridges!$A$9:$N$24,J$2,0))+IF(ISNA(VLOOKUP('Project Details by Yr - MASTER'!$B140,'Parking Lots &amp; Playgrounds'!$A$9:$N$33,J$2,0)),0,VLOOKUP('Project Details by Yr - MASTER'!$B140,'Parking Lots &amp; Playgrounds'!$A$9:$N$33,J$2,0))+IF(ISNA(VLOOKUP($B140,Vehicles!$B$9:$O$50,J$2,0)),0,VLOOKUP($B140,Vehicles!$B$9:$O$50,J$2,0))</f>
        <v>0</v>
      </c>
      <c r="K140" s="8">
        <f>IF(ISNA(VLOOKUP($B140,'Other Capital Needs'!$C$51:$P$95,K$2,0)),0,VLOOKUP($B140,'Other Capital Needs'!$C$51:$P$95,K$2,0))+IF(ISNA(VLOOKUP('Project Details by Yr - MASTER'!$B140,'Public Grounds'!$A$11:$N$49,K$2,0)),0,VLOOKUP('Project Details by Yr - MASTER'!$B140,'Public Grounds'!$A$11:$N$49,K$2,0))+IF(ISNA(VLOOKUP('Project Details by Yr - MASTER'!$B140,'Public Buildings'!$A$10:$N$96,K$2,0)),0,VLOOKUP('Project Details by Yr - MASTER'!$B140,'Public Buildings'!$A$10:$N$96,K$2,0))+IF(ISNA(VLOOKUP('Project Details by Yr - MASTER'!$B140,Bridges!$A$9:$N$24,K$2,0)),0,VLOOKUP('Project Details by Yr - MASTER'!$B140,Bridges!$A$9:$N$24,K$2,0))+IF(ISNA(VLOOKUP('Project Details by Yr - MASTER'!$B140,'Parking Lots &amp; Playgrounds'!$A$9:$N$33,K$2,0)),0,VLOOKUP('Project Details by Yr - MASTER'!$B140,'Parking Lots &amp; Playgrounds'!$A$9:$N$33,K$2,0))+IF(ISNA(VLOOKUP($B140,Vehicles!$B$9:$O$50,K$2,0)),0,VLOOKUP($B140,Vehicles!$B$9:$O$50,K$2,0))</f>
        <v>0</v>
      </c>
    </row>
    <row r="141" spans="2:11" x14ac:dyDescent="0.25">
      <c r="B141" t="s">
        <v>97</v>
      </c>
      <c r="C141" t="s">
        <v>91</v>
      </c>
      <c r="D141" t="s">
        <v>271</v>
      </c>
      <c r="E141" s="1" t="s">
        <v>16</v>
      </c>
      <c r="G141" s="8">
        <f>IF(ISNA(VLOOKUP($B141,'Other Capital Needs'!$C$51:$P$95,G$2,0)),0,VLOOKUP($B141,'Other Capital Needs'!$C$51:$P$95,G$2,0))+IF(ISNA(VLOOKUP('Project Details by Yr - MASTER'!$B141,'Public Grounds'!$A$11:$N$49,G$2,0)),0,VLOOKUP('Project Details by Yr - MASTER'!$B141,'Public Grounds'!$A$11:$N$49,G$2,0))+IF(ISNA(VLOOKUP('Project Details by Yr - MASTER'!$B141,'Public Buildings'!$A$10:$N$96,G$2,0)),0,VLOOKUP('Project Details by Yr - MASTER'!$B141,'Public Buildings'!$A$10:$N$96,G$2,0))+IF(ISNA(VLOOKUP('Project Details by Yr - MASTER'!$B141,Bridges!$A$9:$N$24,G$2,0)),0,VLOOKUP('Project Details by Yr - MASTER'!$B141,Bridges!$A$9:$N$24,G$2,0))+IF(ISNA(VLOOKUP('Project Details by Yr - MASTER'!$B141,'Parking Lots &amp; Playgrounds'!$A$9:$N$33,G$2,0)),0,VLOOKUP('Project Details by Yr - MASTER'!$B141,'Parking Lots &amp; Playgrounds'!$A$9:$N$33,G$2,0))+IF(ISNA(VLOOKUP($B141,Vehicles!$B$9:$O$50,G$2,0)),0,VLOOKUP($B141,Vehicles!$B$9:$O$50,G$2,0))</f>
        <v>0</v>
      </c>
      <c r="H141" s="8">
        <f>IF(ISNA(VLOOKUP($B141,'Other Capital Needs'!$C$51:$P$95,H$2,0)),0,VLOOKUP($B141,'Other Capital Needs'!$C$51:$P$95,H$2,0))+IF(ISNA(VLOOKUP('Project Details by Yr - MASTER'!$B141,'Public Grounds'!$A$11:$N$49,H$2,0)),0,VLOOKUP('Project Details by Yr - MASTER'!$B141,'Public Grounds'!$A$11:$N$49,H$2,0))+IF(ISNA(VLOOKUP('Project Details by Yr - MASTER'!$B141,'Public Buildings'!$A$10:$N$96,H$2,0)),0,VLOOKUP('Project Details by Yr - MASTER'!$B141,'Public Buildings'!$A$10:$N$96,H$2,0))+IF(ISNA(VLOOKUP('Project Details by Yr - MASTER'!$B141,Bridges!$A$9:$N$24,H$2,0)),0,VLOOKUP('Project Details by Yr - MASTER'!$B141,Bridges!$A$9:$N$24,H$2,0))+IF(ISNA(VLOOKUP('Project Details by Yr - MASTER'!$B141,'Parking Lots &amp; Playgrounds'!$A$9:$N$33,H$2,0)),0,VLOOKUP('Project Details by Yr - MASTER'!$B141,'Parking Lots &amp; Playgrounds'!$A$9:$N$33,H$2,0))+IF(ISNA(VLOOKUP($B141,Vehicles!$B$9:$O$50,H$2,0)),0,VLOOKUP($B141,Vehicles!$B$9:$O$50,H$2,0))</f>
        <v>0</v>
      </c>
      <c r="I141" s="8">
        <f>IF(ISNA(VLOOKUP($B141,'Other Capital Needs'!$C$51:$P$95,I$2,0)),0,VLOOKUP($B141,'Other Capital Needs'!$C$51:$P$95,I$2,0))+IF(ISNA(VLOOKUP('Project Details by Yr - MASTER'!$B141,'Public Grounds'!$A$11:$N$49,I$2,0)),0,VLOOKUP('Project Details by Yr - MASTER'!$B141,'Public Grounds'!$A$11:$N$49,I$2,0))+IF(ISNA(VLOOKUP('Project Details by Yr - MASTER'!$B141,'Public Buildings'!$A$10:$N$96,I$2,0)),0,VLOOKUP('Project Details by Yr - MASTER'!$B141,'Public Buildings'!$A$10:$N$96,I$2,0))+IF(ISNA(VLOOKUP('Project Details by Yr - MASTER'!$B141,Bridges!$A$9:$N$24,I$2,0)),0,VLOOKUP('Project Details by Yr - MASTER'!$B141,Bridges!$A$9:$N$24,I$2,0))+IF(ISNA(VLOOKUP('Project Details by Yr - MASTER'!$B141,'Parking Lots &amp; Playgrounds'!$A$9:$N$33,I$2,0)),0,VLOOKUP('Project Details by Yr - MASTER'!$B141,'Parking Lots &amp; Playgrounds'!$A$9:$N$33,I$2,0))+IF(ISNA(VLOOKUP($B141,Vehicles!$B$9:$O$50,I$2,0)),0,VLOOKUP($B141,Vehicles!$B$9:$O$50,I$2,0))</f>
        <v>0</v>
      </c>
      <c r="J141" s="8">
        <f>IF(ISNA(VLOOKUP($B141,'Other Capital Needs'!$C$51:$P$95,J$2,0)),0,VLOOKUP($B141,'Other Capital Needs'!$C$51:$P$95,J$2,0))+IF(ISNA(VLOOKUP('Project Details by Yr - MASTER'!$B141,'Public Grounds'!$A$11:$N$49,J$2,0)),0,VLOOKUP('Project Details by Yr - MASTER'!$B141,'Public Grounds'!$A$11:$N$49,J$2,0))+IF(ISNA(VLOOKUP('Project Details by Yr - MASTER'!$B141,'Public Buildings'!$A$10:$N$96,J$2,0)),0,VLOOKUP('Project Details by Yr - MASTER'!$B141,'Public Buildings'!$A$10:$N$96,J$2,0))+IF(ISNA(VLOOKUP('Project Details by Yr - MASTER'!$B141,Bridges!$A$9:$N$24,J$2,0)),0,VLOOKUP('Project Details by Yr - MASTER'!$B141,Bridges!$A$9:$N$24,J$2,0))+IF(ISNA(VLOOKUP('Project Details by Yr - MASTER'!$B141,'Parking Lots &amp; Playgrounds'!$A$9:$N$33,J$2,0)),0,VLOOKUP('Project Details by Yr - MASTER'!$B141,'Parking Lots &amp; Playgrounds'!$A$9:$N$33,J$2,0))+IF(ISNA(VLOOKUP($B141,Vehicles!$B$9:$O$50,J$2,0)),0,VLOOKUP($B141,Vehicles!$B$9:$O$50,J$2,0))</f>
        <v>325000</v>
      </c>
      <c r="K141" s="8">
        <f>IF(ISNA(VLOOKUP($B141,'Other Capital Needs'!$C$51:$P$95,K$2,0)),0,VLOOKUP($B141,'Other Capital Needs'!$C$51:$P$95,K$2,0))+IF(ISNA(VLOOKUP('Project Details by Yr - MASTER'!$B141,'Public Grounds'!$A$11:$N$49,K$2,0)),0,VLOOKUP('Project Details by Yr - MASTER'!$B141,'Public Grounds'!$A$11:$N$49,K$2,0))+IF(ISNA(VLOOKUP('Project Details by Yr - MASTER'!$B141,'Public Buildings'!$A$10:$N$96,K$2,0)),0,VLOOKUP('Project Details by Yr - MASTER'!$B141,'Public Buildings'!$A$10:$N$96,K$2,0))+IF(ISNA(VLOOKUP('Project Details by Yr - MASTER'!$B141,Bridges!$A$9:$N$24,K$2,0)),0,VLOOKUP('Project Details by Yr - MASTER'!$B141,Bridges!$A$9:$N$24,K$2,0))+IF(ISNA(VLOOKUP('Project Details by Yr - MASTER'!$B141,'Parking Lots &amp; Playgrounds'!$A$9:$N$33,K$2,0)),0,VLOOKUP('Project Details by Yr - MASTER'!$B141,'Parking Lots &amp; Playgrounds'!$A$9:$N$33,K$2,0))+IF(ISNA(VLOOKUP($B141,Vehicles!$B$9:$O$50,K$2,0)),0,VLOOKUP($B141,Vehicles!$B$9:$O$50,K$2,0))</f>
        <v>0</v>
      </c>
    </row>
    <row r="142" spans="2:11" x14ac:dyDescent="0.25">
      <c r="B142" t="s">
        <v>85</v>
      </c>
      <c r="C142" t="s">
        <v>91</v>
      </c>
      <c r="D142" t="s">
        <v>271</v>
      </c>
      <c r="E142" s="1" t="s">
        <v>16</v>
      </c>
      <c r="G142" s="8">
        <f>IF(ISNA(VLOOKUP($B142,'Other Capital Needs'!$C$51:$P$95,G$2,0)),0,VLOOKUP($B142,'Other Capital Needs'!$C$51:$P$95,G$2,0))+IF(ISNA(VLOOKUP('Project Details by Yr - MASTER'!$B142,'Public Grounds'!$A$11:$N$49,G$2,0)),0,VLOOKUP('Project Details by Yr - MASTER'!$B142,'Public Grounds'!$A$11:$N$49,G$2,0))+IF(ISNA(VLOOKUP('Project Details by Yr - MASTER'!$B142,'Public Buildings'!$A$10:$N$96,G$2,0)),0,VLOOKUP('Project Details by Yr - MASTER'!$B142,'Public Buildings'!$A$10:$N$96,G$2,0))+IF(ISNA(VLOOKUP('Project Details by Yr - MASTER'!$B142,Bridges!$A$9:$N$24,G$2,0)),0,VLOOKUP('Project Details by Yr - MASTER'!$B142,Bridges!$A$9:$N$24,G$2,0))+IF(ISNA(VLOOKUP('Project Details by Yr - MASTER'!$B142,'Parking Lots &amp; Playgrounds'!$A$9:$N$33,G$2,0)),0,VLOOKUP('Project Details by Yr - MASTER'!$B142,'Parking Lots &amp; Playgrounds'!$A$9:$N$33,G$2,0))+IF(ISNA(VLOOKUP($B142,Vehicles!$B$9:$O$50,G$2,0)),0,VLOOKUP($B142,Vehicles!$B$9:$O$50,G$2,0))</f>
        <v>0</v>
      </c>
      <c r="H142" s="8">
        <f>IF(ISNA(VLOOKUP($B142,'Other Capital Needs'!$C$51:$P$95,H$2,0)),0,VLOOKUP($B142,'Other Capital Needs'!$C$51:$P$95,H$2,0))+IF(ISNA(VLOOKUP('Project Details by Yr - MASTER'!$B142,'Public Grounds'!$A$11:$N$49,H$2,0)),0,VLOOKUP('Project Details by Yr - MASTER'!$B142,'Public Grounds'!$A$11:$N$49,H$2,0))+IF(ISNA(VLOOKUP('Project Details by Yr - MASTER'!$B142,'Public Buildings'!$A$10:$N$96,H$2,0)),0,VLOOKUP('Project Details by Yr - MASTER'!$B142,'Public Buildings'!$A$10:$N$96,H$2,0))+IF(ISNA(VLOOKUP('Project Details by Yr - MASTER'!$B142,Bridges!$A$9:$N$24,H$2,0)),0,VLOOKUP('Project Details by Yr - MASTER'!$B142,Bridges!$A$9:$N$24,H$2,0))+IF(ISNA(VLOOKUP('Project Details by Yr - MASTER'!$B142,'Parking Lots &amp; Playgrounds'!$A$9:$N$33,H$2,0)),0,VLOOKUP('Project Details by Yr - MASTER'!$B142,'Parking Lots &amp; Playgrounds'!$A$9:$N$33,H$2,0))+IF(ISNA(VLOOKUP($B142,Vehicles!$B$9:$O$50,H$2,0)),0,VLOOKUP($B142,Vehicles!$B$9:$O$50,H$2,0))</f>
        <v>0</v>
      </c>
      <c r="I142" s="8">
        <f>IF(ISNA(VLOOKUP($B142,'Other Capital Needs'!$C$51:$P$95,I$2,0)),0,VLOOKUP($B142,'Other Capital Needs'!$C$51:$P$95,I$2,0))+IF(ISNA(VLOOKUP('Project Details by Yr - MASTER'!$B142,'Public Grounds'!$A$11:$N$49,I$2,0)),0,VLOOKUP('Project Details by Yr - MASTER'!$B142,'Public Grounds'!$A$11:$N$49,I$2,0))+IF(ISNA(VLOOKUP('Project Details by Yr - MASTER'!$B142,'Public Buildings'!$A$10:$N$96,I$2,0)),0,VLOOKUP('Project Details by Yr - MASTER'!$B142,'Public Buildings'!$A$10:$N$96,I$2,0))+IF(ISNA(VLOOKUP('Project Details by Yr - MASTER'!$B142,Bridges!$A$9:$N$24,I$2,0)),0,VLOOKUP('Project Details by Yr - MASTER'!$B142,Bridges!$A$9:$N$24,I$2,0))+IF(ISNA(VLOOKUP('Project Details by Yr - MASTER'!$B142,'Parking Lots &amp; Playgrounds'!$A$9:$N$33,I$2,0)),0,VLOOKUP('Project Details by Yr - MASTER'!$B142,'Parking Lots &amp; Playgrounds'!$A$9:$N$33,I$2,0))+IF(ISNA(VLOOKUP($B142,Vehicles!$B$9:$O$50,I$2,0)),0,VLOOKUP($B142,Vehicles!$B$9:$O$50,I$2,0))</f>
        <v>0</v>
      </c>
      <c r="J142" s="8">
        <f>IF(ISNA(VLOOKUP($B142,'Other Capital Needs'!$C$51:$P$95,J$2,0)),0,VLOOKUP($B142,'Other Capital Needs'!$C$51:$P$95,J$2,0))+IF(ISNA(VLOOKUP('Project Details by Yr - MASTER'!$B142,'Public Grounds'!$A$11:$N$49,J$2,0)),0,VLOOKUP('Project Details by Yr - MASTER'!$B142,'Public Grounds'!$A$11:$N$49,J$2,0))+IF(ISNA(VLOOKUP('Project Details by Yr - MASTER'!$B142,'Public Buildings'!$A$10:$N$96,J$2,0)),0,VLOOKUP('Project Details by Yr - MASTER'!$B142,'Public Buildings'!$A$10:$N$96,J$2,0))+IF(ISNA(VLOOKUP('Project Details by Yr - MASTER'!$B142,Bridges!$A$9:$N$24,J$2,0)),0,VLOOKUP('Project Details by Yr - MASTER'!$B142,Bridges!$A$9:$N$24,J$2,0))+IF(ISNA(VLOOKUP('Project Details by Yr - MASTER'!$B142,'Parking Lots &amp; Playgrounds'!$A$9:$N$33,J$2,0)),0,VLOOKUP('Project Details by Yr - MASTER'!$B142,'Parking Lots &amp; Playgrounds'!$A$9:$N$33,J$2,0))+IF(ISNA(VLOOKUP($B142,Vehicles!$B$9:$O$50,J$2,0)),0,VLOOKUP($B142,Vehicles!$B$9:$O$50,J$2,0))</f>
        <v>0</v>
      </c>
      <c r="K142" s="8">
        <f>IF(ISNA(VLOOKUP($B142,'Other Capital Needs'!$C$51:$P$95,K$2,0)),0,VLOOKUP($B142,'Other Capital Needs'!$C$51:$P$95,K$2,0))+IF(ISNA(VLOOKUP('Project Details by Yr - MASTER'!$B142,'Public Grounds'!$A$11:$N$49,K$2,0)),0,VLOOKUP('Project Details by Yr - MASTER'!$B142,'Public Grounds'!$A$11:$N$49,K$2,0))+IF(ISNA(VLOOKUP('Project Details by Yr - MASTER'!$B142,'Public Buildings'!$A$10:$N$96,K$2,0)),0,VLOOKUP('Project Details by Yr - MASTER'!$B142,'Public Buildings'!$A$10:$N$96,K$2,0))+IF(ISNA(VLOOKUP('Project Details by Yr - MASTER'!$B142,Bridges!$A$9:$N$24,K$2,0)),0,VLOOKUP('Project Details by Yr - MASTER'!$B142,Bridges!$A$9:$N$24,K$2,0))+IF(ISNA(VLOOKUP('Project Details by Yr - MASTER'!$B142,'Parking Lots &amp; Playgrounds'!$A$9:$N$33,K$2,0)),0,VLOOKUP('Project Details by Yr - MASTER'!$B142,'Parking Lots &amp; Playgrounds'!$A$9:$N$33,K$2,0))+IF(ISNA(VLOOKUP($B142,Vehicles!$B$9:$O$50,K$2,0)),0,VLOOKUP($B142,Vehicles!$B$9:$O$50,K$2,0))</f>
        <v>0</v>
      </c>
    </row>
    <row r="143" spans="2:11" x14ac:dyDescent="0.25">
      <c r="B143" t="s">
        <v>86</v>
      </c>
      <c r="C143" t="s">
        <v>91</v>
      </c>
      <c r="D143" t="s">
        <v>271</v>
      </c>
      <c r="E143" s="1" t="s">
        <v>16</v>
      </c>
      <c r="G143" s="8">
        <f>IF(ISNA(VLOOKUP($B143,'Other Capital Needs'!$C$51:$P$95,G$2,0)),0,VLOOKUP($B143,'Other Capital Needs'!$C$51:$P$95,G$2,0))+IF(ISNA(VLOOKUP('Project Details by Yr - MASTER'!$B143,'Public Grounds'!$A$11:$N$49,G$2,0)),0,VLOOKUP('Project Details by Yr - MASTER'!$B143,'Public Grounds'!$A$11:$N$49,G$2,0))+IF(ISNA(VLOOKUP('Project Details by Yr - MASTER'!$B143,'Public Buildings'!$A$10:$N$96,G$2,0)),0,VLOOKUP('Project Details by Yr - MASTER'!$B143,'Public Buildings'!$A$10:$N$96,G$2,0))+IF(ISNA(VLOOKUP('Project Details by Yr - MASTER'!$B143,Bridges!$A$9:$N$24,G$2,0)),0,VLOOKUP('Project Details by Yr - MASTER'!$B143,Bridges!$A$9:$N$24,G$2,0))+IF(ISNA(VLOOKUP('Project Details by Yr - MASTER'!$B143,'Parking Lots &amp; Playgrounds'!$A$9:$N$33,G$2,0)),0,VLOOKUP('Project Details by Yr - MASTER'!$B143,'Parking Lots &amp; Playgrounds'!$A$9:$N$33,G$2,0))+IF(ISNA(VLOOKUP($B143,Vehicles!$B$9:$O$50,G$2,0)),0,VLOOKUP($B143,Vehicles!$B$9:$O$50,G$2,0))</f>
        <v>0</v>
      </c>
      <c r="H143" s="8">
        <f>IF(ISNA(VLOOKUP($B143,'Other Capital Needs'!$C$51:$P$95,H$2,0)),0,VLOOKUP($B143,'Other Capital Needs'!$C$51:$P$95,H$2,0))+IF(ISNA(VLOOKUP('Project Details by Yr - MASTER'!$B143,'Public Grounds'!$A$11:$N$49,H$2,0)),0,VLOOKUP('Project Details by Yr - MASTER'!$B143,'Public Grounds'!$A$11:$N$49,H$2,0))+IF(ISNA(VLOOKUP('Project Details by Yr - MASTER'!$B143,'Public Buildings'!$A$10:$N$96,H$2,0)),0,VLOOKUP('Project Details by Yr - MASTER'!$B143,'Public Buildings'!$A$10:$N$96,H$2,0))+IF(ISNA(VLOOKUP('Project Details by Yr - MASTER'!$B143,Bridges!$A$9:$N$24,H$2,0)),0,VLOOKUP('Project Details by Yr - MASTER'!$B143,Bridges!$A$9:$N$24,H$2,0))+IF(ISNA(VLOOKUP('Project Details by Yr - MASTER'!$B143,'Parking Lots &amp; Playgrounds'!$A$9:$N$33,H$2,0)),0,VLOOKUP('Project Details by Yr - MASTER'!$B143,'Parking Lots &amp; Playgrounds'!$A$9:$N$33,H$2,0))+IF(ISNA(VLOOKUP($B143,Vehicles!$B$9:$O$50,H$2,0)),0,VLOOKUP($B143,Vehicles!$B$9:$O$50,H$2,0))</f>
        <v>0</v>
      </c>
      <c r="I143" s="8">
        <f>IF(ISNA(VLOOKUP($B143,'Other Capital Needs'!$C$51:$P$95,I$2,0)),0,VLOOKUP($B143,'Other Capital Needs'!$C$51:$P$95,I$2,0))+IF(ISNA(VLOOKUP('Project Details by Yr - MASTER'!$B143,'Public Grounds'!$A$11:$N$49,I$2,0)),0,VLOOKUP('Project Details by Yr - MASTER'!$B143,'Public Grounds'!$A$11:$N$49,I$2,0))+IF(ISNA(VLOOKUP('Project Details by Yr - MASTER'!$B143,'Public Buildings'!$A$10:$N$96,I$2,0)),0,VLOOKUP('Project Details by Yr - MASTER'!$B143,'Public Buildings'!$A$10:$N$96,I$2,0))+IF(ISNA(VLOOKUP('Project Details by Yr - MASTER'!$B143,Bridges!$A$9:$N$24,I$2,0)),0,VLOOKUP('Project Details by Yr - MASTER'!$B143,Bridges!$A$9:$N$24,I$2,0))+IF(ISNA(VLOOKUP('Project Details by Yr - MASTER'!$B143,'Parking Lots &amp; Playgrounds'!$A$9:$N$33,I$2,0)),0,VLOOKUP('Project Details by Yr - MASTER'!$B143,'Parking Lots &amp; Playgrounds'!$A$9:$N$33,I$2,0))+IF(ISNA(VLOOKUP($B143,Vehicles!$B$9:$O$50,I$2,0)),0,VLOOKUP($B143,Vehicles!$B$9:$O$50,I$2,0))</f>
        <v>0</v>
      </c>
      <c r="J143" s="8">
        <f>IF(ISNA(VLOOKUP($B143,'Other Capital Needs'!$C$51:$P$95,J$2,0)),0,VLOOKUP($B143,'Other Capital Needs'!$C$51:$P$95,J$2,0))+IF(ISNA(VLOOKUP('Project Details by Yr - MASTER'!$B143,'Public Grounds'!$A$11:$N$49,J$2,0)),0,VLOOKUP('Project Details by Yr - MASTER'!$B143,'Public Grounds'!$A$11:$N$49,J$2,0))+IF(ISNA(VLOOKUP('Project Details by Yr - MASTER'!$B143,'Public Buildings'!$A$10:$N$96,J$2,0)),0,VLOOKUP('Project Details by Yr - MASTER'!$B143,'Public Buildings'!$A$10:$N$96,J$2,0))+IF(ISNA(VLOOKUP('Project Details by Yr - MASTER'!$B143,Bridges!$A$9:$N$24,J$2,0)),0,VLOOKUP('Project Details by Yr - MASTER'!$B143,Bridges!$A$9:$N$24,J$2,0))+IF(ISNA(VLOOKUP('Project Details by Yr - MASTER'!$B143,'Parking Lots &amp; Playgrounds'!$A$9:$N$33,J$2,0)),0,VLOOKUP('Project Details by Yr - MASTER'!$B143,'Parking Lots &amp; Playgrounds'!$A$9:$N$33,J$2,0))+IF(ISNA(VLOOKUP($B143,Vehicles!$B$9:$O$50,J$2,0)),0,VLOOKUP($B143,Vehicles!$B$9:$O$50,J$2,0))</f>
        <v>0</v>
      </c>
      <c r="K143" s="8">
        <f>IF(ISNA(VLOOKUP($B143,'Other Capital Needs'!$C$51:$P$95,K$2,0)),0,VLOOKUP($B143,'Other Capital Needs'!$C$51:$P$95,K$2,0))+IF(ISNA(VLOOKUP('Project Details by Yr - MASTER'!$B143,'Public Grounds'!$A$11:$N$49,K$2,0)),0,VLOOKUP('Project Details by Yr - MASTER'!$B143,'Public Grounds'!$A$11:$N$49,K$2,0))+IF(ISNA(VLOOKUP('Project Details by Yr - MASTER'!$B143,'Public Buildings'!$A$10:$N$96,K$2,0)),0,VLOOKUP('Project Details by Yr - MASTER'!$B143,'Public Buildings'!$A$10:$N$96,K$2,0))+IF(ISNA(VLOOKUP('Project Details by Yr - MASTER'!$B143,Bridges!$A$9:$N$24,K$2,0)),0,VLOOKUP('Project Details by Yr - MASTER'!$B143,Bridges!$A$9:$N$24,K$2,0))+IF(ISNA(VLOOKUP('Project Details by Yr - MASTER'!$B143,'Parking Lots &amp; Playgrounds'!$A$9:$N$33,K$2,0)),0,VLOOKUP('Project Details by Yr - MASTER'!$B143,'Parking Lots &amp; Playgrounds'!$A$9:$N$33,K$2,0))+IF(ISNA(VLOOKUP($B143,Vehicles!$B$9:$O$50,K$2,0)),0,VLOOKUP($B143,Vehicles!$B$9:$O$50,K$2,0))</f>
        <v>0</v>
      </c>
    </row>
    <row r="144" spans="2:11" x14ac:dyDescent="0.25">
      <c r="B144" t="s">
        <v>90</v>
      </c>
      <c r="C144" t="s">
        <v>91</v>
      </c>
      <c r="D144" t="s">
        <v>271</v>
      </c>
      <c r="E144" s="1" t="s">
        <v>16</v>
      </c>
      <c r="G144" s="8">
        <f>IF(ISNA(VLOOKUP($B144,'Other Capital Needs'!$C$51:$P$95,G$2,0)),0,VLOOKUP($B144,'Other Capital Needs'!$C$51:$P$95,G$2,0))+IF(ISNA(VLOOKUP('Project Details by Yr - MASTER'!$B144,'Public Grounds'!$A$11:$N$49,G$2,0)),0,VLOOKUP('Project Details by Yr - MASTER'!$B144,'Public Grounds'!$A$11:$N$49,G$2,0))+IF(ISNA(VLOOKUP('Project Details by Yr - MASTER'!$B144,'Public Buildings'!$A$10:$N$96,G$2,0)),0,VLOOKUP('Project Details by Yr - MASTER'!$B144,'Public Buildings'!$A$10:$N$96,G$2,0))+IF(ISNA(VLOOKUP('Project Details by Yr - MASTER'!$B144,Bridges!$A$9:$N$24,G$2,0)),0,VLOOKUP('Project Details by Yr - MASTER'!$B144,Bridges!$A$9:$N$24,G$2,0))+IF(ISNA(VLOOKUP('Project Details by Yr - MASTER'!$B144,'Parking Lots &amp; Playgrounds'!$A$9:$N$33,G$2,0)),0,VLOOKUP('Project Details by Yr - MASTER'!$B144,'Parking Lots &amp; Playgrounds'!$A$9:$N$33,G$2,0))+IF(ISNA(VLOOKUP($B144,Vehicles!$B$9:$O$50,G$2,0)),0,VLOOKUP($B144,Vehicles!$B$9:$O$50,G$2,0))</f>
        <v>0</v>
      </c>
      <c r="H144" s="8">
        <f>IF(ISNA(VLOOKUP($B144,'Other Capital Needs'!$C$51:$P$95,H$2,0)),0,VLOOKUP($B144,'Other Capital Needs'!$C$51:$P$95,H$2,0))+IF(ISNA(VLOOKUP('Project Details by Yr - MASTER'!$B144,'Public Grounds'!$A$11:$N$49,H$2,0)),0,VLOOKUP('Project Details by Yr - MASTER'!$B144,'Public Grounds'!$A$11:$N$49,H$2,0))+IF(ISNA(VLOOKUP('Project Details by Yr - MASTER'!$B144,'Public Buildings'!$A$10:$N$96,H$2,0)),0,VLOOKUP('Project Details by Yr - MASTER'!$B144,'Public Buildings'!$A$10:$N$96,H$2,0))+IF(ISNA(VLOOKUP('Project Details by Yr - MASTER'!$B144,Bridges!$A$9:$N$24,H$2,0)),0,VLOOKUP('Project Details by Yr - MASTER'!$B144,Bridges!$A$9:$N$24,H$2,0))+IF(ISNA(VLOOKUP('Project Details by Yr - MASTER'!$B144,'Parking Lots &amp; Playgrounds'!$A$9:$N$33,H$2,0)),0,VLOOKUP('Project Details by Yr - MASTER'!$B144,'Parking Lots &amp; Playgrounds'!$A$9:$N$33,H$2,0))+IF(ISNA(VLOOKUP($B144,Vehicles!$B$9:$O$50,H$2,0)),0,VLOOKUP($B144,Vehicles!$B$9:$O$50,H$2,0))</f>
        <v>0</v>
      </c>
      <c r="I144" s="8">
        <f>IF(ISNA(VLOOKUP($B144,'Other Capital Needs'!$C$51:$P$95,I$2,0)),0,VLOOKUP($B144,'Other Capital Needs'!$C$51:$P$95,I$2,0))+IF(ISNA(VLOOKUP('Project Details by Yr - MASTER'!$B144,'Public Grounds'!$A$11:$N$49,I$2,0)),0,VLOOKUP('Project Details by Yr - MASTER'!$B144,'Public Grounds'!$A$11:$N$49,I$2,0))+IF(ISNA(VLOOKUP('Project Details by Yr - MASTER'!$B144,'Public Buildings'!$A$10:$N$96,I$2,0)),0,VLOOKUP('Project Details by Yr - MASTER'!$B144,'Public Buildings'!$A$10:$N$96,I$2,0))+IF(ISNA(VLOOKUP('Project Details by Yr - MASTER'!$B144,Bridges!$A$9:$N$24,I$2,0)),0,VLOOKUP('Project Details by Yr - MASTER'!$B144,Bridges!$A$9:$N$24,I$2,0))+IF(ISNA(VLOOKUP('Project Details by Yr - MASTER'!$B144,'Parking Lots &amp; Playgrounds'!$A$9:$N$33,I$2,0)),0,VLOOKUP('Project Details by Yr - MASTER'!$B144,'Parking Lots &amp; Playgrounds'!$A$9:$N$33,I$2,0))+IF(ISNA(VLOOKUP($B144,Vehicles!$B$9:$O$50,I$2,0)),0,VLOOKUP($B144,Vehicles!$B$9:$O$50,I$2,0))</f>
        <v>0</v>
      </c>
      <c r="J144" s="8">
        <f>IF(ISNA(VLOOKUP($B144,'Other Capital Needs'!$C$51:$P$95,J$2,0)),0,VLOOKUP($B144,'Other Capital Needs'!$C$51:$P$95,J$2,0))+IF(ISNA(VLOOKUP('Project Details by Yr - MASTER'!$B144,'Public Grounds'!$A$11:$N$49,J$2,0)),0,VLOOKUP('Project Details by Yr - MASTER'!$B144,'Public Grounds'!$A$11:$N$49,J$2,0))+IF(ISNA(VLOOKUP('Project Details by Yr - MASTER'!$B144,'Public Buildings'!$A$10:$N$96,J$2,0)),0,VLOOKUP('Project Details by Yr - MASTER'!$B144,'Public Buildings'!$A$10:$N$96,J$2,0))+IF(ISNA(VLOOKUP('Project Details by Yr - MASTER'!$B144,Bridges!$A$9:$N$24,J$2,0)),0,VLOOKUP('Project Details by Yr - MASTER'!$B144,Bridges!$A$9:$N$24,J$2,0))+IF(ISNA(VLOOKUP('Project Details by Yr - MASTER'!$B144,'Parking Lots &amp; Playgrounds'!$A$9:$N$33,J$2,0)),0,VLOOKUP('Project Details by Yr - MASTER'!$B144,'Parking Lots &amp; Playgrounds'!$A$9:$N$33,J$2,0))+IF(ISNA(VLOOKUP($B144,Vehicles!$B$9:$O$50,J$2,0)),0,VLOOKUP($B144,Vehicles!$B$9:$O$50,J$2,0))</f>
        <v>0</v>
      </c>
      <c r="K144" s="8">
        <f>IF(ISNA(VLOOKUP($B144,'Other Capital Needs'!$C$51:$P$95,K$2,0)),0,VLOOKUP($B144,'Other Capital Needs'!$C$51:$P$95,K$2,0))+IF(ISNA(VLOOKUP('Project Details by Yr - MASTER'!$B144,'Public Grounds'!$A$11:$N$49,K$2,0)),0,VLOOKUP('Project Details by Yr - MASTER'!$B144,'Public Grounds'!$A$11:$N$49,K$2,0))+IF(ISNA(VLOOKUP('Project Details by Yr - MASTER'!$B144,'Public Buildings'!$A$10:$N$96,K$2,0)),0,VLOOKUP('Project Details by Yr - MASTER'!$B144,'Public Buildings'!$A$10:$N$96,K$2,0))+IF(ISNA(VLOOKUP('Project Details by Yr - MASTER'!$B144,Bridges!$A$9:$N$24,K$2,0)),0,VLOOKUP('Project Details by Yr - MASTER'!$B144,Bridges!$A$9:$N$24,K$2,0))+IF(ISNA(VLOOKUP('Project Details by Yr - MASTER'!$B144,'Parking Lots &amp; Playgrounds'!$A$9:$N$33,K$2,0)),0,VLOOKUP('Project Details by Yr - MASTER'!$B144,'Parking Lots &amp; Playgrounds'!$A$9:$N$33,K$2,0))+IF(ISNA(VLOOKUP($B144,Vehicles!$B$9:$O$50,K$2,0)),0,VLOOKUP($B144,Vehicles!$B$9:$O$50,K$2,0))</f>
        <v>0</v>
      </c>
    </row>
    <row r="145" spans="2:11" x14ac:dyDescent="0.25">
      <c r="B145" t="s">
        <v>92</v>
      </c>
      <c r="C145" t="s">
        <v>91</v>
      </c>
      <c r="D145" t="s">
        <v>271</v>
      </c>
      <c r="E145" s="1" t="s">
        <v>16</v>
      </c>
      <c r="G145" s="8">
        <f>IF(ISNA(VLOOKUP($B145,'Other Capital Needs'!$C$51:$P$95,G$2,0)),0,VLOOKUP($B145,'Other Capital Needs'!$C$51:$P$95,G$2,0))+IF(ISNA(VLOOKUP('Project Details by Yr - MASTER'!$B145,'Public Grounds'!$A$11:$N$49,G$2,0)),0,VLOOKUP('Project Details by Yr - MASTER'!$B145,'Public Grounds'!$A$11:$N$49,G$2,0))+IF(ISNA(VLOOKUP('Project Details by Yr - MASTER'!$B145,'Public Buildings'!$A$10:$N$96,G$2,0)),0,VLOOKUP('Project Details by Yr - MASTER'!$B145,'Public Buildings'!$A$10:$N$96,G$2,0))+IF(ISNA(VLOOKUP('Project Details by Yr - MASTER'!$B145,Bridges!$A$9:$N$24,G$2,0)),0,VLOOKUP('Project Details by Yr - MASTER'!$B145,Bridges!$A$9:$N$24,G$2,0))+IF(ISNA(VLOOKUP('Project Details by Yr - MASTER'!$B145,'Parking Lots &amp; Playgrounds'!$A$9:$N$33,G$2,0)),0,VLOOKUP('Project Details by Yr - MASTER'!$B145,'Parking Lots &amp; Playgrounds'!$A$9:$N$33,G$2,0))+IF(ISNA(VLOOKUP($B145,Vehicles!$B$9:$O$50,G$2,0)),0,VLOOKUP($B145,Vehicles!$B$9:$O$50,G$2,0))</f>
        <v>0</v>
      </c>
      <c r="H145" s="8">
        <f>IF(ISNA(VLOOKUP($B145,'Other Capital Needs'!$C$51:$P$95,H$2,0)),0,VLOOKUP($B145,'Other Capital Needs'!$C$51:$P$95,H$2,0))+IF(ISNA(VLOOKUP('Project Details by Yr - MASTER'!$B145,'Public Grounds'!$A$11:$N$49,H$2,0)),0,VLOOKUP('Project Details by Yr - MASTER'!$B145,'Public Grounds'!$A$11:$N$49,H$2,0))+IF(ISNA(VLOOKUP('Project Details by Yr - MASTER'!$B145,'Public Buildings'!$A$10:$N$96,H$2,0)),0,VLOOKUP('Project Details by Yr - MASTER'!$B145,'Public Buildings'!$A$10:$N$96,H$2,0))+IF(ISNA(VLOOKUP('Project Details by Yr - MASTER'!$B145,Bridges!$A$9:$N$24,H$2,0)),0,VLOOKUP('Project Details by Yr - MASTER'!$B145,Bridges!$A$9:$N$24,H$2,0))+IF(ISNA(VLOOKUP('Project Details by Yr - MASTER'!$B145,'Parking Lots &amp; Playgrounds'!$A$9:$N$33,H$2,0)),0,VLOOKUP('Project Details by Yr - MASTER'!$B145,'Parking Lots &amp; Playgrounds'!$A$9:$N$33,H$2,0))+IF(ISNA(VLOOKUP($B145,Vehicles!$B$9:$O$50,H$2,0)),0,VLOOKUP($B145,Vehicles!$B$9:$O$50,H$2,0))</f>
        <v>0</v>
      </c>
      <c r="I145" s="8">
        <f>IF(ISNA(VLOOKUP($B145,'Other Capital Needs'!$C$51:$P$95,I$2,0)),0,VLOOKUP($B145,'Other Capital Needs'!$C$51:$P$95,I$2,0))+IF(ISNA(VLOOKUP('Project Details by Yr - MASTER'!$B145,'Public Grounds'!$A$11:$N$49,I$2,0)),0,VLOOKUP('Project Details by Yr - MASTER'!$B145,'Public Grounds'!$A$11:$N$49,I$2,0))+IF(ISNA(VLOOKUP('Project Details by Yr - MASTER'!$B145,'Public Buildings'!$A$10:$N$96,I$2,0)),0,VLOOKUP('Project Details by Yr - MASTER'!$B145,'Public Buildings'!$A$10:$N$96,I$2,0))+IF(ISNA(VLOOKUP('Project Details by Yr - MASTER'!$B145,Bridges!$A$9:$N$24,I$2,0)),0,VLOOKUP('Project Details by Yr - MASTER'!$B145,Bridges!$A$9:$N$24,I$2,0))+IF(ISNA(VLOOKUP('Project Details by Yr - MASTER'!$B145,'Parking Lots &amp; Playgrounds'!$A$9:$N$33,I$2,0)),0,VLOOKUP('Project Details by Yr - MASTER'!$B145,'Parking Lots &amp; Playgrounds'!$A$9:$N$33,I$2,0))+IF(ISNA(VLOOKUP($B145,Vehicles!$B$9:$O$50,I$2,0)),0,VLOOKUP($B145,Vehicles!$B$9:$O$50,I$2,0))</f>
        <v>0</v>
      </c>
      <c r="J145" s="8">
        <f>IF(ISNA(VLOOKUP($B145,'Other Capital Needs'!$C$51:$P$95,J$2,0)),0,VLOOKUP($B145,'Other Capital Needs'!$C$51:$P$95,J$2,0))+IF(ISNA(VLOOKUP('Project Details by Yr - MASTER'!$B145,'Public Grounds'!$A$11:$N$49,J$2,0)),0,VLOOKUP('Project Details by Yr - MASTER'!$B145,'Public Grounds'!$A$11:$N$49,J$2,0))+IF(ISNA(VLOOKUP('Project Details by Yr - MASTER'!$B145,'Public Buildings'!$A$10:$N$96,J$2,0)),0,VLOOKUP('Project Details by Yr - MASTER'!$B145,'Public Buildings'!$A$10:$N$96,J$2,0))+IF(ISNA(VLOOKUP('Project Details by Yr - MASTER'!$B145,Bridges!$A$9:$N$24,J$2,0)),0,VLOOKUP('Project Details by Yr - MASTER'!$B145,Bridges!$A$9:$N$24,J$2,0))+IF(ISNA(VLOOKUP('Project Details by Yr - MASTER'!$B145,'Parking Lots &amp; Playgrounds'!$A$9:$N$33,J$2,0)),0,VLOOKUP('Project Details by Yr - MASTER'!$B145,'Parking Lots &amp; Playgrounds'!$A$9:$N$33,J$2,0))+IF(ISNA(VLOOKUP($B145,Vehicles!$B$9:$O$50,J$2,0)),0,VLOOKUP($B145,Vehicles!$B$9:$O$50,J$2,0))</f>
        <v>0</v>
      </c>
      <c r="K145" s="8">
        <f>IF(ISNA(VLOOKUP($B145,'Other Capital Needs'!$C$51:$P$95,K$2,0)),0,VLOOKUP($B145,'Other Capital Needs'!$C$51:$P$95,K$2,0))+IF(ISNA(VLOOKUP('Project Details by Yr - MASTER'!$B145,'Public Grounds'!$A$11:$N$49,K$2,0)),0,VLOOKUP('Project Details by Yr - MASTER'!$B145,'Public Grounds'!$A$11:$N$49,K$2,0))+IF(ISNA(VLOOKUP('Project Details by Yr - MASTER'!$B145,'Public Buildings'!$A$10:$N$96,K$2,0)),0,VLOOKUP('Project Details by Yr - MASTER'!$B145,'Public Buildings'!$A$10:$N$96,K$2,0))+IF(ISNA(VLOOKUP('Project Details by Yr - MASTER'!$B145,Bridges!$A$9:$N$24,K$2,0)),0,VLOOKUP('Project Details by Yr - MASTER'!$B145,Bridges!$A$9:$N$24,K$2,0))+IF(ISNA(VLOOKUP('Project Details by Yr - MASTER'!$B145,'Parking Lots &amp; Playgrounds'!$A$9:$N$33,K$2,0)),0,VLOOKUP('Project Details by Yr - MASTER'!$B145,'Parking Lots &amp; Playgrounds'!$A$9:$N$33,K$2,0))+IF(ISNA(VLOOKUP($B145,Vehicles!$B$9:$O$50,K$2,0)),0,VLOOKUP($B145,Vehicles!$B$9:$O$50,K$2,0))</f>
        <v>0</v>
      </c>
    </row>
    <row r="146" spans="2:11" x14ac:dyDescent="0.25">
      <c r="B146" t="s">
        <v>93</v>
      </c>
      <c r="C146" t="s">
        <v>91</v>
      </c>
      <c r="D146" t="s">
        <v>271</v>
      </c>
      <c r="E146" s="1" t="s">
        <v>16</v>
      </c>
      <c r="G146" s="8">
        <f>IF(ISNA(VLOOKUP($B146,'Other Capital Needs'!$C$51:$P$95,G$2,0)),0,VLOOKUP($B146,'Other Capital Needs'!$C$51:$P$95,G$2,0))+IF(ISNA(VLOOKUP('Project Details by Yr - MASTER'!$B146,'Public Grounds'!$A$11:$N$49,G$2,0)),0,VLOOKUP('Project Details by Yr - MASTER'!$B146,'Public Grounds'!$A$11:$N$49,G$2,0))+IF(ISNA(VLOOKUP('Project Details by Yr - MASTER'!$B146,'Public Buildings'!$A$10:$N$96,G$2,0)),0,VLOOKUP('Project Details by Yr - MASTER'!$B146,'Public Buildings'!$A$10:$N$96,G$2,0))+IF(ISNA(VLOOKUP('Project Details by Yr - MASTER'!$B146,Bridges!$A$9:$N$24,G$2,0)),0,VLOOKUP('Project Details by Yr - MASTER'!$B146,Bridges!$A$9:$N$24,G$2,0))+IF(ISNA(VLOOKUP('Project Details by Yr - MASTER'!$B146,'Parking Lots &amp; Playgrounds'!$A$9:$N$33,G$2,0)),0,VLOOKUP('Project Details by Yr - MASTER'!$B146,'Parking Lots &amp; Playgrounds'!$A$9:$N$33,G$2,0))+IF(ISNA(VLOOKUP($B146,Vehicles!$B$9:$O$50,G$2,0)),0,VLOOKUP($B146,Vehicles!$B$9:$O$50,G$2,0))</f>
        <v>0</v>
      </c>
      <c r="H146" s="8">
        <f>IF(ISNA(VLOOKUP($B146,'Other Capital Needs'!$C$51:$P$95,H$2,0)),0,VLOOKUP($B146,'Other Capital Needs'!$C$51:$P$95,H$2,0))+IF(ISNA(VLOOKUP('Project Details by Yr - MASTER'!$B146,'Public Grounds'!$A$11:$N$49,H$2,0)),0,VLOOKUP('Project Details by Yr - MASTER'!$B146,'Public Grounds'!$A$11:$N$49,H$2,0))+IF(ISNA(VLOOKUP('Project Details by Yr - MASTER'!$B146,'Public Buildings'!$A$10:$N$96,H$2,0)),0,VLOOKUP('Project Details by Yr - MASTER'!$B146,'Public Buildings'!$A$10:$N$96,H$2,0))+IF(ISNA(VLOOKUP('Project Details by Yr - MASTER'!$B146,Bridges!$A$9:$N$24,H$2,0)),0,VLOOKUP('Project Details by Yr - MASTER'!$B146,Bridges!$A$9:$N$24,H$2,0))+IF(ISNA(VLOOKUP('Project Details by Yr - MASTER'!$B146,'Parking Lots &amp; Playgrounds'!$A$9:$N$33,H$2,0)),0,VLOOKUP('Project Details by Yr - MASTER'!$B146,'Parking Lots &amp; Playgrounds'!$A$9:$N$33,H$2,0))+IF(ISNA(VLOOKUP($B146,Vehicles!$B$9:$O$50,H$2,0)),0,VLOOKUP($B146,Vehicles!$B$9:$O$50,H$2,0))</f>
        <v>0</v>
      </c>
      <c r="I146" s="8">
        <f>IF(ISNA(VLOOKUP($B146,'Other Capital Needs'!$C$51:$P$95,I$2,0)),0,VLOOKUP($B146,'Other Capital Needs'!$C$51:$P$95,I$2,0))+IF(ISNA(VLOOKUP('Project Details by Yr - MASTER'!$B146,'Public Grounds'!$A$11:$N$49,I$2,0)),0,VLOOKUP('Project Details by Yr - MASTER'!$B146,'Public Grounds'!$A$11:$N$49,I$2,0))+IF(ISNA(VLOOKUP('Project Details by Yr - MASTER'!$B146,'Public Buildings'!$A$10:$N$96,I$2,0)),0,VLOOKUP('Project Details by Yr - MASTER'!$B146,'Public Buildings'!$A$10:$N$96,I$2,0))+IF(ISNA(VLOOKUP('Project Details by Yr - MASTER'!$B146,Bridges!$A$9:$N$24,I$2,0)),0,VLOOKUP('Project Details by Yr - MASTER'!$B146,Bridges!$A$9:$N$24,I$2,0))+IF(ISNA(VLOOKUP('Project Details by Yr - MASTER'!$B146,'Parking Lots &amp; Playgrounds'!$A$9:$N$33,I$2,0)),0,VLOOKUP('Project Details by Yr - MASTER'!$B146,'Parking Lots &amp; Playgrounds'!$A$9:$N$33,I$2,0))+IF(ISNA(VLOOKUP($B146,Vehicles!$B$9:$O$50,I$2,0)),0,VLOOKUP($B146,Vehicles!$B$9:$O$50,I$2,0))</f>
        <v>0</v>
      </c>
      <c r="J146" s="8">
        <f>IF(ISNA(VLOOKUP($B146,'Other Capital Needs'!$C$51:$P$95,J$2,0)),0,VLOOKUP($B146,'Other Capital Needs'!$C$51:$P$95,J$2,0))+IF(ISNA(VLOOKUP('Project Details by Yr - MASTER'!$B146,'Public Grounds'!$A$11:$N$49,J$2,0)),0,VLOOKUP('Project Details by Yr - MASTER'!$B146,'Public Grounds'!$A$11:$N$49,J$2,0))+IF(ISNA(VLOOKUP('Project Details by Yr - MASTER'!$B146,'Public Buildings'!$A$10:$N$96,J$2,0)),0,VLOOKUP('Project Details by Yr - MASTER'!$B146,'Public Buildings'!$A$10:$N$96,J$2,0))+IF(ISNA(VLOOKUP('Project Details by Yr - MASTER'!$B146,Bridges!$A$9:$N$24,J$2,0)),0,VLOOKUP('Project Details by Yr - MASTER'!$B146,Bridges!$A$9:$N$24,J$2,0))+IF(ISNA(VLOOKUP('Project Details by Yr - MASTER'!$B146,'Parking Lots &amp; Playgrounds'!$A$9:$N$33,J$2,0)),0,VLOOKUP('Project Details by Yr - MASTER'!$B146,'Parking Lots &amp; Playgrounds'!$A$9:$N$33,J$2,0))+IF(ISNA(VLOOKUP($B146,Vehicles!$B$9:$O$50,J$2,0)),0,VLOOKUP($B146,Vehicles!$B$9:$O$50,J$2,0))</f>
        <v>0</v>
      </c>
      <c r="K146" s="8">
        <f>IF(ISNA(VLOOKUP($B146,'Other Capital Needs'!$C$51:$P$95,K$2,0)),0,VLOOKUP($B146,'Other Capital Needs'!$C$51:$P$95,K$2,0))+IF(ISNA(VLOOKUP('Project Details by Yr - MASTER'!$B146,'Public Grounds'!$A$11:$N$49,K$2,0)),0,VLOOKUP('Project Details by Yr - MASTER'!$B146,'Public Grounds'!$A$11:$N$49,K$2,0))+IF(ISNA(VLOOKUP('Project Details by Yr - MASTER'!$B146,'Public Buildings'!$A$10:$N$96,K$2,0)),0,VLOOKUP('Project Details by Yr - MASTER'!$B146,'Public Buildings'!$A$10:$N$96,K$2,0))+IF(ISNA(VLOOKUP('Project Details by Yr - MASTER'!$B146,Bridges!$A$9:$N$24,K$2,0)),0,VLOOKUP('Project Details by Yr - MASTER'!$B146,Bridges!$A$9:$N$24,K$2,0))+IF(ISNA(VLOOKUP('Project Details by Yr - MASTER'!$B146,'Parking Lots &amp; Playgrounds'!$A$9:$N$33,K$2,0)),0,VLOOKUP('Project Details by Yr - MASTER'!$B146,'Parking Lots &amp; Playgrounds'!$A$9:$N$33,K$2,0))+IF(ISNA(VLOOKUP($B146,Vehicles!$B$9:$O$50,K$2,0)),0,VLOOKUP($B146,Vehicles!$B$9:$O$50,K$2,0))</f>
        <v>0</v>
      </c>
    </row>
    <row r="147" spans="2:11" x14ac:dyDescent="0.25">
      <c r="B147" t="s">
        <v>94</v>
      </c>
      <c r="C147" t="s">
        <v>91</v>
      </c>
      <c r="D147" t="s">
        <v>271</v>
      </c>
      <c r="E147" s="1" t="s">
        <v>16</v>
      </c>
      <c r="G147" s="8">
        <f>IF(ISNA(VLOOKUP($B147,'Other Capital Needs'!$C$51:$P$95,G$2,0)),0,VLOOKUP($B147,'Other Capital Needs'!$C$51:$P$95,G$2,0))+IF(ISNA(VLOOKUP('Project Details by Yr - MASTER'!$B147,'Public Grounds'!$A$11:$N$49,G$2,0)),0,VLOOKUP('Project Details by Yr - MASTER'!$B147,'Public Grounds'!$A$11:$N$49,G$2,0))+IF(ISNA(VLOOKUP('Project Details by Yr - MASTER'!$B147,'Public Buildings'!$A$10:$N$96,G$2,0)),0,VLOOKUP('Project Details by Yr - MASTER'!$B147,'Public Buildings'!$A$10:$N$96,G$2,0))+IF(ISNA(VLOOKUP('Project Details by Yr - MASTER'!$B147,Bridges!$A$9:$N$24,G$2,0)),0,VLOOKUP('Project Details by Yr - MASTER'!$B147,Bridges!$A$9:$N$24,G$2,0))+IF(ISNA(VLOOKUP('Project Details by Yr - MASTER'!$B147,'Parking Lots &amp; Playgrounds'!$A$9:$N$33,G$2,0)),0,VLOOKUP('Project Details by Yr - MASTER'!$B147,'Parking Lots &amp; Playgrounds'!$A$9:$N$33,G$2,0))+IF(ISNA(VLOOKUP($B147,Vehicles!$B$9:$O$50,G$2,0)),0,VLOOKUP($B147,Vehicles!$B$9:$O$50,G$2,0))</f>
        <v>0</v>
      </c>
      <c r="H147" s="8">
        <f>IF(ISNA(VLOOKUP($B147,'Other Capital Needs'!$C$51:$P$95,H$2,0)),0,VLOOKUP($B147,'Other Capital Needs'!$C$51:$P$95,H$2,0))+IF(ISNA(VLOOKUP('Project Details by Yr - MASTER'!$B147,'Public Grounds'!$A$11:$N$49,H$2,0)),0,VLOOKUP('Project Details by Yr - MASTER'!$B147,'Public Grounds'!$A$11:$N$49,H$2,0))+IF(ISNA(VLOOKUP('Project Details by Yr - MASTER'!$B147,'Public Buildings'!$A$10:$N$96,H$2,0)),0,VLOOKUP('Project Details by Yr - MASTER'!$B147,'Public Buildings'!$A$10:$N$96,H$2,0))+IF(ISNA(VLOOKUP('Project Details by Yr - MASTER'!$B147,Bridges!$A$9:$N$24,H$2,0)),0,VLOOKUP('Project Details by Yr - MASTER'!$B147,Bridges!$A$9:$N$24,H$2,0))+IF(ISNA(VLOOKUP('Project Details by Yr - MASTER'!$B147,'Parking Lots &amp; Playgrounds'!$A$9:$N$33,H$2,0)),0,VLOOKUP('Project Details by Yr - MASTER'!$B147,'Parking Lots &amp; Playgrounds'!$A$9:$N$33,H$2,0))+IF(ISNA(VLOOKUP($B147,Vehicles!$B$9:$O$50,H$2,0)),0,VLOOKUP($B147,Vehicles!$B$9:$O$50,H$2,0))</f>
        <v>0</v>
      </c>
      <c r="I147" s="8">
        <f>IF(ISNA(VLOOKUP($B147,'Other Capital Needs'!$C$51:$P$95,I$2,0)),0,VLOOKUP($B147,'Other Capital Needs'!$C$51:$P$95,I$2,0))+IF(ISNA(VLOOKUP('Project Details by Yr - MASTER'!$B147,'Public Grounds'!$A$11:$N$49,I$2,0)),0,VLOOKUP('Project Details by Yr - MASTER'!$B147,'Public Grounds'!$A$11:$N$49,I$2,0))+IF(ISNA(VLOOKUP('Project Details by Yr - MASTER'!$B147,'Public Buildings'!$A$10:$N$96,I$2,0)),0,VLOOKUP('Project Details by Yr - MASTER'!$B147,'Public Buildings'!$A$10:$N$96,I$2,0))+IF(ISNA(VLOOKUP('Project Details by Yr - MASTER'!$B147,Bridges!$A$9:$N$24,I$2,0)),0,VLOOKUP('Project Details by Yr - MASTER'!$B147,Bridges!$A$9:$N$24,I$2,0))+IF(ISNA(VLOOKUP('Project Details by Yr - MASTER'!$B147,'Parking Lots &amp; Playgrounds'!$A$9:$N$33,I$2,0)),0,VLOOKUP('Project Details by Yr - MASTER'!$B147,'Parking Lots &amp; Playgrounds'!$A$9:$N$33,I$2,0))+IF(ISNA(VLOOKUP($B147,Vehicles!$B$9:$O$50,I$2,0)),0,VLOOKUP($B147,Vehicles!$B$9:$O$50,I$2,0))</f>
        <v>0</v>
      </c>
      <c r="J147" s="8">
        <f>IF(ISNA(VLOOKUP($B147,'Other Capital Needs'!$C$51:$P$95,J$2,0)),0,VLOOKUP($B147,'Other Capital Needs'!$C$51:$P$95,J$2,0))+IF(ISNA(VLOOKUP('Project Details by Yr - MASTER'!$B147,'Public Grounds'!$A$11:$N$49,J$2,0)),0,VLOOKUP('Project Details by Yr - MASTER'!$B147,'Public Grounds'!$A$11:$N$49,J$2,0))+IF(ISNA(VLOOKUP('Project Details by Yr - MASTER'!$B147,'Public Buildings'!$A$10:$N$96,J$2,0)),0,VLOOKUP('Project Details by Yr - MASTER'!$B147,'Public Buildings'!$A$10:$N$96,J$2,0))+IF(ISNA(VLOOKUP('Project Details by Yr - MASTER'!$B147,Bridges!$A$9:$N$24,J$2,0)),0,VLOOKUP('Project Details by Yr - MASTER'!$B147,Bridges!$A$9:$N$24,J$2,0))+IF(ISNA(VLOOKUP('Project Details by Yr - MASTER'!$B147,'Parking Lots &amp; Playgrounds'!$A$9:$N$33,J$2,0)),0,VLOOKUP('Project Details by Yr - MASTER'!$B147,'Parking Lots &amp; Playgrounds'!$A$9:$N$33,J$2,0))+IF(ISNA(VLOOKUP($B147,Vehicles!$B$9:$O$50,J$2,0)),0,VLOOKUP($B147,Vehicles!$B$9:$O$50,J$2,0))</f>
        <v>0</v>
      </c>
      <c r="K147" s="8">
        <f>IF(ISNA(VLOOKUP($B147,'Other Capital Needs'!$C$51:$P$95,K$2,0)),0,VLOOKUP($B147,'Other Capital Needs'!$C$51:$P$95,K$2,0))+IF(ISNA(VLOOKUP('Project Details by Yr - MASTER'!$B147,'Public Grounds'!$A$11:$N$49,K$2,0)),0,VLOOKUP('Project Details by Yr - MASTER'!$B147,'Public Grounds'!$A$11:$N$49,K$2,0))+IF(ISNA(VLOOKUP('Project Details by Yr - MASTER'!$B147,'Public Buildings'!$A$10:$N$96,K$2,0)),0,VLOOKUP('Project Details by Yr - MASTER'!$B147,'Public Buildings'!$A$10:$N$96,K$2,0))+IF(ISNA(VLOOKUP('Project Details by Yr - MASTER'!$B147,Bridges!$A$9:$N$24,K$2,0)),0,VLOOKUP('Project Details by Yr - MASTER'!$B147,Bridges!$A$9:$N$24,K$2,0))+IF(ISNA(VLOOKUP('Project Details by Yr - MASTER'!$B147,'Parking Lots &amp; Playgrounds'!$A$9:$N$33,K$2,0)),0,VLOOKUP('Project Details by Yr - MASTER'!$B147,'Parking Lots &amp; Playgrounds'!$A$9:$N$33,K$2,0))+IF(ISNA(VLOOKUP($B147,Vehicles!$B$9:$O$50,K$2,0)),0,VLOOKUP($B147,Vehicles!$B$9:$O$50,K$2,0))</f>
        <v>0</v>
      </c>
    </row>
    <row r="148" spans="2:11" x14ac:dyDescent="0.25">
      <c r="B148" t="s">
        <v>88</v>
      </c>
      <c r="C148" t="s">
        <v>91</v>
      </c>
      <c r="D148" t="s">
        <v>272</v>
      </c>
      <c r="E148" s="1" t="s">
        <v>16</v>
      </c>
      <c r="G148" s="8">
        <f>IF(ISNA(VLOOKUP($B148,'Other Capital Needs'!$C$51:$P$95,G$2,0)),0,VLOOKUP($B148,'Other Capital Needs'!$C$51:$P$95,G$2,0))+IF(ISNA(VLOOKUP('Project Details by Yr - MASTER'!$B148,'Public Grounds'!$A$11:$N$49,G$2,0)),0,VLOOKUP('Project Details by Yr - MASTER'!$B148,'Public Grounds'!$A$11:$N$49,G$2,0))+IF(ISNA(VLOOKUP('Project Details by Yr - MASTER'!$B148,'Public Buildings'!$A$10:$N$96,G$2,0)),0,VLOOKUP('Project Details by Yr - MASTER'!$B148,'Public Buildings'!$A$10:$N$96,G$2,0))+IF(ISNA(VLOOKUP('Project Details by Yr - MASTER'!$B148,Bridges!$A$9:$N$24,G$2,0)),0,VLOOKUP('Project Details by Yr - MASTER'!$B148,Bridges!$A$9:$N$24,G$2,0))+IF(ISNA(VLOOKUP('Project Details by Yr - MASTER'!$B148,'Parking Lots &amp; Playgrounds'!$A$9:$N$33,G$2,0)),0,VLOOKUP('Project Details by Yr - MASTER'!$B148,'Parking Lots &amp; Playgrounds'!$A$9:$N$33,G$2,0))+IF(ISNA(VLOOKUP($B148,Vehicles!$B$9:$O$50,G$2,0)),0,VLOOKUP($B148,Vehicles!$B$9:$O$50,G$2,0))</f>
        <v>210000</v>
      </c>
      <c r="H148" s="8">
        <f>IF(ISNA(VLOOKUP($B148,'Other Capital Needs'!$C$51:$P$95,H$2,0)),0,VLOOKUP($B148,'Other Capital Needs'!$C$51:$P$95,H$2,0))+IF(ISNA(VLOOKUP('Project Details by Yr - MASTER'!$B148,'Public Grounds'!$A$11:$N$49,H$2,0)),0,VLOOKUP('Project Details by Yr - MASTER'!$B148,'Public Grounds'!$A$11:$N$49,H$2,0))+IF(ISNA(VLOOKUP('Project Details by Yr - MASTER'!$B148,'Public Buildings'!$A$10:$N$96,H$2,0)),0,VLOOKUP('Project Details by Yr - MASTER'!$B148,'Public Buildings'!$A$10:$N$96,H$2,0))+IF(ISNA(VLOOKUP('Project Details by Yr - MASTER'!$B148,Bridges!$A$9:$N$24,H$2,0)),0,VLOOKUP('Project Details by Yr - MASTER'!$B148,Bridges!$A$9:$N$24,H$2,0))+IF(ISNA(VLOOKUP('Project Details by Yr - MASTER'!$B148,'Parking Lots &amp; Playgrounds'!$A$9:$N$33,H$2,0)),0,VLOOKUP('Project Details by Yr - MASTER'!$B148,'Parking Lots &amp; Playgrounds'!$A$9:$N$33,H$2,0))+IF(ISNA(VLOOKUP($B148,Vehicles!$B$9:$O$50,H$2,0)),0,VLOOKUP($B148,Vehicles!$B$9:$O$50,H$2,0))</f>
        <v>0</v>
      </c>
      <c r="I148" s="8">
        <f>IF(ISNA(VLOOKUP($B148,'Other Capital Needs'!$C$51:$P$95,I$2,0)),0,VLOOKUP($B148,'Other Capital Needs'!$C$51:$P$95,I$2,0))+IF(ISNA(VLOOKUP('Project Details by Yr - MASTER'!$B148,'Public Grounds'!$A$11:$N$49,I$2,0)),0,VLOOKUP('Project Details by Yr - MASTER'!$B148,'Public Grounds'!$A$11:$N$49,I$2,0))+IF(ISNA(VLOOKUP('Project Details by Yr - MASTER'!$B148,'Public Buildings'!$A$10:$N$96,I$2,0)),0,VLOOKUP('Project Details by Yr - MASTER'!$B148,'Public Buildings'!$A$10:$N$96,I$2,0))+IF(ISNA(VLOOKUP('Project Details by Yr - MASTER'!$B148,Bridges!$A$9:$N$24,I$2,0)),0,VLOOKUP('Project Details by Yr - MASTER'!$B148,Bridges!$A$9:$N$24,I$2,0))+IF(ISNA(VLOOKUP('Project Details by Yr - MASTER'!$B148,'Parking Lots &amp; Playgrounds'!$A$9:$N$33,I$2,0)),0,VLOOKUP('Project Details by Yr - MASTER'!$B148,'Parking Lots &amp; Playgrounds'!$A$9:$N$33,I$2,0))+IF(ISNA(VLOOKUP($B148,Vehicles!$B$9:$O$50,I$2,0)),0,VLOOKUP($B148,Vehicles!$B$9:$O$50,I$2,0))</f>
        <v>0</v>
      </c>
      <c r="J148" s="8">
        <f>IF(ISNA(VLOOKUP($B148,'Other Capital Needs'!$C$51:$P$95,J$2,0)),0,VLOOKUP($B148,'Other Capital Needs'!$C$51:$P$95,J$2,0))+IF(ISNA(VLOOKUP('Project Details by Yr - MASTER'!$B148,'Public Grounds'!$A$11:$N$49,J$2,0)),0,VLOOKUP('Project Details by Yr - MASTER'!$B148,'Public Grounds'!$A$11:$N$49,J$2,0))+IF(ISNA(VLOOKUP('Project Details by Yr - MASTER'!$B148,'Public Buildings'!$A$10:$N$96,J$2,0)),0,VLOOKUP('Project Details by Yr - MASTER'!$B148,'Public Buildings'!$A$10:$N$96,J$2,0))+IF(ISNA(VLOOKUP('Project Details by Yr - MASTER'!$B148,Bridges!$A$9:$N$24,J$2,0)),0,VLOOKUP('Project Details by Yr - MASTER'!$B148,Bridges!$A$9:$N$24,J$2,0))+IF(ISNA(VLOOKUP('Project Details by Yr - MASTER'!$B148,'Parking Lots &amp; Playgrounds'!$A$9:$N$33,J$2,0)),0,VLOOKUP('Project Details by Yr - MASTER'!$B148,'Parking Lots &amp; Playgrounds'!$A$9:$N$33,J$2,0))+IF(ISNA(VLOOKUP($B148,Vehicles!$B$9:$O$50,J$2,0)),0,VLOOKUP($B148,Vehicles!$B$9:$O$50,J$2,0))</f>
        <v>0</v>
      </c>
      <c r="K148" s="8">
        <f>IF(ISNA(VLOOKUP($B148,'Other Capital Needs'!$C$51:$P$95,K$2,0)),0,VLOOKUP($B148,'Other Capital Needs'!$C$51:$P$95,K$2,0))+IF(ISNA(VLOOKUP('Project Details by Yr - MASTER'!$B148,'Public Grounds'!$A$11:$N$49,K$2,0)),0,VLOOKUP('Project Details by Yr - MASTER'!$B148,'Public Grounds'!$A$11:$N$49,K$2,0))+IF(ISNA(VLOOKUP('Project Details by Yr - MASTER'!$B148,'Public Buildings'!$A$10:$N$96,K$2,0)),0,VLOOKUP('Project Details by Yr - MASTER'!$B148,'Public Buildings'!$A$10:$N$96,K$2,0))+IF(ISNA(VLOOKUP('Project Details by Yr - MASTER'!$B148,Bridges!$A$9:$N$24,K$2,0)),0,VLOOKUP('Project Details by Yr - MASTER'!$B148,Bridges!$A$9:$N$24,K$2,0))+IF(ISNA(VLOOKUP('Project Details by Yr - MASTER'!$B148,'Parking Lots &amp; Playgrounds'!$A$9:$N$33,K$2,0)),0,VLOOKUP('Project Details by Yr - MASTER'!$B148,'Parking Lots &amp; Playgrounds'!$A$9:$N$33,K$2,0))+IF(ISNA(VLOOKUP($B148,Vehicles!$B$9:$O$50,K$2,0)),0,VLOOKUP($B148,Vehicles!$B$9:$O$50,K$2,0))</f>
        <v>0</v>
      </c>
    </row>
    <row r="149" spans="2:11" x14ac:dyDescent="0.25">
      <c r="B149" t="s">
        <v>87</v>
      </c>
      <c r="C149" t="s">
        <v>91</v>
      </c>
      <c r="D149" t="s">
        <v>272</v>
      </c>
      <c r="E149" s="1" t="s">
        <v>16</v>
      </c>
      <c r="G149" s="8">
        <f>IF(ISNA(VLOOKUP($B149,'Other Capital Needs'!$C$51:$P$95,G$2,0)),0,VLOOKUP($B149,'Other Capital Needs'!$C$51:$P$95,G$2,0))+IF(ISNA(VLOOKUP('Project Details by Yr - MASTER'!$B149,'Public Grounds'!$A$11:$N$49,G$2,0)),0,VLOOKUP('Project Details by Yr - MASTER'!$B149,'Public Grounds'!$A$11:$N$49,G$2,0))+IF(ISNA(VLOOKUP('Project Details by Yr - MASTER'!$B149,'Public Buildings'!$A$10:$N$96,G$2,0)),0,VLOOKUP('Project Details by Yr - MASTER'!$B149,'Public Buildings'!$A$10:$N$96,G$2,0))+IF(ISNA(VLOOKUP('Project Details by Yr - MASTER'!$B149,Bridges!$A$9:$N$24,G$2,0)),0,VLOOKUP('Project Details by Yr - MASTER'!$B149,Bridges!$A$9:$N$24,G$2,0))+IF(ISNA(VLOOKUP('Project Details by Yr - MASTER'!$B149,'Parking Lots &amp; Playgrounds'!$A$9:$N$33,G$2,0)),0,VLOOKUP('Project Details by Yr - MASTER'!$B149,'Parking Lots &amp; Playgrounds'!$A$9:$N$33,G$2,0))+IF(ISNA(VLOOKUP($B149,Vehicles!$B$9:$O$50,G$2,0)),0,VLOOKUP($B149,Vehicles!$B$9:$O$50,G$2,0))</f>
        <v>0</v>
      </c>
      <c r="H149" s="8">
        <f>IF(ISNA(VLOOKUP($B149,'Other Capital Needs'!$C$51:$P$95,H$2,0)),0,VLOOKUP($B149,'Other Capital Needs'!$C$51:$P$95,H$2,0))+IF(ISNA(VLOOKUP('Project Details by Yr - MASTER'!$B149,'Public Grounds'!$A$11:$N$49,H$2,0)),0,VLOOKUP('Project Details by Yr - MASTER'!$B149,'Public Grounds'!$A$11:$N$49,H$2,0))+IF(ISNA(VLOOKUP('Project Details by Yr - MASTER'!$B149,'Public Buildings'!$A$10:$N$96,H$2,0)),0,VLOOKUP('Project Details by Yr - MASTER'!$B149,'Public Buildings'!$A$10:$N$96,H$2,0))+IF(ISNA(VLOOKUP('Project Details by Yr - MASTER'!$B149,Bridges!$A$9:$N$24,H$2,0)),0,VLOOKUP('Project Details by Yr - MASTER'!$B149,Bridges!$A$9:$N$24,H$2,0))+IF(ISNA(VLOOKUP('Project Details by Yr - MASTER'!$B149,'Parking Lots &amp; Playgrounds'!$A$9:$N$33,H$2,0)),0,VLOOKUP('Project Details by Yr - MASTER'!$B149,'Parking Lots &amp; Playgrounds'!$A$9:$N$33,H$2,0))+IF(ISNA(VLOOKUP($B149,Vehicles!$B$9:$O$50,H$2,0)),0,VLOOKUP($B149,Vehicles!$B$9:$O$50,H$2,0))</f>
        <v>0</v>
      </c>
      <c r="I149" s="8">
        <f>IF(ISNA(VLOOKUP($B149,'Other Capital Needs'!$C$51:$P$95,I$2,0)),0,VLOOKUP($B149,'Other Capital Needs'!$C$51:$P$95,I$2,0))+IF(ISNA(VLOOKUP('Project Details by Yr - MASTER'!$B149,'Public Grounds'!$A$11:$N$49,I$2,0)),0,VLOOKUP('Project Details by Yr - MASTER'!$B149,'Public Grounds'!$A$11:$N$49,I$2,0))+IF(ISNA(VLOOKUP('Project Details by Yr - MASTER'!$B149,'Public Buildings'!$A$10:$N$96,I$2,0)),0,VLOOKUP('Project Details by Yr - MASTER'!$B149,'Public Buildings'!$A$10:$N$96,I$2,0))+IF(ISNA(VLOOKUP('Project Details by Yr - MASTER'!$B149,Bridges!$A$9:$N$24,I$2,0)),0,VLOOKUP('Project Details by Yr - MASTER'!$B149,Bridges!$A$9:$N$24,I$2,0))+IF(ISNA(VLOOKUP('Project Details by Yr - MASTER'!$B149,'Parking Lots &amp; Playgrounds'!$A$9:$N$33,I$2,0)),0,VLOOKUP('Project Details by Yr - MASTER'!$B149,'Parking Lots &amp; Playgrounds'!$A$9:$N$33,I$2,0))+IF(ISNA(VLOOKUP($B149,Vehicles!$B$9:$O$50,I$2,0)),0,VLOOKUP($B149,Vehicles!$B$9:$O$50,I$2,0))</f>
        <v>0</v>
      </c>
      <c r="J149" s="8">
        <f>IF(ISNA(VLOOKUP($B149,'Other Capital Needs'!$C$51:$P$95,J$2,0)),0,VLOOKUP($B149,'Other Capital Needs'!$C$51:$P$95,J$2,0))+IF(ISNA(VLOOKUP('Project Details by Yr - MASTER'!$B149,'Public Grounds'!$A$11:$N$49,J$2,0)),0,VLOOKUP('Project Details by Yr - MASTER'!$B149,'Public Grounds'!$A$11:$N$49,J$2,0))+IF(ISNA(VLOOKUP('Project Details by Yr - MASTER'!$B149,'Public Buildings'!$A$10:$N$96,J$2,0)),0,VLOOKUP('Project Details by Yr - MASTER'!$B149,'Public Buildings'!$A$10:$N$96,J$2,0))+IF(ISNA(VLOOKUP('Project Details by Yr - MASTER'!$B149,Bridges!$A$9:$N$24,J$2,0)),0,VLOOKUP('Project Details by Yr - MASTER'!$B149,Bridges!$A$9:$N$24,J$2,0))+IF(ISNA(VLOOKUP('Project Details by Yr - MASTER'!$B149,'Parking Lots &amp; Playgrounds'!$A$9:$N$33,J$2,0)),0,VLOOKUP('Project Details by Yr - MASTER'!$B149,'Parking Lots &amp; Playgrounds'!$A$9:$N$33,J$2,0))+IF(ISNA(VLOOKUP($B149,Vehicles!$B$9:$O$50,J$2,0)),0,VLOOKUP($B149,Vehicles!$B$9:$O$50,J$2,0))</f>
        <v>0</v>
      </c>
      <c r="K149" s="8">
        <f>IF(ISNA(VLOOKUP($B149,'Other Capital Needs'!$C$51:$P$95,K$2,0)),0,VLOOKUP($B149,'Other Capital Needs'!$C$51:$P$95,K$2,0))+IF(ISNA(VLOOKUP('Project Details by Yr - MASTER'!$B149,'Public Grounds'!$A$11:$N$49,K$2,0)),0,VLOOKUP('Project Details by Yr - MASTER'!$B149,'Public Grounds'!$A$11:$N$49,K$2,0))+IF(ISNA(VLOOKUP('Project Details by Yr - MASTER'!$B149,'Public Buildings'!$A$10:$N$96,K$2,0)),0,VLOOKUP('Project Details by Yr - MASTER'!$B149,'Public Buildings'!$A$10:$N$96,K$2,0))+IF(ISNA(VLOOKUP('Project Details by Yr - MASTER'!$B149,Bridges!$A$9:$N$24,K$2,0)),0,VLOOKUP('Project Details by Yr - MASTER'!$B149,Bridges!$A$9:$N$24,K$2,0))+IF(ISNA(VLOOKUP('Project Details by Yr - MASTER'!$B149,'Parking Lots &amp; Playgrounds'!$A$9:$N$33,K$2,0)),0,VLOOKUP('Project Details by Yr - MASTER'!$B149,'Parking Lots &amp; Playgrounds'!$A$9:$N$33,K$2,0))+IF(ISNA(VLOOKUP($B149,Vehicles!$B$9:$O$50,K$2,0)),0,VLOOKUP($B149,Vehicles!$B$9:$O$50,K$2,0))</f>
        <v>0</v>
      </c>
    </row>
    <row r="150" spans="2:11" x14ac:dyDescent="0.25">
      <c r="B150" t="s">
        <v>96</v>
      </c>
      <c r="C150" t="s">
        <v>91</v>
      </c>
      <c r="D150" t="s">
        <v>272</v>
      </c>
      <c r="E150" s="1" t="s">
        <v>16</v>
      </c>
      <c r="G150" s="8">
        <f>IF(ISNA(VLOOKUP($B150,'Other Capital Needs'!$C$51:$P$95,G$2,0)),0,VLOOKUP($B150,'Other Capital Needs'!$C$51:$P$95,G$2,0))+IF(ISNA(VLOOKUP('Project Details by Yr - MASTER'!$B150,'Public Grounds'!$A$11:$N$49,G$2,0)),0,VLOOKUP('Project Details by Yr - MASTER'!$B150,'Public Grounds'!$A$11:$N$49,G$2,0))+IF(ISNA(VLOOKUP('Project Details by Yr - MASTER'!$B150,'Public Buildings'!$A$10:$N$96,G$2,0)),0,VLOOKUP('Project Details by Yr - MASTER'!$B150,'Public Buildings'!$A$10:$N$96,G$2,0))+IF(ISNA(VLOOKUP('Project Details by Yr - MASTER'!$B150,Bridges!$A$9:$N$24,G$2,0)),0,VLOOKUP('Project Details by Yr - MASTER'!$B150,Bridges!$A$9:$N$24,G$2,0))+IF(ISNA(VLOOKUP('Project Details by Yr - MASTER'!$B150,'Parking Lots &amp; Playgrounds'!$A$9:$N$33,G$2,0)),0,VLOOKUP('Project Details by Yr - MASTER'!$B150,'Parking Lots &amp; Playgrounds'!$A$9:$N$33,G$2,0))+IF(ISNA(VLOOKUP($B150,Vehicles!$B$9:$O$50,G$2,0)),0,VLOOKUP($B150,Vehicles!$B$9:$O$50,G$2,0))</f>
        <v>0</v>
      </c>
      <c r="H150" s="8">
        <f>IF(ISNA(VLOOKUP($B150,'Other Capital Needs'!$C$51:$P$95,H$2,0)),0,VLOOKUP($B150,'Other Capital Needs'!$C$51:$P$95,H$2,0))+IF(ISNA(VLOOKUP('Project Details by Yr - MASTER'!$B150,'Public Grounds'!$A$11:$N$49,H$2,0)),0,VLOOKUP('Project Details by Yr - MASTER'!$B150,'Public Grounds'!$A$11:$N$49,H$2,0))+IF(ISNA(VLOOKUP('Project Details by Yr - MASTER'!$B150,'Public Buildings'!$A$10:$N$96,H$2,0)),0,VLOOKUP('Project Details by Yr - MASTER'!$B150,'Public Buildings'!$A$10:$N$96,H$2,0))+IF(ISNA(VLOOKUP('Project Details by Yr - MASTER'!$B150,Bridges!$A$9:$N$24,H$2,0)),0,VLOOKUP('Project Details by Yr - MASTER'!$B150,Bridges!$A$9:$N$24,H$2,0))+IF(ISNA(VLOOKUP('Project Details by Yr - MASTER'!$B150,'Parking Lots &amp; Playgrounds'!$A$9:$N$33,H$2,0)),0,VLOOKUP('Project Details by Yr - MASTER'!$B150,'Parking Lots &amp; Playgrounds'!$A$9:$N$33,H$2,0))+IF(ISNA(VLOOKUP($B150,Vehicles!$B$9:$O$50,H$2,0)),0,VLOOKUP($B150,Vehicles!$B$9:$O$50,H$2,0))</f>
        <v>195000</v>
      </c>
      <c r="I150" s="8">
        <f>IF(ISNA(VLOOKUP($B150,'Other Capital Needs'!$C$51:$P$95,I$2,0)),0,VLOOKUP($B150,'Other Capital Needs'!$C$51:$P$95,I$2,0))+IF(ISNA(VLOOKUP('Project Details by Yr - MASTER'!$B150,'Public Grounds'!$A$11:$N$49,I$2,0)),0,VLOOKUP('Project Details by Yr - MASTER'!$B150,'Public Grounds'!$A$11:$N$49,I$2,0))+IF(ISNA(VLOOKUP('Project Details by Yr - MASTER'!$B150,'Public Buildings'!$A$10:$N$96,I$2,0)),0,VLOOKUP('Project Details by Yr - MASTER'!$B150,'Public Buildings'!$A$10:$N$96,I$2,0))+IF(ISNA(VLOOKUP('Project Details by Yr - MASTER'!$B150,Bridges!$A$9:$N$24,I$2,0)),0,VLOOKUP('Project Details by Yr - MASTER'!$B150,Bridges!$A$9:$N$24,I$2,0))+IF(ISNA(VLOOKUP('Project Details by Yr - MASTER'!$B150,'Parking Lots &amp; Playgrounds'!$A$9:$N$33,I$2,0)),0,VLOOKUP('Project Details by Yr - MASTER'!$B150,'Parking Lots &amp; Playgrounds'!$A$9:$N$33,I$2,0))+IF(ISNA(VLOOKUP($B150,Vehicles!$B$9:$O$50,I$2,0)),0,VLOOKUP($B150,Vehicles!$B$9:$O$50,I$2,0))</f>
        <v>0</v>
      </c>
      <c r="J150" s="8">
        <f>IF(ISNA(VLOOKUP($B150,'Other Capital Needs'!$C$51:$P$95,J$2,0)),0,VLOOKUP($B150,'Other Capital Needs'!$C$51:$P$95,J$2,0))+IF(ISNA(VLOOKUP('Project Details by Yr - MASTER'!$B150,'Public Grounds'!$A$11:$N$49,J$2,0)),0,VLOOKUP('Project Details by Yr - MASTER'!$B150,'Public Grounds'!$A$11:$N$49,J$2,0))+IF(ISNA(VLOOKUP('Project Details by Yr - MASTER'!$B150,'Public Buildings'!$A$10:$N$96,J$2,0)),0,VLOOKUP('Project Details by Yr - MASTER'!$B150,'Public Buildings'!$A$10:$N$96,J$2,0))+IF(ISNA(VLOOKUP('Project Details by Yr - MASTER'!$B150,Bridges!$A$9:$N$24,J$2,0)),0,VLOOKUP('Project Details by Yr - MASTER'!$B150,Bridges!$A$9:$N$24,J$2,0))+IF(ISNA(VLOOKUP('Project Details by Yr - MASTER'!$B150,'Parking Lots &amp; Playgrounds'!$A$9:$N$33,J$2,0)),0,VLOOKUP('Project Details by Yr - MASTER'!$B150,'Parking Lots &amp; Playgrounds'!$A$9:$N$33,J$2,0))+IF(ISNA(VLOOKUP($B150,Vehicles!$B$9:$O$50,J$2,0)),0,VLOOKUP($B150,Vehicles!$B$9:$O$50,J$2,0))</f>
        <v>0</v>
      </c>
      <c r="K150" s="8">
        <f>IF(ISNA(VLOOKUP($B150,'Other Capital Needs'!$C$51:$P$95,K$2,0)),0,VLOOKUP($B150,'Other Capital Needs'!$C$51:$P$95,K$2,0))+IF(ISNA(VLOOKUP('Project Details by Yr - MASTER'!$B150,'Public Grounds'!$A$11:$N$49,K$2,0)),0,VLOOKUP('Project Details by Yr - MASTER'!$B150,'Public Grounds'!$A$11:$N$49,K$2,0))+IF(ISNA(VLOOKUP('Project Details by Yr - MASTER'!$B150,'Public Buildings'!$A$10:$N$96,K$2,0)),0,VLOOKUP('Project Details by Yr - MASTER'!$B150,'Public Buildings'!$A$10:$N$96,K$2,0))+IF(ISNA(VLOOKUP('Project Details by Yr - MASTER'!$B150,Bridges!$A$9:$N$24,K$2,0)),0,VLOOKUP('Project Details by Yr - MASTER'!$B150,Bridges!$A$9:$N$24,K$2,0))+IF(ISNA(VLOOKUP('Project Details by Yr - MASTER'!$B150,'Parking Lots &amp; Playgrounds'!$A$9:$N$33,K$2,0)),0,VLOOKUP('Project Details by Yr - MASTER'!$B150,'Parking Lots &amp; Playgrounds'!$A$9:$N$33,K$2,0))+IF(ISNA(VLOOKUP($B150,Vehicles!$B$9:$O$50,K$2,0)),0,VLOOKUP($B150,Vehicles!$B$9:$O$50,K$2,0))</f>
        <v>0</v>
      </c>
    </row>
    <row r="151" spans="2:11" x14ac:dyDescent="0.25">
      <c r="B151" t="s">
        <v>95</v>
      </c>
      <c r="C151" t="s">
        <v>91</v>
      </c>
      <c r="D151" t="s">
        <v>272</v>
      </c>
      <c r="E151" s="1" t="s">
        <v>16</v>
      </c>
      <c r="G151" s="8">
        <f>IF(ISNA(VLOOKUP($B151,'Other Capital Needs'!$C$51:$P$95,G$2,0)),0,VLOOKUP($B151,'Other Capital Needs'!$C$51:$P$95,G$2,0))+IF(ISNA(VLOOKUP('Project Details by Yr - MASTER'!$B151,'Public Grounds'!$A$11:$N$49,G$2,0)),0,VLOOKUP('Project Details by Yr - MASTER'!$B151,'Public Grounds'!$A$11:$N$49,G$2,0))+IF(ISNA(VLOOKUP('Project Details by Yr - MASTER'!$B151,'Public Buildings'!$A$10:$N$96,G$2,0)),0,VLOOKUP('Project Details by Yr - MASTER'!$B151,'Public Buildings'!$A$10:$N$96,G$2,0))+IF(ISNA(VLOOKUP('Project Details by Yr - MASTER'!$B151,Bridges!$A$9:$N$24,G$2,0)),0,VLOOKUP('Project Details by Yr - MASTER'!$B151,Bridges!$A$9:$N$24,G$2,0))+IF(ISNA(VLOOKUP('Project Details by Yr - MASTER'!$B151,'Parking Lots &amp; Playgrounds'!$A$9:$N$33,G$2,0)),0,VLOOKUP('Project Details by Yr - MASTER'!$B151,'Parking Lots &amp; Playgrounds'!$A$9:$N$33,G$2,0))+IF(ISNA(VLOOKUP($B151,Vehicles!$B$9:$O$50,G$2,0)),0,VLOOKUP($B151,Vehicles!$B$9:$O$50,G$2,0))</f>
        <v>0</v>
      </c>
      <c r="H151" s="8">
        <f>IF(ISNA(VLOOKUP($B151,'Other Capital Needs'!$C$51:$P$95,H$2,0)),0,VLOOKUP($B151,'Other Capital Needs'!$C$51:$P$95,H$2,0))+IF(ISNA(VLOOKUP('Project Details by Yr - MASTER'!$B151,'Public Grounds'!$A$11:$N$49,H$2,0)),0,VLOOKUP('Project Details by Yr - MASTER'!$B151,'Public Grounds'!$A$11:$N$49,H$2,0))+IF(ISNA(VLOOKUP('Project Details by Yr - MASTER'!$B151,'Public Buildings'!$A$10:$N$96,H$2,0)),0,VLOOKUP('Project Details by Yr - MASTER'!$B151,'Public Buildings'!$A$10:$N$96,H$2,0))+IF(ISNA(VLOOKUP('Project Details by Yr - MASTER'!$B151,Bridges!$A$9:$N$24,H$2,0)),0,VLOOKUP('Project Details by Yr - MASTER'!$B151,Bridges!$A$9:$N$24,H$2,0))+IF(ISNA(VLOOKUP('Project Details by Yr - MASTER'!$B151,'Parking Lots &amp; Playgrounds'!$A$9:$N$33,H$2,0)),0,VLOOKUP('Project Details by Yr - MASTER'!$B151,'Parking Lots &amp; Playgrounds'!$A$9:$N$33,H$2,0))+IF(ISNA(VLOOKUP($B151,Vehicles!$B$9:$O$50,H$2,0)),0,VLOOKUP($B151,Vehicles!$B$9:$O$50,H$2,0))</f>
        <v>0</v>
      </c>
      <c r="I151" s="8">
        <f>IF(ISNA(VLOOKUP($B151,'Other Capital Needs'!$C$51:$P$95,I$2,0)),0,VLOOKUP($B151,'Other Capital Needs'!$C$51:$P$95,I$2,0))+IF(ISNA(VLOOKUP('Project Details by Yr - MASTER'!$B151,'Public Grounds'!$A$11:$N$49,I$2,0)),0,VLOOKUP('Project Details by Yr - MASTER'!$B151,'Public Grounds'!$A$11:$N$49,I$2,0))+IF(ISNA(VLOOKUP('Project Details by Yr - MASTER'!$B151,'Public Buildings'!$A$10:$N$96,I$2,0)),0,VLOOKUP('Project Details by Yr - MASTER'!$B151,'Public Buildings'!$A$10:$N$96,I$2,0))+IF(ISNA(VLOOKUP('Project Details by Yr - MASTER'!$B151,Bridges!$A$9:$N$24,I$2,0)),0,VLOOKUP('Project Details by Yr - MASTER'!$B151,Bridges!$A$9:$N$24,I$2,0))+IF(ISNA(VLOOKUP('Project Details by Yr - MASTER'!$B151,'Parking Lots &amp; Playgrounds'!$A$9:$N$33,I$2,0)),0,VLOOKUP('Project Details by Yr - MASTER'!$B151,'Parking Lots &amp; Playgrounds'!$A$9:$N$33,I$2,0))+IF(ISNA(VLOOKUP($B151,Vehicles!$B$9:$O$50,I$2,0)),0,VLOOKUP($B151,Vehicles!$B$9:$O$50,I$2,0))</f>
        <v>0</v>
      </c>
      <c r="J151" s="8">
        <f>IF(ISNA(VLOOKUP($B151,'Other Capital Needs'!$C$51:$P$95,J$2,0)),0,VLOOKUP($B151,'Other Capital Needs'!$C$51:$P$95,J$2,0))+IF(ISNA(VLOOKUP('Project Details by Yr - MASTER'!$B151,'Public Grounds'!$A$11:$N$49,J$2,0)),0,VLOOKUP('Project Details by Yr - MASTER'!$B151,'Public Grounds'!$A$11:$N$49,J$2,0))+IF(ISNA(VLOOKUP('Project Details by Yr - MASTER'!$B151,'Public Buildings'!$A$10:$N$96,J$2,0)),0,VLOOKUP('Project Details by Yr - MASTER'!$B151,'Public Buildings'!$A$10:$N$96,J$2,0))+IF(ISNA(VLOOKUP('Project Details by Yr - MASTER'!$B151,Bridges!$A$9:$N$24,J$2,0)),0,VLOOKUP('Project Details by Yr - MASTER'!$B151,Bridges!$A$9:$N$24,J$2,0))+IF(ISNA(VLOOKUP('Project Details by Yr - MASTER'!$B151,'Parking Lots &amp; Playgrounds'!$A$9:$N$33,J$2,0)),0,VLOOKUP('Project Details by Yr - MASTER'!$B151,'Parking Lots &amp; Playgrounds'!$A$9:$N$33,J$2,0))+IF(ISNA(VLOOKUP($B151,Vehicles!$B$9:$O$50,J$2,0)),0,VLOOKUP($B151,Vehicles!$B$9:$O$50,J$2,0))</f>
        <v>0</v>
      </c>
      <c r="K151" s="8">
        <f>IF(ISNA(VLOOKUP($B151,'Other Capital Needs'!$C$51:$P$95,K$2,0)),0,VLOOKUP($B151,'Other Capital Needs'!$C$51:$P$95,K$2,0))+IF(ISNA(VLOOKUP('Project Details by Yr - MASTER'!$B151,'Public Grounds'!$A$11:$N$49,K$2,0)),0,VLOOKUP('Project Details by Yr - MASTER'!$B151,'Public Grounds'!$A$11:$N$49,K$2,0))+IF(ISNA(VLOOKUP('Project Details by Yr - MASTER'!$B151,'Public Buildings'!$A$10:$N$96,K$2,0)),0,VLOOKUP('Project Details by Yr - MASTER'!$B151,'Public Buildings'!$A$10:$N$96,K$2,0))+IF(ISNA(VLOOKUP('Project Details by Yr - MASTER'!$B151,Bridges!$A$9:$N$24,K$2,0)),0,VLOOKUP('Project Details by Yr - MASTER'!$B151,Bridges!$A$9:$N$24,K$2,0))+IF(ISNA(VLOOKUP('Project Details by Yr - MASTER'!$B151,'Parking Lots &amp; Playgrounds'!$A$9:$N$33,K$2,0)),0,VLOOKUP('Project Details by Yr - MASTER'!$B151,'Parking Lots &amp; Playgrounds'!$A$9:$N$33,K$2,0))+IF(ISNA(VLOOKUP($B151,Vehicles!$B$9:$O$50,K$2,0)),0,VLOOKUP($B151,Vehicles!$B$9:$O$50,K$2,0))</f>
        <v>350000</v>
      </c>
    </row>
    <row r="152" spans="2:11" x14ac:dyDescent="0.25">
      <c r="B152" t="s">
        <v>89</v>
      </c>
      <c r="C152" t="s">
        <v>91</v>
      </c>
      <c r="D152" t="s">
        <v>272</v>
      </c>
      <c r="E152" s="1" t="s">
        <v>16</v>
      </c>
      <c r="G152" s="8">
        <f>IF(ISNA(VLOOKUP($B152,'Other Capital Needs'!$C$51:$P$95,G$2,0)),0,VLOOKUP($B152,'Other Capital Needs'!$C$51:$P$95,G$2,0))+IF(ISNA(VLOOKUP('Project Details by Yr - MASTER'!$B152,'Public Grounds'!$A$11:$N$49,G$2,0)),0,VLOOKUP('Project Details by Yr - MASTER'!$B152,'Public Grounds'!$A$11:$N$49,G$2,0))+IF(ISNA(VLOOKUP('Project Details by Yr - MASTER'!$B152,'Public Buildings'!$A$10:$N$96,G$2,0)),0,VLOOKUP('Project Details by Yr - MASTER'!$B152,'Public Buildings'!$A$10:$N$96,G$2,0))+IF(ISNA(VLOOKUP('Project Details by Yr - MASTER'!$B152,Bridges!$A$9:$N$24,G$2,0)),0,VLOOKUP('Project Details by Yr - MASTER'!$B152,Bridges!$A$9:$N$24,G$2,0))+IF(ISNA(VLOOKUP('Project Details by Yr - MASTER'!$B152,'Parking Lots &amp; Playgrounds'!$A$9:$N$33,G$2,0)),0,VLOOKUP('Project Details by Yr - MASTER'!$B152,'Parking Lots &amp; Playgrounds'!$A$9:$N$33,G$2,0))+IF(ISNA(VLOOKUP($B152,Vehicles!$B$9:$O$50,G$2,0)),0,VLOOKUP($B152,Vehicles!$B$9:$O$50,G$2,0))</f>
        <v>0</v>
      </c>
      <c r="H152" s="8">
        <f>IF(ISNA(VLOOKUP($B152,'Other Capital Needs'!$C$51:$P$95,H$2,0)),0,VLOOKUP($B152,'Other Capital Needs'!$C$51:$P$95,H$2,0))+IF(ISNA(VLOOKUP('Project Details by Yr - MASTER'!$B152,'Public Grounds'!$A$11:$N$49,H$2,0)),0,VLOOKUP('Project Details by Yr - MASTER'!$B152,'Public Grounds'!$A$11:$N$49,H$2,0))+IF(ISNA(VLOOKUP('Project Details by Yr - MASTER'!$B152,'Public Buildings'!$A$10:$N$96,H$2,0)),0,VLOOKUP('Project Details by Yr - MASTER'!$B152,'Public Buildings'!$A$10:$N$96,H$2,0))+IF(ISNA(VLOOKUP('Project Details by Yr - MASTER'!$B152,Bridges!$A$9:$N$24,H$2,0)),0,VLOOKUP('Project Details by Yr - MASTER'!$B152,Bridges!$A$9:$N$24,H$2,0))+IF(ISNA(VLOOKUP('Project Details by Yr - MASTER'!$B152,'Parking Lots &amp; Playgrounds'!$A$9:$N$33,H$2,0)),0,VLOOKUP('Project Details by Yr - MASTER'!$B152,'Parking Lots &amp; Playgrounds'!$A$9:$N$33,H$2,0))+IF(ISNA(VLOOKUP($B152,Vehicles!$B$9:$O$50,H$2,0)),0,VLOOKUP($B152,Vehicles!$B$9:$O$50,H$2,0))</f>
        <v>0</v>
      </c>
      <c r="I152" s="8">
        <f>IF(ISNA(VLOOKUP($B152,'Other Capital Needs'!$C$51:$P$95,I$2,0)),0,VLOOKUP($B152,'Other Capital Needs'!$C$51:$P$95,I$2,0))+IF(ISNA(VLOOKUP('Project Details by Yr - MASTER'!$B152,'Public Grounds'!$A$11:$N$49,I$2,0)),0,VLOOKUP('Project Details by Yr - MASTER'!$B152,'Public Grounds'!$A$11:$N$49,I$2,0))+IF(ISNA(VLOOKUP('Project Details by Yr - MASTER'!$B152,'Public Buildings'!$A$10:$N$96,I$2,0)),0,VLOOKUP('Project Details by Yr - MASTER'!$B152,'Public Buildings'!$A$10:$N$96,I$2,0))+IF(ISNA(VLOOKUP('Project Details by Yr - MASTER'!$B152,Bridges!$A$9:$N$24,I$2,0)),0,VLOOKUP('Project Details by Yr - MASTER'!$B152,Bridges!$A$9:$N$24,I$2,0))+IF(ISNA(VLOOKUP('Project Details by Yr - MASTER'!$B152,'Parking Lots &amp; Playgrounds'!$A$9:$N$33,I$2,0)),0,VLOOKUP('Project Details by Yr - MASTER'!$B152,'Parking Lots &amp; Playgrounds'!$A$9:$N$33,I$2,0))+IF(ISNA(VLOOKUP($B152,Vehicles!$B$9:$O$50,I$2,0)),0,VLOOKUP($B152,Vehicles!$B$9:$O$50,I$2,0))</f>
        <v>0</v>
      </c>
      <c r="J152" s="8">
        <f>IF(ISNA(VLOOKUP($B152,'Other Capital Needs'!$C$51:$P$95,J$2,0)),0,VLOOKUP($B152,'Other Capital Needs'!$C$51:$P$95,J$2,0))+IF(ISNA(VLOOKUP('Project Details by Yr - MASTER'!$B152,'Public Grounds'!$A$11:$N$49,J$2,0)),0,VLOOKUP('Project Details by Yr - MASTER'!$B152,'Public Grounds'!$A$11:$N$49,J$2,0))+IF(ISNA(VLOOKUP('Project Details by Yr - MASTER'!$B152,'Public Buildings'!$A$10:$N$96,J$2,0)),0,VLOOKUP('Project Details by Yr - MASTER'!$B152,'Public Buildings'!$A$10:$N$96,J$2,0))+IF(ISNA(VLOOKUP('Project Details by Yr - MASTER'!$B152,Bridges!$A$9:$N$24,J$2,0)),0,VLOOKUP('Project Details by Yr - MASTER'!$B152,Bridges!$A$9:$N$24,J$2,0))+IF(ISNA(VLOOKUP('Project Details by Yr - MASTER'!$B152,'Parking Lots &amp; Playgrounds'!$A$9:$N$33,J$2,0)),0,VLOOKUP('Project Details by Yr - MASTER'!$B152,'Parking Lots &amp; Playgrounds'!$A$9:$N$33,J$2,0))+IF(ISNA(VLOOKUP($B152,Vehicles!$B$9:$O$50,J$2,0)),0,VLOOKUP($B152,Vehicles!$B$9:$O$50,J$2,0))</f>
        <v>0</v>
      </c>
      <c r="K152" s="8">
        <f>IF(ISNA(VLOOKUP($B152,'Other Capital Needs'!$C$51:$P$95,K$2,0)),0,VLOOKUP($B152,'Other Capital Needs'!$C$51:$P$95,K$2,0))+IF(ISNA(VLOOKUP('Project Details by Yr - MASTER'!$B152,'Public Grounds'!$A$11:$N$49,K$2,0)),0,VLOOKUP('Project Details by Yr - MASTER'!$B152,'Public Grounds'!$A$11:$N$49,K$2,0))+IF(ISNA(VLOOKUP('Project Details by Yr - MASTER'!$B152,'Public Buildings'!$A$10:$N$96,K$2,0)),0,VLOOKUP('Project Details by Yr - MASTER'!$B152,'Public Buildings'!$A$10:$N$96,K$2,0))+IF(ISNA(VLOOKUP('Project Details by Yr - MASTER'!$B152,Bridges!$A$9:$N$24,K$2,0)),0,VLOOKUP('Project Details by Yr - MASTER'!$B152,Bridges!$A$9:$N$24,K$2,0))+IF(ISNA(VLOOKUP('Project Details by Yr - MASTER'!$B152,'Parking Lots &amp; Playgrounds'!$A$9:$N$33,K$2,0)),0,VLOOKUP('Project Details by Yr - MASTER'!$B152,'Parking Lots &amp; Playgrounds'!$A$9:$N$33,K$2,0))+IF(ISNA(VLOOKUP($B152,Vehicles!$B$9:$O$50,K$2,0)),0,VLOOKUP($B152,Vehicles!$B$9:$O$50,K$2,0))</f>
        <v>0</v>
      </c>
    </row>
    <row r="153" spans="2:11" x14ac:dyDescent="0.25">
      <c r="B153" t="s">
        <v>98</v>
      </c>
      <c r="C153" t="s">
        <v>91</v>
      </c>
      <c r="D153" t="s">
        <v>272</v>
      </c>
      <c r="E153" s="1" t="s">
        <v>16</v>
      </c>
      <c r="G153" s="8">
        <f>IF(ISNA(VLOOKUP($B153,'Other Capital Needs'!$C$51:$P$95,G$2,0)),0,VLOOKUP($B153,'Other Capital Needs'!$C$51:$P$95,G$2,0))+IF(ISNA(VLOOKUP('Project Details by Yr - MASTER'!$B153,'Public Grounds'!$A$11:$N$49,G$2,0)),0,VLOOKUP('Project Details by Yr - MASTER'!$B153,'Public Grounds'!$A$11:$N$49,G$2,0))+IF(ISNA(VLOOKUP('Project Details by Yr - MASTER'!$B153,'Public Buildings'!$A$10:$N$96,G$2,0)),0,VLOOKUP('Project Details by Yr - MASTER'!$B153,'Public Buildings'!$A$10:$N$96,G$2,0))+IF(ISNA(VLOOKUP('Project Details by Yr - MASTER'!$B153,Bridges!$A$9:$N$24,G$2,0)),0,VLOOKUP('Project Details by Yr - MASTER'!$B153,Bridges!$A$9:$N$24,G$2,0))+IF(ISNA(VLOOKUP('Project Details by Yr - MASTER'!$B153,'Parking Lots &amp; Playgrounds'!$A$9:$N$33,G$2,0)),0,VLOOKUP('Project Details by Yr - MASTER'!$B153,'Parking Lots &amp; Playgrounds'!$A$9:$N$33,G$2,0))+IF(ISNA(VLOOKUP($B153,Vehicles!$B$9:$O$50,G$2,0)),0,VLOOKUP($B153,Vehicles!$B$9:$O$50,G$2,0))</f>
        <v>0</v>
      </c>
      <c r="H153" s="8">
        <f>IF(ISNA(VLOOKUP($B153,'Other Capital Needs'!$C$51:$P$95,H$2,0)),0,VLOOKUP($B153,'Other Capital Needs'!$C$51:$P$95,H$2,0))+IF(ISNA(VLOOKUP('Project Details by Yr - MASTER'!$B153,'Public Grounds'!$A$11:$N$49,H$2,0)),0,VLOOKUP('Project Details by Yr - MASTER'!$B153,'Public Grounds'!$A$11:$N$49,H$2,0))+IF(ISNA(VLOOKUP('Project Details by Yr - MASTER'!$B153,'Public Buildings'!$A$10:$N$96,H$2,0)),0,VLOOKUP('Project Details by Yr - MASTER'!$B153,'Public Buildings'!$A$10:$N$96,H$2,0))+IF(ISNA(VLOOKUP('Project Details by Yr - MASTER'!$B153,Bridges!$A$9:$N$24,H$2,0)),0,VLOOKUP('Project Details by Yr - MASTER'!$B153,Bridges!$A$9:$N$24,H$2,0))+IF(ISNA(VLOOKUP('Project Details by Yr - MASTER'!$B153,'Parking Lots &amp; Playgrounds'!$A$9:$N$33,H$2,0)),0,VLOOKUP('Project Details by Yr - MASTER'!$B153,'Parking Lots &amp; Playgrounds'!$A$9:$N$33,H$2,0))+IF(ISNA(VLOOKUP($B153,Vehicles!$B$9:$O$50,H$2,0)),0,VLOOKUP($B153,Vehicles!$B$9:$O$50,H$2,0))</f>
        <v>0</v>
      </c>
      <c r="I153" s="8">
        <f>IF(ISNA(VLOOKUP($B153,'Other Capital Needs'!$C$51:$P$95,I$2,0)),0,VLOOKUP($B153,'Other Capital Needs'!$C$51:$P$95,I$2,0))+IF(ISNA(VLOOKUP('Project Details by Yr - MASTER'!$B153,'Public Grounds'!$A$11:$N$49,I$2,0)),0,VLOOKUP('Project Details by Yr - MASTER'!$B153,'Public Grounds'!$A$11:$N$49,I$2,0))+IF(ISNA(VLOOKUP('Project Details by Yr - MASTER'!$B153,'Public Buildings'!$A$10:$N$96,I$2,0)),0,VLOOKUP('Project Details by Yr - MASTER'!$B153,'Public Buildings'!$A$10:$N$96,I$2,0))+IF(ISNA(VLOOKUP('Project Details by Yr - MASTER'!$B153,Bridges!$A$9:$N$24,I$2,0)),0,VLOOKUP('Project Details by Yr - MASTER'!$B153,Bridges!$A$9:$N$24,I$2,0))+IF(ISNA(VLOOKUP('Project Details by Yr - MASTER'!$B153,'Parking Lots &amp; Playgrounds'!$A$9:$N$33,I$2,0)),0,VLOOKUP('Project Details by Yr - MASTER'!$B153,'Parking Lots &amp; Playgrounds'!$A$9:$N$33,I$2,0))+IF(ISNA(VLOOKUP($B153,Vehicles!$B$9:$O$50,I$2,0)),0,VLOOKUP($B153,Vehicles!$B$9:$O$50,I$2,0))</f>
        <v>0</v>
      </c>
      <c r="J153" s="8">
        <f>IF(ISNA(VLOOKUP($B153,'Other Capital Needs'!$C$51:$P$95,J$2,0)),0,VLOOKUP($B153,'Other Capital Needs'!$C$51:$P$95,J$2,0))+IF(ISNA(VLOOKUP('Project Details by Yr - MASTER'!$B153,'Public Grounds'!$A$11:$N$49,J$2,0)),0,VLOOKUP('Project Details by Yr - MASTER'!$B153,'Public Grounds'!$A$11:$N$49,J$2,0))+IF(ISNA(VLOOKUP('Project Details by Yr - MASTER'!$B153,'Public Buildings'!$A$10:$N$96,J$2,0)),0,VLOOKUP('Project Details by Yr - MASTER'!$B153,'Public Buildings'!$A$10:$N$96,J$2,0))+IF(ISNA(VLOOKUP('Project Details by Yr - MASTER'!$B153,Bridges!$A$9:$N$24,J$2,0)),0,VLOOKUP('Project Details by Yr - MASTER'!$B153,Bridges!$A$9:$N$24,J$2,0))+IF(ISNA(VLOOKUP('Project Details by Yr - MASTER'!$B153,'Parking Lots &amp; Playgrounds'!$A$9:$N$33,J$2,0)),0,VLOOKUP('Project Details by Yr - MASTER'!$B153,'Parking Lots &amp; Playgrounds'!$A$9:$N$33,J$2,0))+IF(ISNA(VLOOKUP($B153,Vehicles!$B$9:$O$50,J$2,0)),0,VLOOKUP($B153,Vehicles!$B$9:$O$50,J$2,0))</f>
        <v>0</v>
      </c>
      <c r="K153" s="8">
        <f>IF(ISNA(VLOOKUP($B153,'Other Capital Needs'!$C$51:$P$95,K$2,0)),0,VLOOKUP($B153,'Other Capital Needs'!$C$51:$P$95,K$2,0))+IF(ISNA(VLOOKUP('Project Details by Yr - MASTER'!$B153,'Public Grounds'!$A$11:$N$49,K$2,0)),0,VLOOKUP('Project Details by Yr - MASTER'!$B153,'Public Grounds'!$A$11:$N$49,K$2,0))+IF(ISNA(VLOOKUP('Project Details by Yr - MASTER'!$B153,'Public Buildings'!$A$10:$N$96,K$2,0)),0,VLOOKUP('Project Details by Yr - MASTER'!$B153,'Public Buildings'!$A$10:$N$96,K$2,0))+IF(ISNA(VLOOKUP('Project Details by Yr - MASTER'!$B153,Bridges!$A$9:$N$24,K$2,0)),0,VLOOKUP('Project Details by Yr - MASTER'!$B153,Bridges!$A$9:$N$24,K$2,0))+IF(ISNA(VLOOKUP('Project Details by Yr - MASTER'!$B153,'Parking Lots &amp; Playgrounds'!$A$9:$N$33,K$2,0)),0,VLOOKUP('Project Details by Yr - MASTER'!$B153,'Parking Lots &amp; Playgrounds'!$A$9:$N$33,K$2,0))+IF(ISNA(VLOOKUP($B153,Vehicles!$B$9:$O$50,K$2,0)),0,VLOOKUP($B153,Vehicles!$B$9:$O$50,K$2,0))</f>
        <v>0</v>
      </c>
    </row>
    <row r="154" spans="2:11" x14ac:dyDescent="0.25">
      <c r="B154" t="s">
        <v>124</v>
      </c>
      <c r="C154" t="s">
        <v>49</v>
      </c>
      <c r="D154" t="s">
        <v>271</v>
      </c>
      <c r="E154" s="1" t="s">
        <v>16</v>
      </c>
      <c r="G154" s="8">
        <f>IF(ISNA(VLOOKUP($B154,'Other Capital Needs'!$C$51:$P$95,G$2,0)),0,VLOOKUP($B154,'Other Capital Needs'!$C$51:$P$95,G$2,0))+IF(ISNA(VLOOKUP('Project Details by Yr - MASTER'!$B154,'Public Grounds'!$A$11:$N$49,G$2,0)),0,VLOOKUP('Project Details by Yr - MASTER'!$B154,'Public Grounds'!$A$11:$N$49,G$2,0))+IF(ISNA(VLOOKUP('Project Details by Yr - MASTER'!$B154,'Public Buildings'!$A$10:$N$96,G$2,0)),0,VLOOKUP('Project Details by Yr - MASTER'!$B154,'Public Buildings'!$A$10:$N$96,G$2,0))+IF(ISNA(VLOOKUP('Project Details by Yr - MASTER'!$B154,Bridges!$A$9:$N$24,G$2,0)),0,VLOOKUP('Project Details by Yr - MASTER'!$B154,Bridges!$A$9:$N$24,G$2,0))+IF(ISNA(VLOOKUP('Project Details by Yr - MASTER'!$B154,'Parking Lots &amp; Playgrounds'!$A$9:$N$33,G$2,0)),0,VLOOKUP('Project Details by Yr - MASTER'!$B154,'Parking Lots &amp; Playgrounds'!$A$9:$N$33,G$2,0))+IF(ISNA(VLOOKUP($B154,Vehicles!$B$9:$O$50,G$2,0)),0,VLOOKUP($B154,Vehicles!$B$9:$O$50,G$2,0))</f>
        <v>145000</v>
      </c>
      <c r="H154" s="8">
        <f>IF(ISNA(VLOOKUP($B154,'Other Capital Needs'!$C$51:$P$95,H$2,0)),0,VLOOKUP($B154,'Other Capital Needs'!$C$51:$P$95,H$2,0))+IF(ISNA(VLOOKUP('Project Details by Yr - MASTER'!$B154,'Public Grounds'!$A$11:$N$49,H$2,0)),0,VLOOKUP('Project Details by Yr - MASTER'!$B154,'Public Grounds'!$A$11:$N$49,H$2,0))+IF(ISNA(VLOOKUP('Project Details by Yr - MASTER'!$B154,'Public Buildings'!$A$10:$N$96,H$2,0)),0,VLOOKUP('Project Details by Yr - MASTER'!$B154,'Public Buildings'!$A$10:$N$96,H$2,0))+IF(ISNA(VLOOKUP('Project Details by Yr - MASTER'!$B154,Bridges!$A$9:$N$24,H$2,0)),0,VLOOKUP('Project Details by Yr - MASTER'!$B154,Bridges!$A$9:$N$24,H$2,0))+IF(ISNA(VLOOKUP('Project Details by Yr - MASTER'!$B154,'Parking Lots &amp; Playgrounds'!$A$9:$N$33,H$2,0)),0,VLOOKUP('Project Details by Yr - MASTER'!$B154,'Parking Lots &amp; Playgrounds'!$A$9:$N$33,H$2,0))+IF(ISNA(VLOOKUP($B154,Vehicles!$B$9:$O$50,H$2,0)),0,VLOOKUP($B154,Vehicles!$B$9:$O$50,H$2,0))</f>
        <v>125000</v>
      </c>
      <c r="I154" s="8">
        <f>IF(ISNA(VLOOKUP($B154,'Other Capital Needs'!$C$51:$P$95,I$2,0)),0,VLOOKUP($B154,'Other Capital Needs'!$C$51:$P$95,I$2,0))+IF(ISNA(VLOOKUP('Project Details by Yr - MASTER'!$B154,'Public Grounds'!$A$11:$N$49,I$2,0)),0,VLOOKUP('Project Details by Yr - MASTER'!$B154,'Public Grounds'!$A$11:$N$49,I$2,0))+IF(ISNA(VLOOKUP('Project Details by Yr - MASTER'!$B154,'Public Buildings'!$A$10:$N$96,I$2,0)),0,VLOOKUP('Project Details by Yr - MASTER'!$B154,'Public Buildings'!$A$10:$N$96,I$2,0))+IF(ISNA(VLOOKUP('Project Details by Yr - MASTER'!$B154,Bridges!$A$9:$N$24,I$2,0)),0,VLOOKUP('Project Details by Yr - MASTER'!$B154,Bridges!$A$9:$N$24,I$2,0))+IF(ISNA(VLOOKUP('Project Details by Yr - MASTER'!$B154,'Parking Lots &amp; Playgrounds'!$A$9:$N$33,I$2,0)),0,VLOOKUP('Project Details by Yr - MASTER'!$B154,'Parking Lots &amp; Playgrounds'!$A$9:$N$33,I$2,0))+IF(ISNA(VLOOKUP($B154,Vehicles!$B$9:$O$50,I$2,0)),0,VLOOKUP($B154,Vehicles!$B$9:$O$50,I$2,0))</f>
        <v>125000</v>
      </c>
      <c r="J154" s="8">
        <f>IF(ISNA(VLOOKUP($B154,'Other Capital Needs'!$C$51:$P$95,J$2,0)),0,VLOOKUP($B154,'Other Capital Needs'!$C$51:$P$95,J$2,0))+IF(ISNA(VLOOKUP('Project Details by Yr - MASTER'!$B154,'Public Grounds'!$A$11:$N$49,J$2,0)),0,VLOOKUP('Project Details by Yr - MASTER'!$B154,'Public Grounds'!$A$11:$N$49,J$2,0))+IF(ISNA(VLOOKUP('Project Details by Yr - MASTER'!$B154,'Public Buildings'!$A$10:$N$96,J$2,0)),0,VLOOKUP('Project Details by Yr - MASTER'!$B154,'Public Buildings'!$A$10:$N$96,J$2,0))+IF(ISNA(VLOOKUP('Project Details by Yr - MASTER'!$B154,Bridges!$A$9:$N$24,J$2,0)),0,VLOOKUP('Project Details by Yr - MASTER'!$B154,Bridges!$A$9:$N$24,J$2,0))+IF(ISNA(VLOOKUP('Project Details by Yr - MASTER'!$B154,'Parking Lots &amp; Playgrounds'!$A$9:$N$33,J$2,0)),0,VLOOKUP('Project Details by Yr - MASTER'!$B154,'Parking Lots &amp; Playgrounds'!$A$9:$N$33,J$2,0))+IF(ISNA(VLOOKUP($B154,Vehicles!$B$9:$O$50,J$2,0)),0,VLOOKUP($B154,Vehicles!$B$9:$O$50,J$2,0))</f>
        <v>125000</v>
      </c>
      <c r="K154" s="8">
        <f>IF(ISNA(VLOOKUP($B154,'Other Capital Needs'!$C$51:$P$95,K$2,0)),0,VLOOKUP($B154,'Other Capital Needs'!$C$51:$P$95,K$2,0))+IF(ISNA(VLOOKUP('Project Details by Yr - MASTER'!$B154,'Public Grounds'!$A$11:$N$49,K$2,0)),0,VLOOKUP('Project Details by Yr - MASTER'!$B154,'Public Grounds'!$A$11:$N$49,K$2,0))+IF(ISNA(VLOOKUP('Project Details by Yr - MASTER'!$B154,'Public Buildings'!$A$10:$N$96,K$2,0)),0,VLOOKUP('Project Details by Yr - MASTER'!$B154,'Public Buildings'!$A$10:$N$96,K$2,0))+IF(ISNA(VLOOKUP('Project Details by Yr - MASTER'!$B154,Bridges!$A$9:$N$24,K$2,0)),0,VLOOKUP('Project Details by Yr - MASTER'!$B154,Bridges!$A$9:$N$24,K$2,0))+IF(ISNA(VLOOKUP('Project Details by Yr - MASTER'!$B154,'Parking Lots &amp; Playgrounds'!$A$9:$N$33,K$2,0)),0,VLOOKUP('Project Details by Yr - MASTER'!$B154,'Parking Lots &amp; Playgrounds'!$A$9:$N$33,K$2,0))+IF(ISNA(VLOOKUP($B154,Vehicles!$B$9:$O$50,K$2,0)),0,VLOOKUP($B154,Vehicles!$B$9:$O$50,K$2,0))</f>
        <v>125000</v>
      </c>
    </row>
    <row r="155" spans="2:11" x14ac:dyDescent="0.25">
      <c r="B155" t="s">
        <v>125</v>
      </c>
      <c r="C155" t="s">
        <v>49</v>
      </c>
      <c r="D155" t="s">
        <v>271</v>
      </c>
      <c r="E155" s="1" t="s">
        <v>16</v>
      </c>
      <c r="G155" s="8">
        <f>IF(ISNA(VLOOKUP($B155,'Other Capital Needs'!$C$51:$P$95,G$2,0)),0,VLOOKUP($B155,'Other Capital Needs'!$C$51:$P$95,G$2,0))+IF(ISNA(VLOOKUP('Project Details by Yr - MASTER'!$B155,'Public Grounds'!$A$11:$N$49,G$2,0)),0,VLOOKUP('Project Details by Yr - MASTER'!$B155,'Public Grounds'!$A$11:$N$49,G$2,0))+IF(ISNA(VLOOKUP('Project Details by Yr - MASTER'!$B155,'Public Buildings'!$A$10:$N$96,G$2,0)),0,VLOOKUP('Project Details by Yr - MASTER'!$B155,'Public Buildings'!$A$10:$N$96,G$2,0))+IF(ISNA(VLOOKUP('Project Details by Yr - MASTER'!$B155,Bridges!$A$9:$N$24,G$2,0)),0,VLOOKUP('Project Details by Yr - MASTER'!$B155,Bridges!$A$9:$N$24,G$2,0))+IF(ISNA(VLOOKUP('Project Details by Yr - MASTER'!$B155,'Parking Lots &amp; Playgrounds'!$A$9:$N$33,G$2,0)),0,VLOOKUP('Project Details by Yr - MASTER'!$B155,'Parking Lots &amp; Playgrounds'!$A$9:$N$33,G$2,0))+IF(ISNA(VLOOKUP($B155,Vehicles!$B$9:$O$50,G$2,0)),0,VLOOKUP($B155,Vehicles!$B$9:$O$50,G$2,0))</f>
        <v>0</v>
      </c>
      <c r="H155" s="8">
        <f>IF(ISNA(VLOOKUP($B155,'Other Capital Needs'!$C$51:$P$95,H$2,0)),0,VLOOKUP($B155,'Other Capital Needs'!$C$51:$P$95,H$2,0))+IF(ISNA(VLOOKUP('Project Details by Yr - MASTER'!$B155,'Public Grounds'!$A$11:$N$49,H$2,0)),0,VLOOKUP('Project Details by Yr - MASTER'!$B155,'Public Grounds'!$A$11:$N$49,H$2,0))+IF(ISNA(VLOOKUP('Project Details by Yr - MASTER'!$B155,'Public Buildings'!$A$10:$N$96,H$2,0)),0,VLOOKUP('Project Details by Yr - MASTER'!$B155,'Public Buildings'!$A$10:$N$96,H$2,0))+IF(ISNA(VLOOKUP('Project Details by Yr - MASTER'!$B155,Bridges!$A$9:$N$24,H$2,0)),0,VLOOKUP('Project Details by Yr - MASTER'!$B155,Bridges!$A$9:$N$24,H$2,0))+IF(ISNA(VLOOKUP('Project Details by Yr - MASTER'!$B155,'Parking Lots &amp; Playgrounds'!$A$9:$N$33,H$2,0)),0,VLOOKUP('Project Details by Yr - MASTER'!$B155,'Parking Lots &amp; Playgrounds'!$A$9:$N$33,H$2,0))+IF(ISNA(VLOOKUP($B155,Vehicles!$B$9:$O$50,H$2,0)),0,VLOOKUP($B155,Vehicles!$B$9:$O$50,H$2,0))</f>
        <v>29327</v>
      </c>
      <c r="I155" s="8">
        <f>IF(ISNA(VLOOKUP($B155,'Other Capital Needs'!$C$51:$P$95,I$2,0)),0,VLOOKUP($B155,'Other Capital Needs'!$C$51:$P$95,I$2,0))+IF(ISNA(VLOOKUP('Project Details by Yr - MASTER'!$B155,'Public Grounds'!$A$11:$N$49,I$2,0)),0,VLOOKUP('Project Details by Yr - MASTER'!$B155,'Public Grounds'!$A$11:$N$49,I$2,0))+IF(ISNA(VLOOKUP('Project Details by Yr - MASTER'!$B155,'Public Buildings'!$A$10:$N$96,I$2,0)),0,VLOOKUP('Project Details by Yr - MASTER'!$B155,'Public Buildings'!$A$10:$N$96,I$2,0))+IF(ISNA(VLOOKUP('Project Details by Yr - MASTER'!$B155,Bridges!$A$9:$N$24,I$2,0)),0,VLOOKUP('Project Details by Yr - MASTER'!$B155,Bridges!$A$9:$N$24,I$2,0))+IF(ISNA(VLOOKUP('Project Details by Yr - MASTER'!$B155,'Parking Lots &amp; Playgrounds'!$A$9:$N$33,I$2,0)),0,VLOOKUP('Project Details by Yr - MASTER'!$B155,'Parking Lots &amp; Playgrounds'!$A$9:$N$33,I$2,0))+IF(ISNA(VLOOKUP($B155,Vehicles!$B$9:$O$50,I$2,0)),0,VLOOKUP($B155,Vehicles!$B$9:$O$50,I$2,0))</f>
        <v>29327</v>
      </c>
      <c r="J155" s="8">
        <f>IF(ISNA(VLOOKUP($B155,'Other Capital Needs'!$C$51:$P$95,J$2,0)),0,VLOOKUP($B155,'Other Capital Needs'!$C$51:$P$95,J$2,0))+IF(ISNA(VLOOKUP('Project Details by Yr - MASTER'!$B155,'Public Grounds'!$A$11:$N$49,J$2,0)),0,VLOOKUP('Project Details by Yr - MASTER'!$B155,'Public Grounds'!$A$11:$N$49,J$2,0))+IF(ISNA(VLOOKUP('Project Details by Yr - MASTER'!$B155,'Public Buildings'!$A$10:$N$96,J$2,0)),0,VLOOKUP('Project Details by Yr - MASTER'!$B155,'Public Buildings'!$A$10:$N$96,J$2,0))+IF(ISNA(VLOOKUP('Project Details by Yr - MASTER'!$B155,Bridges!$A$9:$N$24,J$2,0)),0,VLOOKUP('Project Details by Yr - MASTER'!$B155,Bridges!$A$9:$N$24,J$2,0))+IF(ISNA(VLOOKUP('Project Details by Yr - MASTER'!$B155,'Parking Lots &amp; Playgrounds'!$A$9:$N$33,J$2,0)),0,VLOOKUP('Project Details by Yr - MASTER'!$B155,'Parking Lots &amp; Playgrounds'!$A$9:$N$33,J$2,0))+IF(ISNA(VLOOKUP($B155,Vehicles!$B$9:$O$50,J$2,0)),0,VLOOKUP($B155,Vehicles!$B$9:$O$50,J$2,0))</f>
        <v>0</v>
      </c>
      <c r="K155" s="8">
        <f>IF(ISNA(VLOOKUP($B155,'Other Capital Needs'!$C$51:$P$95,K$2,0)),0,VLOOKUP($B155,'Other Capital Needs'!$C$51:$P$95,K$2,0))+IF(ISNA(VLOOKUP('Project Details by Yr - MASTER'!$B155,'Public Grounds'!$A$11:$N$49,K$2,0)),0,VLOOKUP('Project Details by Yr - MASTER'!$B155,'Public Grounds'!$A$11:$N$49,K$2,0))+IF(ISNA(VLOOKUP('Project Details by Yr - MASTER'!$B155,'Public Buildings'!$A$10:$N$96,K$2,0)),0,VLOOKUP('Project Details by Yr - MASTER'!$B155,'Public Buildings'!$A$10:$N$96,K$2,0))+IF(ISNA(VLOOKUP('Project Details by Yr - MASTER'!$B155,Bridges!$A$9:$N$24,K$2,0)),0,VLOOKUP('Project Details by Yr - MASTER'!$B155,Bridges!$A$9:$N$24,K$2,0))+IF(ISNA(VLOOKUP('Project Details by Yr - MASTER'!$B155,'Parking Lots &amp; Playgrounds'!$A$9:$N$33,K$2,0)),0,VLOOKUP('Project Details by Yr - MASTER'!$B155,'Parking Lots &amp; Playgrounds'!$A$9:$N$33,K$2,0))+IF(ISNA(VLOOKUP($B155,Vehicles!$B$9:$O$50,K$2,0)),0,VLOOKUP($B155,Vehicles!$B$9:$O$50,K$2,0))</f>
        <v>0</v>
      </c>
    </row>
    <row r="156" spans="2:11" x14ac:dyDescent="0.25">
      <c r="B156" t="s">
        <v>126</v>
      </c>
      <c r="C156" t="s">
        <v>49</v>
      </c>
      <c r="D156" t="s">
        <v>271</v>
      </c>
      <c r="E156" s="1" t="s">
        <v>16</v>
      </c>
      <c r="G156" s="8">
        <f>IF(ISNA(VLOOKUP($B156,'Other Capital Needs'!$C$51:$P$95,G$2,0)),0,VLOOKUP($B156,'Other Capital Needs'!$C$51:$P$95,G$2,0))+IF(ISNA(VLOOKUP('Project Details by Yr - MASTER'!$B156,'Public Grounds'!$A$11:$N$49,G$2,0)),0,VLOOKUP('Project Details by Yr - MASTER'!$B156,'Public Grounds'!$A$11:$N$49,G$2,0))+IF(ISNA(VLOOKUP('Project Details by Yr - MASTER'!$B156,'Public Buildings'!$A$10:$N$96,G$2,0)),0,VLOOKUP('Project Details by Yr - MASTER'!$B156,'Public Buildings'!$A$10:$N$96,G$2,0))+IF(ISNA(VLOOKUP('Project Details by Yr - MASTER'!$B156,Bridges!$A$9:$N$24,G$2,0)),0,VLOOKUP('Project Details by Yr - MASTER'!$B156,Bridges!$A$9:$N$24,G$2,0))+IF(ISNA(VLOOKUP('Project Details by Yr - MASTER'!$B156,'Parking Lots &amp; Playgrounds'!$A$9:$N$33,G$2,0)),0,VLOOKUP('Project Details by Yr - MASTER'!$B156,'Parking Lots &amp; Playgrounds'!$A$9:$N$33,G$2,0))+IF(ISNA(VLOOKUP($B156,Vehicles!$B$9:$O$50,G$2,0)),0,VLOOKUP($B156,Vehicles!$B$9:$O$50,G$2,0))</f>
        <v>0</v>
      </c>
      <c r="H156" s="8">
        <f>IF(ISNA(VLOOKUP($B156,'Other Capital Needs'!$C$51:$P$95,H$2,0)),0,VLOOKUP($B156,'Other Capital Needs'!$C$51:$P$95,H$2,0))+IF(ISNA(VLOOKUP('Project Details by Yr - MASTER'!$B156,'Public Grounds'!$A$11:$N$49,H$2,0)),0,VLOOKUP('Project Details by Yr - MASTER'!$B156,'Public Grounds'!$A$11:$N$49,H$2,0))+IF(ISNA(VLOOKUP('Project Details by Yr - MASTER'!$B156,'Public Buildings'!$A$10:$N$96,H$2,0)),0,VLOOKUP('Project Details by Yr - MASTER'!$B156,'Public Buildings'!$A$10:$N$96,H$2,0))+IF(ISNA(VLOOKUP('Project Details by Yr - MASTER'!$B156,Bridges!$A$9:$N$24,H$2,0)),0,VLOOKUP('Project Details by Yr - MASTER'!$B156,Bridges!$A$9:$N$24,H$2,0))+IF(ISNA(VLOOKUP('Project Details by Yr - MASTER'!$B156,'Parking Lots &amp; Playgrounds'!$A$9:$N$33,H$2,0)),0,VLOOKUP('Project Details by Yr - MASTER'!$B156,'Parking Lots &amp; Playgrounds'!$A$9:$N$33,H$2,0))+IF(ISNA(VLOOKUP($B156,Vehicles!$B$9:$O$50,H$2,0)),0,VLOOKUP($B156,Vehicles!$B$9:$O$50,H$2,0))</f>
        <v>29327</v>
      </c>
      <c r="I156" s="8">
        <f>IF(ISNA(VLOOKUP($B156,'Other Capital Needs'!$C$51:$P$95,I$2,0)),0,VLOOKUP($B156,'Other Capital Needs'!$C$51:$P$95,I$2,0))+IF(ISNA(VLOOKUP('Project Details by Yr - MASTER'!$B156,'Public Grounds'!$A$11:$N$49,I$2,0)),0,VLOOKUP('Project Details by Yr - MASTER'!$B156,'Public Grounds'!$A$11:$N$49,I$2,0))+IF(ISNA(VLOOKUP('Project Details by Yr - MASTER'!$B156,'Public Buildings'!$A$10:$N$96,I$2,0)),0,VLOOKUP('Project Details by Yr - MASTER'!$B156,'Public Buildings'!$A$10:$N$96,I$2,0))+IF(ISNA(VLOOKUP('Project Details by Yr - MASTER'!$B156,Bridges!$A$9:$N$24,I$2,0)),0,VLOOKUP('Project Details by Yr - MASTER'!$B156,Bridges!$A$9:$N$24,I$2,0))+IF(ISNA(VLOOKUP('Project Details by Yr - MASTER'!$B156,'Parking Lots &amp; Playgrounds'!$A$9:$N$33,I$2,0)),0,VLOOKUP('Project Details by Yr - MASTER'!$B156,'Parking Lots &amp; Playgrounds'!$A$9:$N$33,I$2,0))+IF(ISNA(VLOOKUP($B156,Vehicles!$B$9:$O$50,I$2,0)),0,VLOOKUP($B156,Vehicles!$B$9:$O$50,I$2,0))</f>
        <v>29327</v>
      </c>
      <c r="J156" s="8">
        <f>IF(ISNA(VLOOKUP($B156,'Other Capital Needs'!$C$51:$P$95,J$2,0)),0,VLOOKUP($B156,'Other Capital Needs'!$C$51:$P$95,J$2,0))+IF(ISNA(VLOOKUP('Project Details by Yr - MASTER'!$B156,'Public Grounds'!$A$11:$N$49,J$2,0)),0,VLOOKUP('Project Details by Yr - MASTER'!$B156,'Public Grounds'!$A$11:$N$49,J$2,0))+IF(ISNA(VLOOKUP('Project Details by Yr - MASTER'!$B156,'Public Buildings'!$A$10:$N$96,J$2,0)),0,VLOOKUP('Project Details by Yr - MASTER'!$B156,'Public Buildings'!$A$10:$N$96,J$2,0))+IF(ISNA(VLOOKUP('Project Details by Yr - MASTER'!$B156,Bridges!$A$9:$N$24,J$2,0)),0,VLOOKUP('Project Details by Yr - MASTER'!$B156,Bridges!$A$9:$N$24,J$2,0))+IF(ISNA(VLOOKUP('Project Details by Yr - MASTER'!$B156,'Parking Lots &amp; Playgrounds'!$A$9:$N$33,J$2,0)),0,VLOOKUP('Project Details by Yr - MASTER'!$B156,'Parking Lots &amp; Playgrounds'!$A$9:$N$33,J$2,0))+IF(ISNA(VLOOKUP($B156,Vehicles!$B$9:$O$50,J$2,0)),0,VLOOKUP($B156,Vehicles!$B$9:$O$50,J$2,0))</f>
        <v>0</v>
      </c>
      <c r="K156" s="8">
        <f>IF(ISNA(VLOOKUP($B156,'Other Capital Needs'!$C$51:$P$95,K$2,0)),0,VLOOKUP($B156,'Other Capital Needs'!$C$51:$P$95,K$2,0))+IF(ISNA(VLOOKUP('Project Details by Yr - MASTER'!$B156,'Public Grounds'!$A$11:$N$49,K$2,0)),0,VLOOKUP('Project Details by Yr - MASTER'!$B156,'Public Grounds'!$A$11:$N$49,K$2,0))+IF(ISNA(VLOOKUP('Project Details by Yr - MASTER'!$B156,'Public Buildings'!$A$10:$N$96,K$2,0)),0,VLOOKUP('Project Details by Yr - MASTER'!$B156,'Public Buildings'!$A$10:$N$96,K$2,0))+IF(ISNA(VLOOKUP('Project Details by Yr - MASTER'!$B156,Bridges!$A$9:$N$24,K$2,0)),0,VLOOKUP('Project Details by Yr - MASTER'!$B156,Bridges!$A$9:$N$24,K$2,0))+IF(ISNA(VLOOKUP('Project Details by Yr - MASTER'!$B156,'Parking Lots &amp; Playgrounds'!$A$9:$N$33,K$2,0)),0,VLOOKUP('Project Details by Yr - MASTER'!$B156,'Parking Lots &amp; Playgrounds'!$A$9:$N$33,K$2,0))+IF(ISNA(VLOOKUP($B156,Vehicles!$B$9:$O$50,K$2,0)),0,VLOOKUP($B156,Vehicles!$B$9:$O$50,K$2,0))</f>
        <v>0</v>
      </c>
    </row>
    <row r="157" spans="2:11" x14ac:dyDescent="0.25">
      <c r="B157" t="s">
        <v>127</v>
      </c>
      <c r="C157" t="s">
        <v>49</v>
      </c>
      <c r="D157" t="s">
        <v>271</v>
      </c>
      <c r="E157" s="1" t="s">
        <v>16</v>
      </c>
      <c r="G157" s="8">
        <f>IF(ISNA(VLOOKUP($B157,'Other Capital Needs'!$C$51:$P$95,G$2,0)),0,VLOOKUP($B157,'Other Capital Needs'!$C$51:$P$95,G$2,0))+IF(ISNA(VLOOKUP('Project Details by Yr - MASTER'!$B157,'Public Grounds'!$A$11:$N$49,G$2,0)),0,VLOOKUP('Project Details by Yr - MASTER'!$B157,'Public Grounds'!$A$11:$N$49,G$2,0))+IF(ISNA(VLOOKUP('Project Details by Yr - MASTER'!$B157,'Public Buildings'!$A$10:$N$96,G$2,0)),0,VLOOKUP('Project Details by Yr - MASTER'!$B157,'Public Buildings'!$A$10:$N$96,G$2,0))+IF(ISNA(VLOOKUP('Project Details by Yr - MASTER'!$B157,Bridges!$A$9:$N$24,G$2,0)),0,VLOOKUP('Project Details by Yr - MASTER'!$B157,Bridges!$A$9:$N$24,G$2,0))+IF(ISNA(VLOOKUP('Project Details by Yr - MASTER'!$B157,'Parking Lots &amp; Playgrounds'!$A$9:$N$33,G$2,0)),0,VLOOKUP('Project Details by Yr - MASTER'!$B157,'Parking Lots &amp; Playgrounds'!$A$9:$N$33,G$2,0))+IF(ISNA(VLOOKUP($B157,Vehicles!$B$9:$O$50,G$2,0)),0,VLOOKUP($B157,Vehicles!$B$9:$O$50,G$2,0))</f>
        <v>33000</v>
      </c>
      <c r="H157" s="8">
        <f>IF(ISNA(VLOOKUP($B157,'Other Capital Needs'!$C$51:$P$95,H$2,0)),0,VLOOKUP($B157,'Other Capital Needs'!$C$51:$P$95,H$2,0))+IF(ISNA(VLOOKUP('Project Details by Yr - MASTER'!$B157,'Public Grounds'!$A$11:$N$49,H$2,0)),0,VLOOKUP('Project Details by Yr - MASTER'!$B157,'Public Grounds'!$A$11:$N$49,H$2,0))+IF(ISNA(VLOOKUP('Project Details by Yr - MASTER'!$B157,'Public Buildings'!$A$10:$N$96,H$2,0)),0,VLOOKUP('Project Details by Yr - MASTER'!$B157,'Public Buildings'!$A$10:$N$96,H$2,0))+IF(ISNA(VLOOKUP('Project Details by Yr - MASTER'!$B157,Bridges!$A$9:$N$24,H$2,0)),0,VLOOKUP('Project Details by Yr - MASTER'!$B157,Bridges!$A$9:$N$24,H$2,0))+IF(ISNA(VLOOKUP('Project Details by Yr - MASTER'!$B157,'Parking Lots &amp; Playgrounds'!$A$9:$N$33,H$2,0)),0,VLOOKUP('Project Details by Yr - MASTER'!$B157,'Parking Lots &amp; Playgrounds'!$A$9:$N$33,H$2,0))+IF(ISNA(VLOOKUP($B157,Vehicles!$B$9:$O$50,H$2,0)),0,VLOOKUP($B157,Vehicles!$B$9:$O$50,H$2,0))</f>
        <v>0</v>
      </c>
      <c r="I157" s="8">
        <f>IF(ISNA(VLOOKUP($B157,'Other Capital Needs'!$C$51:$P$95,I$2,0)),0,VLOOKUP($B157,'Other Capital Needs'!$C$51:$P$95,I$2,0))+IF(ISNA(VLOOKUP('Project Details by Yr - MASTER'!$B157,'Public Grounds'!$A$11:$N$49,I$2,0)),0,VLOOKUP('Project Details by Yr - MASTER'!$B157,'Public Grounds'!$A$11:$N$49,I$2,0))+IF(ISNA(VLOOKUP('Project Details by Yr - MASTER'!$B157,'Public Buildings'!$A$10:$N$96,I$2,0)),0,VLOOKUP('Project Details by Yr - MASTER'!$B157,'Public Buildings'!$A$10:$N$96,I$2,0))+IF(ISNA(VLOOKUP('Project Details by Yr - MASTER'!$B157,Bridges!$A$9:$N$24,I$2,0)),0,VLOOKUP('Project Details by Yr - MASTER'!$B157,Bridges!$A$9:$N$24,I$2,0))+IF(ISNA(VLOOKUP('Project Details by Yr - MASTER'!$B157,'Parking Lots &amp; Playgrounds'!$A$9:$N$33,I$2,0)),0,VLOOKUP('Project Details by Yr - MASTER'!$B157,'Parking Lots &amp; Playgrounds'!$A$9:$N$33,I$2,0))+IF(ISNA(VLOOKUP($B157,Vehicles!$B$9:$O$50,I$2,0)),0,VLOOKUP($B157,Vehicles!$B$9:$O$50,I$2,0))</f>
        <v>33000</v>
      </c>
      <c r="J157" s="8">
        <f>IF(ISNA(VLOOKUP($B157,'Other Capital Needs'!$C$51:$P$95,J$2,0)),0,VLOOKUP($B157,'Other Capital Needs'!$C$51:$P$95,J$2,0))+IF(ISNA(VLOOKUP('Project Details by Yr - MASTER'!$B157,'Public Grounds'!$A$11:$N$49,J$2,0)),0,VLOOKUP('Project Details by Yr - MASTER'!$B157,'Public Grounds'!$A$11:$N$49,J$2,0))+IF(ISNA(VLOOKUP('Project Details by Yr - MASTER'!$B157,'Public Buildings'!$A$10:$N$96,J$2,0)),0,VLOOKUP('Project Details by Yr - MASTER'!$B157,'Public Buildings'!$A$10:$N$96,J$2,0))+IF(ISNA(VLOOKUP('Project Details by Yr - MASTER'!$B157,Bridges!$A$9:$N$24,J$2,0)),0,VLOOKUP('Project Details by Yr - MASTER'!$B157,Bridges!$A$9:$N$24,J$2,0))+IF(ISNA(VLOOKUP('Project Details by Yr - MASTER'!$B157,'Parking Lots &amp; Playgrounds'!$A$9:$N$33,J$2,0)),0,VLOOKUP('Project Details by Yr - MASTER'!$B157,'Parking Lots &amp; Playgrounds'!$A$9:$N$33,J$2,0))+IF(ISNA(VLOOKUP($B157,Vehicles!$B$9:$O$50,J$2,0)),0,VLOOKUP($B157,Vehicles!$B$9:$O$50,J$2,0))</f>
        <v>0</v>
      </c>
      <c r="K157" s="8">
        <f>IF(ISNA(VLOOKUP($B157,'Other Capital Needs'!$C$51:$P$95,K$2,0)),0,VLOOKUP($B157,'Other Capital Needs'!$C$51:$P$95,K$2,0))+IF(ISNA(VLOOKUP('Project Details by Yr - MASTER'!$B157,'Public Grounds'!$A$11:$N$49,K$2,0)),0,VLOOKUP('Project Details by Yr - MASTER'!$B157,'Public Grounds'!$A$11:$N$49,K$2,0))+IF(ISNA(VLOOKUP('Project Details by Yr - MASTER'!$B157,'Public Buildings'!$A$10:$N$96,K$2,0)),0,VLOOKUP('Project Details by Yr - MASTER'!$B157,'Public Buildings'!$A$10:$N$96,K$2,0))+IF(ISNA(VLOOKUP('Project Details by Yr - MASTER'!$B157,Bridges!$A$9:$N$24,K$2,0)),0,VLOOKUP('Project Details by Yr - MASTER'!$B157,Bridges!$A$9:$N$24,K$2,0))+IF(ISNA(VLOOKUP('Project Details by Yr - MASTER'!$B157,'Parking Lots &amp; Playgrounds'!$A$9:$N$33,K$2,0)),0,VLOOKUP('Project Details by Yr - MASTER'!$B157,'Parking Lots &amp; Playgrounds'!$A$9:$N$33,K$2,0))+IF(ISNA(VLOOKUP($B157,Vehicles!$B$9:$O$50,K$2,0)),0,VLOOKUP($B157,Vehicles!$B$9:$O$50,K$2,0))</f>
        <v>33000</v>
      </c>
    </row>
    <row r="158" spans="2:11" x14ac:dyDescent="0.25">
      <c r="B158" t="s">
        <v>128</v>
      </c>
      <c r="C158" t="s">
        <v>49</v>
      </c>
      <c r="D158" t="s">
        <v>271</v>
      </c>
      <c r="E158" s="1" t="s">
        <v>16</v>
      </c>
      <c r="G158" s="8">
        <f>IF(ISNA(VLOOKUP($B158,'Other Capital Needs'!$C$51:$P$95,G$2,0)),0,VLOOKUP($B158,'Other Capital Needs'!$C$51:$P$95,G$2,0))+IF(ISNA(VLOOKUP('Project Details by Yr - MASTER'!$B158,'Public Grounds'!$A$11:$N$49,G$2,0)),0,VLOOKUP('Project Details by Yr - MASTER'!$B158,'Public Grounds'!$A$11:$N$49,G$2,0))+IF(ISNA(VLOOKUP('Project Details by Yr - MASTER'!$B158,'Public Buildings'!$A$10:$N$96,G$2,0)),0,VLOOKUP('Project Details by Yr - MASTER'!$B158,'Public Buildings'!$A$10:$N$96,G$2,0))+IF(ISNA(VLOOKUP('Project Details by Yr - MASTER'!$B158,Bridges!$A$9:$N$24,G$2,0)),0,VLOOKUP('Project Details by Yr - MASTER'!$B158,Bridges!$A$9:$N$24,G$2,0))+IF(ISNA(VLOOKUP('Project Details by Yr - MASTER'!$B158,'Parking Lots &amp; Playgrounds'!$A$9:$N$33,G$2,0)),0,VLOOKUP('Project Details by Yr - MASTER'!$B158,'Parking Lots &amp; Playgrounds'!$A$9:$N$33,G$2,0))+IF(ISNA(VLOOKUP($B158,Vehicles!$B$9:$O$50,G$2,0)),0,VLOOKUP($B158,Vehicles!$B$9:$O$50,G$2,0))</f>
        <v>28000</v>
      </c>
      <c r="H158" s="8">
        <f>IF(ISNA(VLOOKUP($B158,'Other Capital Needs'!$C$51:$P$95,H$2,0)),0,VLOOKUP($B158,'Other Capital Needs'!$C$51:$P$95,H$2,0))+IF(ISNA(VLOOKUP('Project Details by Yr - MASTER'!$B158,'Public Grounds'!$A$11:$N$49,H$2,0)),0,VLOOKUP('Project Details by Yr - MASTER'!$B158,'Public Grounds'!$A$11:$N$49,H$2,0))+IF(ISNA(VLOOKUP('Project Details by Yr - MASTER'!$B158,'Public Buildings'!$A$10:$N$96,H$2,0)),0,VLOOKUP('Project Details by Yr - MASTER'!$B158,'Public Buildings'!$A$10:$N$96,H$2,0))+IF(ISNA(VLOOKUP('Project Details by Yr - MASTER'!$B158,Bridges!$A$9:$N$24,H$2,0)),0,VLOOKUP('Project Details by Yr - MASTER'!$B158,Bridges!$A$9:$N$24,H$2,0))+IF(ISNA(VLOOKUP('Project Details by Yr - MASTER'!$B158,'Parking Lots &amp; Playgrounds'!$A$9:$N$33,H$2,0)),0,VLOOKUP('Project Details by Yr - MASTER'!$B158,'Parking Lots &amp; Playgrounds'!$A$9:$N$33,H$2,0))+IF(ISNA(VLOOKUP($B158,Vehicles!$B$9:$O$50,H$2,0)),0,VLOOKUP($B158,Vehicles!$B$9:$O$50,H$2,0))</f>
        <v>28000</v>
      </c>
      <c r="I158" s="8">
        <f>IF(ISNA(VLOOKUP($B158,'Other Capital Needs'!$C$51:$P$95,I$2,0)),0,VLOOKUP($B158,'Other Capital Needs'!$C$51:$P$95,I$2,0))+IF(ISNA(VLOOKUP('Project Details by Yr - MASTER'!$B158,'Public Grounds'!$A$11:$N$49,I$2,0)),0,VLOOKUP('Project Details by Yr - MASTER'!$B158,'Public Grounds'!$A$11:$N$49,I$2,0))+IF(ISNA(VLOOKUP('Project Details by Yr - MASTER'!$B158,'Public Buildings'!$A$10:$N$96,I$2,0)),0,VLOOKUP('Project Details by Yr - MASTER'!$B158,'Public Buildings'!$A$10:$N$96,I$2,0))+IF(ISNA(VLOOKUP('Project Details by Yr - MASTER'!$B158,Bridges!$A$9:$N$24,I$2,0)),0,VLOOKUP('Project Details by Yr - MASTER'!$B158,Bridges!$A$9:$N$24,I$2,0))+IF(ISNA(VLOOKUP('Project Details by Yr - MASTER'!$B158,'Parking Lots &amp; Playgrounds'!$A$9:$N$33,I$2,0)),0,VLOOKUP('Project Details by Yr - MASTER'!$B158,'Parking Lots &amp; Playgrounds'!$A$9:$N$33,I$2,0))+IF(ISNA(VLOOKUP($B158,Vehicles!$B$9:$O$50,I$2,0)),0,VLOOKUP($B158,Vehicles!$B$9:$O$50,I$2,0))</f>
        <v>28000</v>
      </c>
      <c r="J158" s="8">
        <f>IF(ISNA(VLOOKUP($B158,'Other Capital Needs'!$C$51:$P$95,J$2,0)),0,VLOOKUP($B158,'Other Capital Needs'!$C$51:$P$95,J$2,0))+IF(ISNA(VLOOKUP('Project Details by Yr - MASTER'!$B158,'Public Grounds'!$A$11:$N$49,J$2,0)),0,VLOOKUP('Project Details by Yr - MASTER'!$B158,'Public Grounds'!$A$11:$N$49,J$2,0))+IF(ISNA(VLOOKUP('Project Details by Yr - MASTER'!$B158,'Public Buildings'!$A$10:$N$96,J$2,0)),0,VLOOKUP('Project Details by Yr - MASTER'!$B158,'Public Buildings'!$A$10:$N$96,J$2,0))+IF(ISNA(VLOOKUP('Project Details by Yr - MASTER'!$B158,Bridges!$A$9:$N$24,J$2,0)),0,VLOOKUP('Project Details by Yr - MASTER'!$B158,Bridges!$A$9:$N$24,J$2,0))+IF(ISNA(VLOOKUP('Project Details by Yr - MASTER'!$B158,'Parking Lots &amp; Playgrounds'!$A$9:$N$33,J$2,0)),0,VLOOKUP('Project Details by Yr - MASTER'!$B158,'Parking Lots &amp; Playgrounds'!$A$9:$N$33,J$2,0))+IF(ISNA(VLOOKUP($B158,Vehicles!$B$9:$O$50,J$2,0)),0,VLOOKUP($B158,Vehicles!$B$9:$O$50,J$2,0))</f>
        <v>28000</v>
      </c>
      <c r="K158" s="8">
        <f>IF(ISNA(VLOOKUP($B158,'Other Capital Needs'!$C$51:$P$95,K$2,0)),0,VLOOKUP($B158,'Other Capital Needs'!$C$51:$P$95,K$2,0))+IF(ISNA(VLOOKUP('Project Details by Yr - MASTER'!$B158,'Public Grounds'!$A$11:$N$49,K$2,0)),0,VLOOKUP('Project Details by Yr - MASTER'!$B158,'Public Grounds'!$A$11:$N$49,K$2,0))+IF(ISNA(VLOOKUP('Project Details by Yr - MASTER'!$B158,'Public Buildings'!$A$10:$N$96,K$2,0)),0,VLOOKUP('Project Details by Yr - MASTER'!$B158,'Public Buildings'!$A$10:$N$96,K$2,0))+IF(ISNA(VLOOKUP('Project Details by Yr - MASTER'!$B158,Bridges!$A$9:$N$24,K$2,0)),0,VLOOKUP('Project Details by Yr - MASTER'!$B158,Bridges!$A$9:$N$24,K$2,0))+IF(ISNA(VLOOKUP('Project Details by Yr - MASTER'!$B158,'Parking Lots &amp; Playgrounds'!$A$9:$N$33,K$2,0)),0,VLOOKUP('Project Details by Yr - MASTER'!$B158,'Parking Lots &amp; Playgrounds'!$A$9:$N$33,K$2,0))+IF(ISNA(VLOOKUP($B158,Vehicles!$B$9:$O$50,K$2,0)),0,VLOOKUP($B158,Vehicles!$B$9:$O$50,K$2,0))</f>
        <v>28000</v>
      </c>
    </row>
    <row r="159" spans="2:11" x14ac:dyDescent="0.25">
      <c r="B159" t="s">
        <v>120</v>
      </c>
      <c r="C159" t="s">
        <v>49</v>
      </c>
      <c r="D159" t="s">
        <v>271</v>
      </c>
      <c r="E159" s="1" t="s">
        <v>16</v>
      </c>
      <c r="G159" s="8">
        <f>IF(ISNA(VLOOKUP($B159,'Other Capital Needs'!$C$51:$P$95,G$2,0)),0,VLOOKUP($B159,'Other Capital Needs'!$C$51:$P$95,G$2,0))+IF(ISNA(VLOOKUP('Project Details by Yr - MASTER'!$B159,'Public Grounds'!$A$11:$N$49,G$2,0)),0,VLOOKUP('Project Details by Yr - MASTER'!$B159,'Public Grounds'!$A$11:$N$49,G$2,0))+IF(ISNA(VLOOKUP('Project Details by Yr - MASTER'!$B159,'Public Buildings'!$A$10:$N$96,G$2,0)),0,VLOOKUP('Project Details by Yr - MASTER'!$B159,'Public Buildings'!$A$10:$N$96,G$2,0))+IF(ISNA(VLOOKUP('Project Details by Yr - MASTER'!$B159,Bridges!$A$9:$N$24,G$2,0)),0,VLOOKUP('Project Details by Yr - MASTER'!$B159,Bridges!$A$9:$N$24,G$2,0))+IF(ISNA(VLOOKUP('Project Details by Yr - MASTER'!$B159,'Parking Lots &amp; Playgrounds'!$A$9:$N$33,G$2,0)),0,VLOOKUP('Project Details by Yr - MASTER'!$B159,'Parking Lots &amp; Playgrounds'!$A$9:$N$33,G$2,0))+IF(ISNA(VLOOKUP($B159,Vehicles!$B$9:$O$50,G$2,0)),0,VLOOKUP($B159,Vehicles!$B$9:$O$50,G$2,0))</f>
        <v>200000</v>
      </c>
      <c r="H159" s="8">
        <f>IF(ISNA(VLOOKUP($B159,'Other Capital Needs'!$C$51:$P$95,H$2,0)),0,VLOOKUP($B159,'Other Capital Needs'!$C$51:$P$95,H$2,0))+IF(ISNA(VLOOKUP('Project Details by Yr - MASTER'!$B159,'Public Grounds'!$A$11:$N$49,H$2,0)),0,VLOOKUP('Project Details by Yr - MASTER'!$B159,'Public Grounds'!$A$11:$N$49,H$2,0))+IF(ISNA(VLOOKUP('Project Details by Yr - MASTER'!$B159,'Public Buildings'!$A$10:$N$96,H$2,0)),0,VLOOKUP('Project Details by Yr - MASTER'!$B159,'Public Buildings'!$A$10:$N$96,H$2,0))+IF(ISNA(VLOOKUP('Project Details by Yr - MASTER'!$B159,Bridges!$A$9:$N$24,H$2,0)),0,VLOOKUP('Project Details by Yr - MASTER'!$B159,Bridges!$A$9:$N$24,H$2,0))+IF(ISNA(VLOOKUP('Project Details by Yr - MASTER'!$B159,'Parking Lots &amp; Playgrounds'!$A$9:$N$33,H$2,0)),0,VLOOKUP('Project Details by Yr - MASTER'!$B159,'Parking Lots &amp; Playgrounds'!$A$9:$N$33,H$2,0))+IF(ISNA(VLOOKUP($B159,Vehicles!$B$9:$O$50,H$2,0)),0,VLOOKUP($B159,Vehicles!$B$9:$O$50,H$2,0))</f>
        <v>200000</v>
      </c>
      <c r="I159" s="8">
        <f>IF(ISNA(VLOOKUP($B159,'Other Capital Needs'!$C$51:$P$95,I$2,0)),0,VLOOKUP($B159,'Other Capital Needs'!$C$51:$P$95,I$2,0))+IF(ISNA(VLOOKUP('Project Details by Yr - MASTER'!$B159,'Public Grounds'!$A$11:$N$49,I$2,0)),0,VLOOKUP('Project Details by Yr - MASTER'!$B159,'Public Grounds'!$A$11:$N$49,I$2,0))+IF(ISNA(VLOOKUP('Project Details by Yr - MASTER'!$B159,'Public Buildings'!$A$10:$N$96,I$2,0)),0,VLOOKUP('Project Details by Yr - MASTER'!$B159,'Public Buildings'!$A$10:$N$96,I$2,0))+IF(ISNA(VLOOKUP('Project Details by Yr - MASTER'!$B159,Bridges!$A$9:$N$24,I$2,0)),0,VLOOKUP('Project Details by Yr - MASTER'!$B159,Bridges!$A$9:$N$24,I$2,0))+IF(ISNA(VLOOKUP('Project Details by Yr - MASTER'!$B159,'Parking Lots &amp; Playgrounds'!$A$9:$N$33,I$2,0)),0,VLOOKUP('Project Details by Yr - MASTER'!$B159,'Parking Lots &amp; Playgrounds'!$A$9:$N$33,I$2,0))+IF(ISNA(VLOOKUP($B159,Vehicles!$B$9:$O$50,I$2,0)),0,VLOOKUP($B159,Vehicles!$B$9:$O$50,I$2,0))</f>
        <v>200000</v>
      </c>
      <c r="J159" s="8">
        <f>IF(ISNA(VLOOKUP($B159,'Other Capital Needs'!$C$51:$P$95,J$2,0)),0,VLOOKUP($B159,'Other Capital Needs'!$C$51:$P$95,J$2,0))+IF(ISNA(VLOOKUP('Project Details by Yr - MASTER'!$B159,'Public Grounds'!$A$11:$N$49,J$2,0)),0,VLOOKUP('Project Details by Yr - MASTER'!$B159,'Public Grounds'!$A$11:$N$49,J$2,0))+IF(ISNA(VLOOKUP('Project Details by Yr - MASTER'!$B159,'Public Buildings'!$A$10:$N$96,J$2,0)),0,VLOOKUP('Project Details by Yr - MASTER'!$B159,'Public Buildings'!$A$10:$N$96,J$2,0))+IF(ISNA(VLOOKUP('Project Details by Yr - MASTER'!$B159,Bridges!$A$9:$N$24,J$2,0)),0,VLOOKUP('Project Details by Yr - MASTER'!$B159,Bridges!$A$9:$N$24,J$2,0))+IF(ISNA(VLOOKUP('Project Details by Yr - MASTER'!$B159,'Parking Lots &amp; Playgrounds'!$A$9:$N$33,J$2,0)),0,VLOOKUP('Project Details by Yr - MASTER'!$B159,'Parking Lots &amp; Playgrounds'!$A$9:$N$33,J$2,0))+IF(ISNA(VLOOKUP($B159,Vehicles!$B$9:$O$50,J$2,0)),0,VLOOKUP($B159,Vehicles!$B$9:$O$50,J$2,0))</f>
        <v>200000</v>
      </c>
      <c r="K159" s="8">
        <f>IF(ISNA(VLOOKUP($B159,'Other Capital Needs'!$C$51:$P$95,K$2,0)),0,VLOOKUP($B159,'Other Capital Needs'!$C$51:$P$95,K$2,0))+IF(ISNA(VLOOKUP('Project Details by Yr - MASTER'!$B159,'Public Grounds'!$A$11:$N$49,K$2,0)),0,VLOOKUP('Project Details by Yr - MASTER'!$B159,'Public Grounds'!$A$11:$N$49,K$2,0))+IF(ISNA(VLOOKUP('Project Details by Yr - MASTER'!$B159,'Public Buildings'!$A$10:$N$96,K$2,0)),0,VLOOKUP('Project Details by Yr - MASTER'!$B159,'Public Buildings'!$A$10:$N$96,K$2,0))+IF(ISNA(VLOOKUP('Project Details by Yr - MASTER'!$B159,Bridges!$A$9:$N$24,K$2,0)),0,VLOOKUP('Project Details by Yr - MASTER'!$B159,Bridges!$A$9:$N$24,K$2,0))+IF(ISNA(VLOOKUP('Project Details by Yr - MASTER'!$B159,'Parking Lots &amp; Playgrounds'!$A$9:$N$33,K$2,0)),0,VLOOKUP('Project Details by Yr - MASTER'!$B159,'Parking Lots &amp; Playgrounds'!$A$9:$N$33,K$2,0))+IF(ISNA(VLOOKUP($B159,Vehicles!$B$9:$O$50,K$2,0)),0,VLOOKUP($B159,Vehicles!$B$9:$O$50,K$2,0))</f>
        <v>200000</v>
      </c>
    </row>
    <row r="160" spans="2:11" x14ac:dyDescent="0.25">
      <c r="B160" t="s">
        <v>121</v>
      </c>
      <c r="C160" t="s">
        <v>49</v>
      </c>
      <c r="D160" t="s">
        <v>271</v>
      </c>
      <c r="E160" s="1" t="s">
        <v>16</v>
      </c>
      <c r="G160" s="8">
        <f>IF(ISNA(VLOOKUP($B160,'Other Capital Needs'!$C$51:$P$95,G$2,0)),0,VLOOKUP($B160,'Other Capital Needs'!$C$51:$P$95,G$2,0))+IF(ISNA(VLOOKUP('Project Details by Yr - MASTER'!$B160,'Public Grounds'!$A$11:$N$49,G$2,0)),0,VLOOKUP('Project Details by Yr - MASTER'!$B160,'Public Grounds'!$A$11:$N$49,G$2,0))+IF(ISNA(VLOOKUP('Project Details by Yr - MASTER'!$B160,'Public Buildings'!$A$10:$N$96,G$2,0)),0,VLOOKUP('Project Details by Yr - MASTER'!$B160,'Public Buildings'!$A$10:$N$96,G$2,0))+IF(ISNA(VLOOKUP('Project Details by Yr - MASTER'!$B160,Bridges!$A$9:$N$24,G$2,0)),0,VLOOKUP('Project Details by Yr - MASTER'!$B160,Bridges!$A$9:$N$24,G$2,0))+IF(ISNA(VLOOKUP('Project Details by Yr - MASTER'!$B160,'Parking Lots &amp; Playgrounds'!$A$9:$N$33,G$2,0)),0,VLOOKUP('Project Details by Yr - MASTER'!$B160,'Parking Lots &amp; Playgrounds'!$A$9:$N$33,G$2,0))+IF(ISNA(VLOOKUP($B160,Vehicles!$B$9:$O$50,G$2,0)),0,VLOOKUP($B160,Vehicles!$B$9:$O$50,G$2,0))</f>
        <v>81949</v>
      </c>
      <c r="H160" s="8">
        <f>IF(ISNA(VLOOKUP($B160,'Other Capital Needs'!$C$51:$P$95,H$2,0)),0,VLOOKUP($B160,'Other Capital Needs'!$C$51:$P$95,H$2,0))+IF(ISNA(VLOOKUP('Project Details by Yr - MASTER'!$B160,'Public Grounds'!$A$11:$N$49,H$2,0)),0,VLOOKUP('Project Details by Yr - MASTER'!$B160,'Public Grounds'!$A$11:$N$49,H$2,0))+IF(ISNA(VLOOKUP('Project Details by Yr - MASTER'!$B160,'Public Buildings'!$A$10:$N$96,H$2,0)),0,VLOOKUP('Project Details by Yr - MASTER'!$B160,'Public Buildings'!$A$10:$N$96,H$2,0))+IF(ISNA(VLOOKUP('Project Details by Yr - MASTER'!$B160,Bridges!$A$9:$N$24,H$2,0)),0,VLOOKUP('Project Details by Yr - MASTER'!$B160,Bridges!$A$9:$N$24,H$2,0))+IF(ISNA(VLOOKUP('Project Details by Yr - MASTER'!$B160,'Parking Lots &amp; Playgrounds'!$A$9:$N$33,H$2,0)),0,VLOOKUP('Project Details by Yr - MASTER'!$B160,'Parking Lots &amp; Playgrounds'!$A$9:$N$33,H$2,0))+IF(ISNA(VLOOKUP($B160,Vehicles!$B$9:$O$50,H$2,0)),0,VLOOKUP($B160,Vehicles!$B$9:$O$50,H$2,0))</f>
        <v>0</v>
      </c>
      <c r="I160" s="8">
        <f>IF(ISNA(VLOOKUP($B160,'Other Capital Needs'!$C$51:$P$95,I$2,0)),0,VLOOKUP($B160,'Other Capital Needs'!$C$51:$P$95,I$2,0))+IF(ISNA(VLOOKUP('Project Details by Yr - MASTER'!$B160,'Public Grounds'!$A$11:$N$49,I$2,0)),0,VLOOKUP('Project Details by Yr - MASTER'!$B160,'Public Grounds'!$A$11:$N$49,I$2,0))+IF(ISNA(VLOOKUP('Project Details by Yr - MASTER'!$B160,'Public Buildings'!$A$10:$N$96,I$2,0)),0,VLOOKUP('Project Details by Yr - MASTER'!$B160,'Public Buildings'!$A$10:$N$96,I$2,0))+IF(ISNA(VLOOKUP('Project Details by Yr - MASTER'!$B160,Bridges!$A$9:$N$24,I$2,0)),0,VLOOKUP('Project Details by Yr - MASTER'!$B160,Bridges!$A$9:$N$24,I$2,0))+IF(ISNA(VLOOKUP('Project Details by Yr - MASTER'!$B160,'Parking Lots &amp; Playgrounds'!$A$9:$N$33,I$2,0)),0,VLOOKUP('Project Details by Yr - MASTER'!$B160,'Parking Lots &amp; Playgrounds'!$A$9:$N$33,I$2,0))+IF(ISNA(VLOOKUP($B160,Vehicles!$B$9:$O$50,I$2,0)),0,VLOOKUP($B160,Vehicles!$B$9:$O$50,I$2,0))</f>
        <v>86097</v>
      </c>
      <c r="J160" s="8">
        <f>IF(ISNA(VLOOKUP($B160,'Other Capital Needs'!$C$51:$P$95,J$2,0)),0,VLOOKUP($B160,'Other Capital Needs'!$C$51:$P$95,J$2,0))+IF(ISNA(VLOOKUP('Project Details by Yr - MASTER'!$B160,'Public Grounds'!$A$11:$N$49,J$2,0)),0,VLOOKUP('Project Details by Yr - MASTER'!$B160,'Public Grounds'!$A$11:$N$49,J$2,0))+IF(ISNA(VLOOKUP('Project Details by Yr - MASTER'!$B160,'Public Buildings'!$A$10:$N$96,J$2,0)),0,VLOOKUP('Project Details by Yr - MASTER'!$B160,'Public Buildings'!$A$10:$N$96,J$2,0))+IF(ISNA(VLOOKUP('Project Details by Yr - MASTER'!$B160,Bridges!$A$9:$N$24,J$2,0)),0,VLOOKUP('Project Details by Yr - MASTER'!$B160,Bridges!$A$9:$N$24,J$2,0))+IF(ISNA(VLOOKUP('Project Details by Yr - MASTER'!$B160,'Parking Lots &amp; Playgrounds'!$A$9:$N$33,J$2,0)),0,VLOOKUP('Project Details by Yr - MASTER'!$B160,'Parking Lots &amp; Playgrounds'!$A$9:$N$33,J$2,0))+IF(ISNA(VLOOKUP($B160,Vehicles!$B$9:$O$50,J$2,0)),0,VLOOKUP($B160,Vehicles!$B$9:$O$50,J$2,0))</f>
        <v>0</v>
      </c>
      <c r="K160" s="8">
        <f>IF(ISNA(VLOOKUP($B160,'Other Capital Needs'!$C$51:$P$95,K$2,0)),0,VLOOKUP($B160,'Other Capital Needs'!$C$51:$P$95,K$2,0))+IF(ISNA(VLOOKUP('Project Details by Yr - MASTER'!$B160,'Public Grounds'!$A$11:$N$49,K$2,0)),0,VLOOKUP('Project Details by Yr - MASTER'!$B160,'Public Grounds'!$A$11:$N$49,K$2,0))+IF(ISNA(VLOOKUP('Project Details by Yr - MASTER'!$B160,'Public Buildings'!$A$10:$N$96,K$2,0)),0,VLOOKUP('Project Details by Yr - MASTER'!$B160,'Public Buildings'!$A$10:$N$96,K$2,0))+IF(ISNA(VLOOKUP('Project Details by Yr - MASTER'!$B160,Bridges!$A$9:$N$24,K$2,0)),0,VLOOKUP('Project Details by Yr - MASTER'!$B160,Bridges!$A$9:$N$24,K$2,0))+IF(ISNA(VLOOKUP('Project Details by Yr - MASTER'!$B160,'Parking Lots &amp; Playgrounds'!$A$9:$N$33,K$2,0)),0,VLOOKUP('Project Details by Yr - MASTER'!$B160,'Parking Lots &amp; Playgrounds'!$A$9:$N$33,K$2,0))+IF(ISNA(VLOOKUP($B160,Vehicles!$B$9:$O$50,K$2,0)),0,VLOOKUP($B160,Vehicles!$B$9:$O$50,K$2,0))</f>
        <v>0</v>
      </c>
    </row>
    <row r="161" spans="2:11" x14ac:dyDescent="0.25">
      <c r="B161" t="s">
        <v>122</v>
      </c>
      <c r="C161" t="s">
        <v>49</v>
      </c>
      <c r="D161" t="s">
        <v>271</v>
      </c>
      <c r="E161" s="1" t="s">
        <v>16</v>
      </c>
      <c r="G161" s="8">
        <f>IF(ISNA(VLOOKUP($B161,'Other Capital Needs'!$C$51:$P$95,G$2,0)),0,VLOOKUP($B161,'Other Capital Needs'!$C$51:$P$95,G$2,0))+IF(ISNA(VLOOKUP('Project Details by Yr - MASTER'!$B161,'Public Grounds'!$A$11:$N$49,G$2,0)),0,VLOOKUP('Project Details by Yr - MASTER'!$B161,'Public Grounds'!$A$11:$N$49,G$2,0))+IF(ISNA(VLOOKUP('Project Details by Yr - MASTER'!$B161,'Public Buildings'!$A$10:$N$96,G$2,0)),0,VLOOKUP('Project Details by Yr - MASTER'!$B161,'Public Buildings'!$A$10:$N$96,G$2,0))+IF(ISNA(VLOOKUP('Project Details by Yr - MASTER'!$B161,Bridges!$A$9:$N$24,G$2,0)),0,VLOOKUP('Project Details by Yr - MASTER'!$B161,Bridges!$A$9:$N$24,G$2,0))+IF(ISNA(VLOOKUP('Project Details by Yr - MASTER'!$B161,'Parking Lots &amp; Playgrounds'!$A$9:$N$33,G$2,0)),0,VLOOKUP('Project Details by Yr - MASTER'!$B161,'Parking Lots &amp; Playgrounds'!$A$9:$N$33,G$2,0))+IF(ISNA(VLOOKUP($B161,Vehicles!$B$9:$O$50,G$2,0)),0,VLOOKUP($B161,Vehicles!$B$9:$O$50,G$2,0))</f>
        <v>0</v>
      </c>
      <c r="H161" s="8">
        <f>IF(ISNA(VLOOKUP($B161,'Other Capital Needs'!$C$51:$P$95,H$2,0)),0,VLOOKUP($B161,'Other Capital Needs'!$C$51:$P$95,H$2,0))+IF(ISNA(VLOOKUP('Project Details by Yr - MASTER'!$B161,'Public Grounds'!$A$11:$N$49,H$2,0)),0,VLOOKUP('Project Details by Yr - MASTER'!$B161,'Public Grounds'!$A$11:$N$49,H$2,0))+IF(ISNA(VLOOKUP('Project Details by Yr - MASTER'!$B161,'Public Buildings'!$A$10:$N$96,H$2,0)),0,VLOOKUP('Project Details by Yr - MASTER'!$B161,'Public Buildings'!$A$10:$N$96,H$2,0))+IF(ISNA(VLOOKUP('Project Details by Yr - MASTER'!$B161,Bridges!$A$9:$N$24,H$2,0)),0,VLOOKUP('Project Details by Yr - MASTER'!$B161,Bridges!$A$9:$N$24,H$2,0))+IF(ISNA(VLOOKUP('Project Details by Yr - MASTER'!$B161,'Parking Lots &amp; Playgrounds'!$A$9:$N$33,H$2,0)),0,VLOOKUP('Project Details by Yr - MASTER'!$B161,'Parking Lots &amp; Playgrounds'!$A$9:$N$33,H$2,0))+IF(ISNA(VLOOKUP($B161,Vehicles!$B$9:$O$50,H$2,0)),0,VLOOKUP($B161,Vehicles!$B$9:$O$50,H$2,0))</f>
        <v>0</v>
      </c>
      <c r="I161" s="8">
        <f>IF(ISNA(VLOOKUP($B161,'Other Capital Needs'!$C$51:$P$95,I$2,0)),0,VLOOKUP($B161,'Other Capital Needs'!$C$51:$P$95,I$2,0))+IF(ISNA(VLOOKUP('Project Details by Yr - MASTER'!$B161,'Public Grounds'!$A$11:$N$49,I$2,0)),0,VLOOKUP('Project Details by Yr - MASTER'!$B161,'Public Grounds'!$A$11:$N$49,I$2,0))+IF(ISNA(VLOOKUP('Project Details by Yr - MASTER'!$B161,'Public Buildings'!$A$10:$N$96,I$2,0)),0,VLOOKUP('Project Details by Yr - MASTER'!$B161,'Public Buildings'!$A$10:$N$96,I$2,0))+IF(ISNA(VLOOKUP('Project Details by Yr - MASTER'!$B161,Bridges!$A$9:$N$24,I$2,0)),0,VLOOKUP('Project Details by Yr - MASTER'!$B161,Bridges!$A$9:$N$24,I$2,0))+IF(ISNA(VLOOKUP('Project Details by Yr - MASTER'!$B161,'Parking Lots &amp; Playgrounds'!$A$9:$N$33,I$2,0)),0,VLOOKUP('Project Details by Yr - MASTER'!$B161,'Parking Lots &amp; Playgrounds'!$A$9:$N$33,I$2,0))+IF(ISNA(VLOOKUP($B161,Vehicles!$B$9:$O$50,I$2,0)),0,VLOOKUP($B161,Vehicles!$B$9:$O$50,I$2,0))</f>
        <v>42025</v>
      </c>
      <c r="J161" s="8">
        <f>IF(ISNA(VLOOKUP($B161,'Other Capital Needs'!$C$51:$P$95,J$2,0)),0,VLOOKUP($B161,'Other Capital Needs'!$C$51:$P$95,J$2,0))+IF(ISNA(VLOOKUP('Project Details by Yr - MASTER'!$B161,'Public Grounds'!$A$11:$N$49,J$2,0)),0,VLOOKUP('Project Details by Yr - MASTER'!$B161,'Public Grounds'!$A$11:$N$49,J$2,0))+IF(ISNA(VLOOKUP('Project Details by Yr - MASTER'!$B161,'Public Buildings'!$A$10:$N$96,J$2,0)),0,VLOOKUP('Project Details by Yr - MASTER'!$B161,'Public Buildings'!$A$10:$N$96,J$2,0))+IF(ISNA(VLOOKUP('Project Details by Yr - MASTER'!$B161,Bridges!$A$9:$N$24,J$2,0)),0,VLOOKUP('Project Details by Yr - MASTER'!$B161,Bridges!$A$9:$N$24,J$2,0))+IF(ISNA(VLOOKUP('Project Details by Yr - MASTER'!$B161,'Parking Lots &amp; Playgrounds'!$A$9:$N$33,J$2,0)),0,VLOOKUP('Project Details by Yr - MASTER'!$B161,'Parking Lots &amp; Playgrounds'!$A$9:$N$33,J$2,0))+IF(ISNA(VLOOKUP($B161,Vehicles!$B$9:$O$50,J$2,0)),0,VLOOKUP($B161,Vehicles!$B$9:$O$50,J$2,0))</f>
        <v>38633</v>
      </c>
      <c r="K161" s="8">
        <f>IF(ISNA(VLOOKUP($B161,'Other Capital Needs'!$C$51:$P$95,K$2,0)),0,VLOOKUP($B161,'Other Capital Needs'!$C$51:$P$95,K$2,0))+IF(ISNA(VLOOKUP('Project Details by Yr - MASTER'!$B161,'Public Grounds'!$A$11:$N$49,K$2,0)),0,VLOOKUP('Project Details by Yr - MASTER'!$B161,'Public Grounds'!$A$11:$N$49,K$2,0))+IF(ISNA(VLOOKUP('Project Details by Yr - MASTER'!$B161,'Public Buildings'!$A$10:$N$96,K$2,0)),0,VLOOKUP('Project Details by Yr - MASTER'!$B161,'Public Buildings'!$A$10:$N$96,K$2,0))+IF(ISNA(VLOOKUP('Project Details by Yr - MASTER'!$B161,Bridges!$A$9:$N$24,K$2,0)),0,VLOOKUP('Project Details by Yr - MASTER'!$B161,Bridges!$A$9:$N$24,K$2,0))+IF(ISNA(VLOOKUP('Project Details by Yr - MASTER'!$B161,'Parking Lots &amp; Playgrounds'!$A$9:$N$33,K$2,0)),0,VLOOKUP('Project Details by Yr - MASTER'!$B161,'Parking Lots &amp; Playgrounds'!$A$9:$N$33,K$2,0))+IF(ISNA(VLOOKUP($B161,Vehicles!$B$9:$O$50,K$2,0)),0,VLOOKUP($B161,Vehicles!$B$9:$O$50,K$2,0))</f>
        <v>50913</v>
      </c>
    </row>
    <row r="162" spans="2:11" x14ac:dyDescent="0.25">
      <c r="B162" t="s">
        <v>123</v>
      </c>
      <c r="C162" t="s">
        <v>49</v>
      </c>
      <c r="D162" t="s">
        <v>271</v>
      </c>
      <c r="E162" s="1" t="s">
        <v>16</v>
      </c>
      <c r="G162" s="8">
        <f>IF(ISNA(VLOOKUP($B162,'Other Capital Needs'!$C$51:$P$95,G$2,0)),0,VLOOKUP($B162,'Other Capital Needs'!$C$51:$P$95,G$2,0))+IF(ISNA(VLOOKUP('Project Details by Yr - MASTER'!$B162,'Public Grounds'!$A$11:$N$49,G$2,0)),0,VLOOKUP('Project Details by Yr - MASTER'!$B162,'Public Grounds'!$A$11:$N$49,G$2,0))+IF(ISNA(VLOOKUP('Project Details by Yr - MASTER'!$B162,'Public Buildings'!$A$10:$N$96,G$2,0)),0,VLOOKUP('Project Details by Yr - MASTER'!$B162,'Public Buildings'!$A$10:$N$96,G$2,0))+IF(ISNA(VLOOKUP('Project Details by Yr - MASTER'!$B162,Bridges!$A$9:$N$24,G$2,0)),0,VLOOKUP('Project Details by Yr - MASTER'!$B162,Bridges!$A$9:$N$24,G$2,0))+IF(ISNA(VLOOKUP('Project Details by Yr - MASTER'!$B162,'Parking Lots &amp; Playgrounds'!$A$9:$N$33,G$2,0)),0,VLOOKUP('Project Details by Yr - MASTER'!$B162,'Parking Lots &amp; Playgrounds'!$A$9:$N$33,G$2,0))+IF(ISNA(VLOOKUP($B162,Vehicles!$B$9:$O$50,G$2,0)),0,VLOOKUP($B162,Vehicles!$B$9:$O$50,G$2,0))</f>
        <v>0</v>
      </c>
      <c r="H162" s="8">
        <f>IF(ISNA(VLOOKUP($B162,'Other Capital Needs'!$C$51:$P$95,H$2,0)),0,VLOOKUP($B162,'Other Capital Needs'!$C$51:$P$95,H$2,0))+IF(ISNA(VLOOKUP('Project Details by Yr - MASTER'!$B162,'Public Grounds'!$A$11:$N$49,H$2,0)),0,VLOOKUP('Project Details by Yr - MASTER'!$B162,'Public Grounds'!$A$11:$N$49,H$2,0))+IF(ISNA(VLOOKUP('Project Details by Yr - MASTER'!$B162,'Public Buildings'!$A$10:$N$96,H$2,0)),0,VLOOKUP('Project Details by Yr - MASTER'!$B162,'Public Buildings'!$A$10:$N$96,H$2,0))+IF(ISNA(VLOOKUP('Project Details by Yr - MASTER'!$B162,Bridges!$A$9:$N$24,H$2,0)),0,VLOOKUP('Project Details by Yr - MASTER'!$B162,Bridges!$A$9:$N$24,H$2,0))+IF(ISNA(VLOOKUP('Project Details by Yr - MASTER'!$B162,'Parking Lots &amp; Playgrounds'!$A$9:$N$33,H$2,0)),0,VLOOKUP('Project Details by Yr - MASTER'!$B162,'Parking Lots &amp; Playgrounds'!$A$9:$N$33,H$2,0))+IF(ISNA(VLOOKUP($B162,Vehicles!$B$9:$O$50,H$2,0)),0,VLOOKUP($B162,Vehicles!$B$9:$O$50,H$2,0))</f>
        <v>0</v>
      </c>
      <c r="I162" s="8">
        <f>IF(ISNA(VLOOKUP($B162,'Other Capital Needs'!$C$51:$P$95,I$2,0)),0,VLOOKUP($B162,'Other Capital Needs'!$C$51:$P$95,I$2,0))+IF(ISNA(VLOOKUP('Project Details by Yr - MASTER'!$B162,'Public Grounds'!$A$11:$N$49,I$2,0)),0,VLOOKUP('Project Details by Yr - MASTER'!$B162,'Public Grounds'!$A$11:$N$49,I$2,0))+IF(ISNA(VLOOKUP('Project Details by Yr - MASTER'!$B162,'Public Buildings'!$A$10:$N$96,I$2,0)),0,VLOOKUP('Project Details by Yr - MASTER'!$B162,'Public Buildings'!$A$10:$N$96,I$2,0))+IF(ISNA(VLOOKUP('Project Details by Yr - MASTER'!$B162,Bridges!$A$9:$N$24,I$2,0)),0,VLOOKUP('Project Details by Yr - MASTER'!$B162,Bridges!$A$9:$N$24,I$2,0))+IF(ISNA(VLOOKUP('Project Details by Yr - MASTER'!$B162,'Parking Lots &amp; Playgrounds'!$A$9:$N$33,I$2,0)),0,VLOOKUP('Project Details by Yr - MASTER'!$B162,'Parking Lots &amp; Playgrounds'!$A$9:$N$33,I$2,0))+IF(ISNA(VLOOKUP($B162,Vehicles!$B$9:$O$50,I$2,0)),0,VLOOKUP($B162,Vehicles!$B$9:$O$50,I$2,0))</f>
        <v>0</v>
      </c>
      <c r="J162" s="8">
        <f>IF(ISNA(VLOOKUP($B162,'Other Capital Needs'!$C$51:$P$95,J$2,0)),0,VLOOKUP($B162,'Other Capital Needs'!$C$51:$P$95,J$2,0))+IF(ISNA(VLOOKUP('Project Details by Yr - MASTER'!$B162,'Public Grounds'!$A$11:$N$49,J$2,0)),0,VLOOKUP('Project Details by Yr - MASTER'!$B162,'Public Grounds'!$A$11:$N$49,J$2,0))+IF(ISNA(VLOOKUP('Project Details by Yr - MASTER'!$B162,'Public Buildings'!$A$10:$N$96,J$2,0)),0,VLOOKUP('Project Details by Yr - MASTER'!$B162,'Public Buildings'!$A$10:$N$96,J$2,0))+IF(ISNA(VLOOKUP('Project Details by Yr - MASTER'!$B162,Bridges!$A$9:$N$24,J$2,0)),0,VLOOKUP('Project Details by Yr - MASTER'!$B162,Bridges!$A$9:$N$24,J$2,0))+IF(ISNA(VLOOKUP('Project Details by Yr - MASTER'!$B162,'Parking Lots &amp; Playgrounds'!$A$9:$N$33,J$2,0)),0,VLOOKUP('Project Details by Yr - MASTER'!$B162,'Parking Lots &amp; Playgrounds'!$A$9:$N$33,J$2,0))+IF(ISNA(VLOOKUP($B162,Vehicles!$B$9:$O$50,J$2,0)),0,VLOOKUP($B162,Vehicles!$B$9:$O$50,J$2,0))</f>
        <v>0</v>
      </c>
      <c r="K162" s="8">
        <f>IF(ISNA(VLOOKUP($B162,'Other Capital Needs'!$C$51:$P$95,K$2,0)),0,VLOOKUP($B162,'Other Capital Needs'!$C$51:$P$95,K$2,0))+IF(ISNA(VLOOKUP('Project Details by Yr - MASTER'!$B162,'Public Grounds'!$A$11:$N$49,K$2,0)),0,VLOOKUP('Project Details by Yr - MASTER'!$B162,'Public Grounds'!$A$11:$N$49,K$2,0))+IF(ISNA(VLOOKUP('Project Details by Yr - MASTER'!$B162,'Public Buildings'!$A$10:$N$96,K$2,0)),0,VLOOKUP('Project Details by Yr - MASTER'!$B162,'Public Buildings'!$A$10:$N$96,K$2,0))+IF(ISNA(VLOOKUP('Project Details by Yr - MASTER'!$B162,Bridges!$A$9:$N$24,K$2,0)),0,VLOOKUP('Project Details by Yr - MASTER'!$B162,Bridges!$A$9:$N$24,K$2,0))+IF(ISNA(VLOOKUP('Project Details by Yr - MASTER'!$B162,'Parking Lots &amp; Playgrounds'!$A$9:$N$33,K$2,0)),0,VLOOKUP('Project Details by Yr - MASTER'!$B162,'Parking Lots &amp; Playgrounds'!$A$9:$N$33,K$2,0))+IF(ISNA(VLOOKUP($B162,Vehicles!$B$9:$O$50,K$2,0)),0,VLOOKUP($B162,Vehicles!$B$9:$O$50,K$2,0))</f>
        <v>0</v>
      </c>
    </row>
    <row r="163" spans="2:11" x14ac:dyDescent="0.25">
      <c r="B163" t="s">
        <v>118</v>
      </c>
      <c r="C163" t="s">
        <v>49</v>
      </c>
      <c r="D163" t="s">
        <v>271</v>
      </c>
      <c r="E163" s="1" t="s">
        <v>16</v>
      </c>
      <c r="G163" s="8">
        <f>IF(ISNA(VLOOKUP($B163,'Other Capital Needs'!$C$51:$P$95,G$2,0)),0,VLOOKUP($B163,'Other Capital Needs'!$C$51:$P$95,G$2,0))+IF(ISNA(VLOOKUP('Project Details by Yr - MASTER'!$B163,'Public Grounds'!$A$11:$N$49,G$2,0)),0,VLOOKUP('Project Details by Yr - MASTER'!$B163,'Public Grounds'!$A$11:$N$49,G$2,0))+IF(ISNA(VLOOKUP('Project Details by Yr - MASTER'!$B163,'Public Buildings'!$A$10:$N$96,G$2,0)),0,VLOOKUP('Project Details by Yr - MASTER'!$B163,'Public Buildings'!$A$10:$N$96,G$2,0))+IF(ISNA(VLOOKUP('Project Details by Yr - MASTER'!$B163,Bridges!$A$9:$N$24,G$2,0)),0,VLOOKUP('Project Details by Yr - MASTER'!$B163,Bridges!$A$9:$N$24,G$2,0))+IF(ISNA(VLOOKUP('Project Details by Yr - MASTER'!$B163,'Parking Lots &amp; Playgrounds'!$A$9:$N$33,G$2,0)),0,VLOOKUP('Project Details by Yr - MASTER'!$B163,'Parking Lots &amp; Playgrounds'!$A$9:$N$33,G$2,0))+IF(ISNA(VLOOKUP($B163,Vehicles!$B$9:$O$50,G$2,0)),0,VLOOKUP($B163,Vehicles!$B$9:$O$50,G$2,0))</f>
        <v>35000</v>
      </c>
      <c r="H163" s="8">
        <f>IF(ISNA(VLOOKUP($B163,'Other Capital Needs'!$C$51:$P$95,H$2,0)),0,VLOOKUP($B163,'Other Capital Needs'!$C$51:$P$95,H$2,0))+IF(ISNA(VLOOKUP('Project Details by Yr - MASTER'!$B163,'Public Grounds'!$A$11:$N$49,H$2,0)),0,VLOOKUP('Project Details by Yr - MASTER'!$B163,'Public Grounds'!$A$11:$N$49,H$2,0))+IF(ISNA(VLOOKUP('Project Details by Yr - MASTER'!$B163,'Public Buildings'!$A$10:$N$96,H$2,0)),0,VLOOKUP('Project Details by Yr - MASTER'!$B163,'Public Buildings'!$A$10:$N$96,H$2,0))+IF(ISNA(VLOOKUP('Project Details by Yr - MASTER'!$B163,Bridges!$A$9:$N$24,H$2,0)),0,VLOOKUP('Project Details by Yr - MASTER'!$B163,Bridges!$A$9:$N$24,H$2,0))+IF(ISNA(VLOOKUP('Project Details by Yr - MASTER'!$B163,'Parking Lots &amp; Playgrounds'!$A$9:$N$33,H$2,0)),0,VLOOKUP('Project Details by Yr - MASTER'!$B163,'Parking Lots &amp; Playgrounds'!$A$9:$N$33,H$2,0))+IF(ISNA(VLOOKUP($B163,Vehicles!$B$9:$O$50,H$2,0)),0,VLOOKUP($B163,Vehicles!$B$9:$O$50,H$2,0))</f>
        <v>0</v>
      </c>
      <c r="I163" s="8">
        <f>IF(ISNA(VLOOKUP($B163,'Other Capital Needs'!$C$51:$P$95,I$2,0)),0,VLOOKUP($B163,'Other Capital Needs'!$C$51:$P$95,I$2,0))+IF(ISNA(VLOOKUP('Project Details by Yr - MASTER'!$B163,'Public Grounds'!$A$11:$N$49,I$2,0)),0,VLOOKUP('Project Details by Yr - MASTER'!$B163,'Public Grounds'!$A$11:$N$49,I$2,0))+IF(ISNA(VLOOKUP('Project Details by Yr - MASTER'!$B163,'Public Buildings'!$A$10:$N$96,I$2,0)),0,VLOOKUP('Project Details by Yr - MASTER'!$B163,'Public Buildings'!$A$10:$N$96,I$2,0))+IF(ISNA(VLOOKUP('Project Details by Yr - MASTER'!$B163,Bridges!$A$9:$N$24,I$2,0)),0,VLOOKUP('Project Details by Yr - MASTER'!$B163,Bridges!$A$9:$N$24,I$2,0))+IF(ISNA(VLOOKUP('Project Details by Yr - MASTER'!$B163,'Parking Lots &amp; Playgrounds'!$A$9:$N$33,I$2,0)),0,VLOOKUP('Project Details by Yr - MASTER'!$B163,'Parking Lots &amp; Playgrounds'!$A$9:$N$33,I$2,0))+IF(ISNA(VLOOKUP($B163,Vehicles!$B$9:$O$50,I$2,0)),0,VLOOKUP($B163,Vehicles!$B$9:$O$50,I$2,0))</f>
        <v>34218</v>
      </c>
      <c r="J163" s="8">
        <f>IF(ISNA(VLOOKUP($B163,'Other Capital Needs'!$C$51:$P$95,J$2,0)),0,VLOOKUP($B163,'Other Capital Needs'!$C$51:$P$95,J$2,0))+IF(ISNA(VLOOKUP('Project Details by Yr - MASTER'!$B163,'Public Grounds'!$A$11:$N$49,J$2,0)),0,VLOOKUP('Project Details by Yr - MASTER'!$B163,'Public Grounds'!$A$11:$N$49,J$2,0))+IF(ISNA(VLOOKUP('Project Details by Yr - MASTER'!$B163,'Public Buildings'!$A$10:$N$96,J$2,0)),0,VLOOKUP('Project Details by Yr - MASTER'!$B163,'Public Buildings'!$A$10:$N$96,J$2,0))+IF(ISNA(VLOOKUP('Project Details by Yr - MASTER'!$B163,Bridges!$A$9:$N$24,J$2,0)),0,VLOOKUP('Project Details by Yr - MASTER'!$B163,Bridges!$A$9:$N$24,J$2,0))+IF(ISNA(VLOOKUP('Project Details by Yr - MASTER'!$B163,'Parking Lots &amp; Playgrounds'!$A$9:$N$33,J$2,0)),0,VLOOKUP('Project Details by Yr - MASTER'!$B163,'Parking Lots &amp; Playgrounds'!$A$9:$N$33,J$2,0))+IF(ISNA(VLOOKUP($B163,Vehicles!$B$9:$O$50,J$2,0)),0,VLOOKUP($B163,Vehicles!$B$9:$O$50,J$2,0))</f>
        <v>35074</v>
      </c>
      <c r="K163" s="8">
        <f>IF(ISNA(VLOOKUP($B163,'Other Capital Needs'!$C$51:$P$95,K$2,0)),0,VLOOKUP($B163,'Other Capital Needs'!$C$51:$P$95,K$2,0))+IF(ISNA(VLOOKUP('Project Details by Yr - MASTER'!$B163,'Public Grounds'!$A$11:$N$49,K$2,0)),0,VLOOKUP('Project Details by Yr - MASTER'!$B163,'Public Grounds'!$A$11:$N$49,K$2,0))+IF(ISNA(VLOOKUP('Project Details by Yr - MASTER'!$B163,'Public Buildings'!$A$10:$N$96,K$2,0)),0,VLOOKUP('Project Details by Yr - MASTER'!$B163,'Public Buildings'!$A$10:$N$96,K$2,0))+IF(ISNA(VLOOKUP('Project Details by Yr - MASTER'!$B163,Bridges!$A$9:$N$24,K$2,0)),0,VLOOKUP('Project Details by Yr - MASTER'!$B163,Bridges!$A$9:$N$24,K$2,0))+IF(ISNA(VLOOKUP('Project Details by Yr - MASTER'!$B163,'Parking Lots &amp; Playgrounds'!$A$9:$N$33,K$2,0)),0,VLOOKUP('Project Details by Yr - MASTER'!$B163,'Parking Lots &amp; Playgrounds'!$A$9:$N$33,K$2,0))+IF(ISNA(VLOOKUP($B163,Vehicles!$B$9:$O$50,K$2,0)),0,VLOOKUP($B163,Vehicles!$B$9:$O$50,K$2,0))</f>
        <v>35950</v>
      </c>
    </row>
    <row r="164" spans="2:11" x14ac:dyDescent="0.25">
      <c r="B164" t="s">
        <v>119</v>
      </c>
      <c r="C164" t="s">
        <v>49</v>
      </c>
      <c r="D164" t="s">
        <v>271</v>
      </c>
      <c r="E164" s="1" t="s">
        <v>16</v>
      </c>
      <c r="G164" s="8">
        <f>IF(ISNA(VLOOKUP($B164,'Other Capital Needs'!$C$51:$P$95,G$2,0)),0,VLOOKUP($B164,'Other Capital Needs'!$C$51:$P$95,G$2,0))+IF(ISNA(VLOOKUP('Project Details by Yr - MASTER'!$B164,'Public Grounds'!$A$11:$N$49,G$2,0)),0,VLOOKUP('Project Details by Yr - MASTER'!$B164,'Public Grounds'!$A$11:$N$49,G$2,0))+IF(ISNA(VLOOKUP('Project Details by Yr - MASTER'!$B164,'Public Buildings'!$A$10:$N$96,G$2,0)),0,VLOOKUP('Project Details by Yr - MASTER'!$B164,'Public Buildings'!$A$10:$N$96,G$2,0))+IF(ISNA(VLOOKUP('Project Details by Yr - MASTER'!$B164,Bridges!$A$9:$N$24,G$2,0)),0,VLOOKUP('Project Details by Yr - MASTER'!$B164,Bridges!$A$9:$N$24,G$2,0))+IF(ISNA(VLOOKUP('Project Details by Yr - MASTER'!$B164,'Parking Lots &amp; Playgrounds'!$A$9:$N$33,G$2,0)),0,VLOOKUP('Project Details by Yr - MASTER'!$B164,'Parking Lots &amp; Playgrounds'!$A$9:$N$33,G$2,0))+IF(ISNA(VLOOKUP($B164,Vehicles!$B$9:$O$50,G$2,0)),0,VLOOKUP($B164,Vehicles!$B$9:$O$50,G$2,0))</f>
        <v>0</v>
      </c>
      <c r="H164" s="8">
        <f>IF(ISNA(VLOOKUP($B164,'Other Capital Needs'!$C$51:$P$95,H$2,0)),0,VLOOKUP($B164,'Other Capital Needs'!$C$51:$P$95,H$2,0))+IF(ISNA(VLOOKUP('Project Details by Yr - MASTER'!$B164,'Public Grounds'!$A$11:$N$49,H$2,0)),0,VLOOKUP('Project Details by Yr - MASTER'!$B164,'Public Grounds'!$A$11:$N$49,H$2,0))+IF(ISNA(VLOOKUP('Project Details by Yr - MASTER'!$B164,'Public Buildings'!$A$10:$N$96,H$2,0)),0,VLOOKUP('Project Details by Yr - MASTER'!$B164,'Public Buildings'!$A$10:$N$96,H$2,0))+IF(ISNA(VLOOKUP('Project Details by Yr - MASTER'!$B164,Bridges!$A$9:$N$24,H$2,0)),0,VLOOKUP('Project Details by Yr - MASTER'!$B164,Bridges!$A$9:$N$24,H$2,0))+IF(ISNA(VLOOKUP('Project Details by Yr - MASTER'!$B164,'Parking Lots &amp; Playgrounds'!$A$9:$N$33,H$2,0)),0,VLOOKUP('Project Details by Yr - MASTER'!$B164,'Parking Lots &amp; Playgrounds'!$A$9:$N$33,H$2,0))+IF(ISNA(VLOOKUP($B164,Vehicles!$B$9:$O$50,H$2,0)),0,VLOOKUP($B164,Vehicles!$B$9:$O$50,H$2,0))</f>
        <v>0</v>
      </c>
      <c r="I164" s="8">
        <f>IF(ISNA(VLOOKUP($B164,'Other Capital Needs'!$C$51:$P$95,I$2,0)),0,VLOOKUP($B164,'Other Capital Needs'!$C$51:$P$95,I$2,0))+IF(ISNA(VLOOKUP('Project Details by Yr - MASTER'!$B164,'Public Grounds'!$A$11:$N$49,I$2,0)),0,VLOOKUP('Project Details by Yr - MASTER'!$B164,'Public Grounds'!$A$11:$N$49,I$2,0))+IF(ISNA(VLOOKUP('Project Details by Yr - MASTER'!$B164,'Public Buildings'!$A$10:$N$96,I$2,0)),0,VLOOKUP('Project Details by Yr - MASTER'!$B164,'Public Buildings'!$A$10:$N$96,I$2,0))+IF(ISNA(VLOOKUP('Project Details by Yr - MASTER'!$B164,Bridges!$A$9:$N$24,I$2,0)),0,VLOOKUP('Project Details by Yr - MASTER'!$B164,Bridges!$A$9:$N$24,I$2,0))+IF(ISNA(VLOOKUP('Project Details by Yr - MASTER'!$B164,'Parking Lots &amp; Playgrounds'!$A$9:$N$33,I$2,0)),0,VLOOKUP('Project Details by Yr - MASTER'!$B164,'Parking Lots &amp; Playgrounds'!$A$9:$N$33,I$2,0))+IF(ISNA(VLOOKUP($B164,Vehicles!$B$9:$O$50,I$2,0)),0,VLOOKUP($B164,Vehicles!$B$9:$O$50,I$2,0))</f>
        <v>0</v>
      </c>
      <c r="J164" s="8">
        <f>IF(ISNA(VLOOKUP($B164,'Other Capital Needs'!$C$51:$P$95,J$2,0)),0,VLOOKUP($B164,'Other Capital Needs'!$C$51:$P$95,J$2,0))+IF(ISNA(VLOOKUP('Project Details by Yr - MASTER'!$B164,'Public Grounds'!$A$11:$N$49,J$2,0)),0,VLOOKUP('Project Details by Yr - MASTER'!$B164,'Public Grounds'!$A$11:$N$49,J$2,0))+IF(ISNA(VLOOKUP('Project Details by Yr - MASTER'!$B164,'Public Buildings'!$A$10:$N$96,J$2,0)),0,VLOOKUP('Project Details by Yr - MASTER'!$B164,'Public Buildings'!$A$10:$N$96,J$2,0))+IF(ISNA(VLOOKUP('Project Details by Yr - MASTER'!$B164,Bridges!$A$9:$N$24,J$2,0)),0,VLOOKUP('Project Details by Yr - MASTER'!$B164,Bridges!$A$9:$N$24,J$2,0))+IF(ISNA(VLOOKUP('Project Details by Yr - MASTER'!$B164,'Parking Lots &amp; Playgrounds'!$A$9:$N$33,J$2,0)),0,VLOOKUP('Project Details by Yr - MASTER'!$B164,'Parking Lots &amp; Playgrounds'!$A$9:$N$33,J$2,0))+IF(ISNA(VLOOKUP($B164,Vehicles!$B$9:$O$50,J$2,0)),0,VLOOKUP($B164,Vehicles!$B$9:$O$50,J$2,0))</f>
        <v>0</v>
      </c>
      <c r="K164" s="8">
        <f>IF(ISNA(VLOOKUP($B164,'Other Capital Needs'!$C$51:$P$95,K$2,0)),0,VLOOKUP($B164,'Other Capital Needs'!$C$51:$P$95,K$2,0))+IF(ISNA(VLOOKUP('Project Details by Yr - MASTER'!$B164,'Public Grounds'!$A$11:$N$49,K$2,0)),0,VLOOKUP('Project Details by Yr - MASTER'!$B164,'Public Grounds'!$A$11:$N$49,K$2,0))+IF(ISNA(VLOOKUP('Project Details by Yr - MASTER'!$B164,'Public Buildings'!$A$10:$N$96,K$2,0)),0,VLOOKUP('Project Details by Yr - MASTER'!$B164,'Public Buildings'!$A$10:$N$96,K$2,0))+IF(ISNA(VLOOKUP('Project Details by Yr - MASTER'!$B164,Bridges!$A$9:$N$24,K$2,0)),0,VLOOKUP('Project Details by Yr - MASTER'!$B164,Bridges!$A$9:$N$24,K$2,0))+IF(ISNA(VLOOKUP('Project Details by Yr - MASTER'!$B164,'Parking Lots &amp; Playgrounds'!$A$9:$N$33,K$2,0)),0,VLOOKUP('Project Details by Yr - MASTER'!$B164,'Parking Lots &amp; Playgrounds'!$A$9:$N$33,K$2,0))+IF(ISNA(VLOOKUP($B164,Vehicles!$B$9:$O$50,K$2,0)),0,VLOOKUP($B164,Vehicles!$B$9:$O$50,K$2,0))</f>
        <v>0</v>
      </c>
    </row>
    <row r="165" spans="2:11" x14ac:dyDescent="0.25">
      <c r="B165" t="s">
        <v>112</v>
      </c>
      <c r="C165" t="s">
        <v>49</v>
      </c>
      <c r="D165" t="s">
        <v>271</v>
      </c>
      <c r="E165" s="1" t="s">
        <v>16</v>
      </c>
      <c r="G165" s="8">
        <f>IF(ISNA(VLOOKUP($B165,'Other Capital Needs'!$C$51:$P$95,G$2,0)),0,VLOOKUP($B165,'Other Capital Needs'!$C$51:$P$95,G$2,0))+IF(ISNA(VLOOKUP('Project Details by Yr - MASTER'!$B165,'Public Grounds'!$A$11:$N$49,G$2,0)),0,VLOOKUP('Project Details by Yr - MASTER'!$B165,'Public Grounds'!$A$11:$N$49,G$2,0))+IF(ISNA(VLOOKUP('Project Details by Yr - MASTER'!$B165,'Public Buildings'!$A$10:$N$96,G$2,0)),0,VLOOKUP('Project Details by Yr - MASTER'!$B165,'Public Buildings'!$A$10:$N$96,G$2,0))+IF(ISNA(VLOOKUP('Project Details by Yr - MASTER'!$B165,Bridges!$A$9:$N$24,G$2,0)),0,VLOOKUP('Project Details by Yr - MASTER'!$B165,Bridges!$A$9:$N$24,G$2,0))+IF(ISNA(VLOOKUP('Project Details by Yr - MASTER'!$B165,'Parking Lots &amp; Playgrounds'!$A$9:$N$33,G$2,0)),0,VLOOKUP('Project Details by Yr - MASTER'!$B165,'Parking Lots &amp; Playgrounds'!$A$9:$N$33,G$2,0))+IF(ISNA(VLOOKUP($B165,Vehicles!$B$9:$O$50,G$2,0)),0,VLOOKUP($B165,Vehicles!$B$9:$O$50,G$2,0))</f>
        <v>0</v>
      </c>
      <c r="H165" s="8">
        <f>IF(ISNA(VLOOKUP($B165,'Other Capital Needs'!$C$51:$P$95,H$2,0)),0,VLOOKUP($B165,'Other Capital Needs'!$C$51:$P$95,H$2,0))+IF(ISNA(VLOOKUP('Project Details by Yr - MASTER'!$B165,'Public Grounds'!$A$11:$N$49,H$2,0)),0,VLOOKUP('Project Details by Yr - MASTER'!$B165,'Public Grounds'!$A$11:$N$49,H$2,0))+IF(ISNA(VLOOKUP('Project Details by Yr - MASTER'!$B165,'Public Buildings'!$A$10:$N$96,H$2,0)),0,VLOOKUP('Project Details by Yr - MASTER'!$B165,'Public Buildings'!$A$10:$N$96,H$2,0))+IF(ISNA(VLOOKUP('Project Details by Yr - MASTER'!$B165,Bridges!$A$9:$N$24,H$2,0)),0,VLOOKUP('Project Details by Yr - MASTER'!$B165,Bridges!$A$9:$N$24,H$2,0))+IF(ISNA(VLOOKUP('Project Details by Yr - MASTER'!$B165,'Parking Lots &amp; Playgrounds'!$A$9:$N$33,H$2,0)),0,VLOOKUP('Project Details by Yr - MASTER'!$B165,'Parking Lots &amp; Playgrounds'!$A$9:$N$33,H$2,0))+IF(ISNA(VLOOKUP($B165,Vehicles!$B$9:$O$50,H$2,0)),0,VLOOKUP($B165,Vehicles!$B$9:$O$50,H$2,0))</f>
        <v>0</v>
      </c>
      <c r="I165" s="8">
        <f>IF(ISNA(VLOOKUP($B165,'Other Capital Needs'!$C$51:$P$95,I$2,0)),0,VLOOKUP($B165,'Other Capital Needs'!$C$51:$P$95,I$2,0))+IF(ISNA(VLOOKUP('Project Details by Yr - MASTER'!$B165,'Public Grounds'!$A$11:$N$49,I$2,0)),0,VLOOKUP('Project Details by Yr - MASTER'!$B165,'Public Grounds'!$A$11:$N$49,I$2,0))+IF(ISNA(VLOOKUP('Project Details by Yr - MASTER'!$B165,'Public Buildings'!$A$10:$N$96,I$2,0)),0,VLOOKUP('Project Details by Yr - MASTER'!$B165,'Public Buildings'!$A$10:$N$96,I$2,0))+IF(ISNA(VLOOKUP('Project Details by Yr - MASTER'!$B165,Bridges!$A$9:$N$24,I$2,0)),0,VLOOKUP('Project Details by Yr - MASTER'!$B165,Bridges!$A$9:$N$24,I$2,0))+IF(ISNA(VLOOKUP('Project Details by Yr - MASTER'!$B165,'Parking Lots &amp; Playgrounds'!$A$9:$N$33,I$2,0)),0,VLOOKUP('Project Details by Yr - MASTER'!$B165,'Parking Lots &amp; Playgrounds'!$A$9:$N$33,I$2,0))+IF(ISNA(VLOOKUP($B165,Vehicles!$B$9:$O$50,I$2,0)),0,VLOOKUP($B165,Vehicles!$B$9:$O$50,I$2,0))</f>
        <v>0</v>
      </c>
      <c r="J165" s="8">
        <f>IF(ISNA(VLOOKUP($B165,'Other Capital Needs'!$C$51:$P$95,J$2,0)),0,VLOOKUP($B165,'Other Capital Needs'!$C$51:$P$95,J$2,0))+IF(ISNA(VLOOKUP('Project Details by Yr - MASTER'!$B165,'Public Grounds'!$A$11:$N$49,J$2,0)),0,VLOOKUP('Project Details by Yr - MASTER'!$B165,'Public Grounds'!$A$11:$N$49,J$2,0))+IF(ISNA(VLOOKUP('Project Details by Yr - MASTER'!$B165,'Public Buildings'!$A$10:$N$96,J$2,0)),0,VLOOKUP('Project Details by Yr - MASTER'!$B165,'Public Buildings'!$A$10:$N$96,J$2,0))+IF(ISNA(VLOOKUP('Project Details by Yr - MASTER'!$B165,Bridges!$A$9:$N$24,J$2,0)),0,VLOOKUP('Project Details by Yr - MASTER'!$B165,Bridges!$A$9:$N$24,J$2,0))+IF(ISNA(VLOOKUP('Project Details by Yr - MASTER'!$B165,'Parking Lots &amp; Playgrounds'!$A$9:$N$33,J$2,0)),0,VLOOKUP('Project Details by Yr - MASTER'!$B165,'Parking Lots &amp; Playgrounds'!$A$9:$N$33,J$2,0))+IF(ISNA(VLOOKUP($B165,Vehicles!$B$9:$O$50,J$2,0)),0,VLOOKUP($B165,Vehicles!$B$9:$O$50,J$2,0))</f>
        <v>0</v>
      </c>
      <c r="K165" s="8">
        <f>IF(ISNA(VLOOKUP($B165,'Other Capital Needs'!$C$51:$P$95,K$2,0)),0,VLOOKUP($B165,'Other Capital Needs'!$C$51:$P$95,K$2,0))+IF(ISNA(VLOOKUP('Project Details by Yr - MASTER'!$B165,'Public Grounds'!$A$11:$N$49,K$2,0)),0,VLOOKUP('Project Details by Yr - MASTER'!$B165,'Public Grounds'!$A$11:$N$49,K$2,0))+IF(ISNA(VLOOKUP('Project Details by Yr - MASTER'!$B165,'Public Buildings'!$A$10:$N$96,K$2,0)),0,VLOOKUP('Project Details by Yr - MASTER'!$B165,'Public Buildings'!$A$10:$N$96,K$2,0))+IF(ISNA(VLOOKUP('Project Details by Yr - MASTER'!$B165,Bridges!$A$9:$N$24,K$2,0)),0,VLOOKUP('Project Details by Yr - MASTER'!$B165,Bridges!$A$9:$N$24,K$2,0))+IF(ISNA(VLOOKUP('Project Details by Yr - MASTER'!$B165,'Parking Lots &amp; Playgrounds'!$A$9:$N$33,K$2,0)),0,VLOOKUP('Project Details by Yr - MASTER'!$B165,'Parking Lots &amp; Playgrounds'!$A$9:$N$33,K$2,0))+IF(ISNA(VLOOKUP($B165,Vehicles!$B$9:$O$50,K$2,0)),0,VLOOKUP($B165,Vehicles!$B$9:$O$50,K$2,0))</f>
        <v>0</v>
      </c>
    </row>
    <row r="166" spans="2:11" x14ac:dyDescent="0.25">
      <c r="B166" t="s">
        <v>113</v>
      </c>
      <c r="C166" t="s">
        <v>49</v>
      </c>
      <c r="D166" t="s">
        <v>271</v>
      </c>
      <c r="E166" s="1" t="s">
        <v>19</v>
      </c>
      <c r="G166" s="8">
        <f>IF(ISNA(VLOOKUP($B166,'Other Capital Needs'!$C$51:$P$95,G$2,0)),0,VLOOKUP($B166,'Other Capital Needs'!$C$51:$P$95,G$2,0))+IF(ISNA(VLOOKUP('Project Details by Yr - MASTER'!$B166,'Public Grounds'!$A$11:$N$49,G$2,0)),0,VLOOKUP('Project Details by Yr - MASTER'!$B166,'Public Grounds'!$A$11:$N$49,G$2,0))+IF(ISNA(VLOOKUP('Project Details by Yr - MASTER'!$B166,'Public Buildings'!$A$10:$N$96,G$2,0)),0,VLOOKUP('Project Details by Yr - MASTER'!$B166,'Public Buildings'!$A$10:$N$96,G$2,0))+IF(ISNA(VLOOKUP('Project Details by Yr - MASTER'!$B166,Bridges!$A$9:$N$24,G$2,0)),0,VLOOKUP('Project Details by Yr - MASTER'!$B166,Bridges!$A$9:$N$24,G$2,0))+IF(ISNA(VLOOKUP('Project Details by Yr - MASTER'!$B166,'Parking Lots &amp; Playgrounds'!$A$9:$N$33,G$2,0)),0,VLOOKUP('Project Details by Yr - MASTER'!$B166,'Parking Lots &amp; Playgrounds'!$A$9:$N$33,G$2,0))+IF(ISNA(VLOOKUP($B166,Vehicles!$B$9:$O$50,G$2,0)),0,VLOOKUP($B166,Vehicles!$B$9:$O$50,G$2,0))</f>
        <v>0</v>
      </c>
      <c r="H166" s="8">
        <f>IF(ISNA(VLOOKUP($B166,'Other Capital Needs'!$C$51:$P$95,H$2,0)),0,VLOOKUP($B166,'Other Capital Needs'!$C$51:$P$95,H$2,0))+IF(ISNA(VLOOKUP('Project Details by Yr - MASTER'!$B166,'Public Grounds'!$A$11:$N$49,H$2,0)),0,VLOOKUP('Project Details by Yr - MASTER'!$B166,'Public Grounds'!$A$11:$N$49,H$2,0))+IF(ISNA(VLOOKUP('Project Details by Yr - MASTER'!$B166,'Public Buildings'!$A$10:$N$96,H$2,0)),0,VLOOKUP('Project Details by Yr - MASTER'!$B166,'Public Buildings'!$A$10:$N$96,H$2,0))+IF(ISNA(VLOOKUP('Project Details by Yr - MASTER'!$B166,Bridges!$A$9:$N$24,H$2,0)),0,VLOOKUP('Project Details by Yr - MASTER'!$B166,Bridges!$A$9:$N$24,H$2,0))+IF(ISNA(VLOOKUP('Project Details by Yr - MASTER'!$B166,'Parking Lots &amp; Playgrounds'!$A$9:$N$33,H$2,0)),0,VLOOKUP('Project Details by Yr - MASTER'!$B166,'Parking Lots &amp; Playgrounds'!$A$9:$N$33,H$2,0))+IF(ISNA(VLOOKUP($B166,Vehicles!$B$9:$O$50,H$2,0)),0,VLOOKUP($B166,Vehicles!$B$9:$O$50,H$2,0))</f>
        <v>700000</v>
      </c>
      <c r="I166" s="8">
        <f>IF(ISNA(VLOOKUP($B166,'Other Capital Needs'!$C$51:$P$95,I$2,0)),0,VLOOKUP($B166,'Other Capital Needs'!$C$51:$P$95,I$2,0))+IF(ISNA(VLOOKUP('Project Details by Yr - MASTER'!$B166,'Public Grounds'!$A$11:$N$49,I$2,0)),0,VLOOKUP('Project Details by Yr - MASTER'!$B166,'Public Grounds'!$A$11:$N$49,I$2,0))+IF(ISNA(VLOOKUP('Project Details by Yr - MASTER'!$B166,'Public Buildings'!$A$10:$N$96,I$2,0)),0,VLOOKUP('Project Details by Yr - MASTER'!$B166,'Public Buildings'!$A$10:$N$96,I$2,0))+IF(ISNA(VLOOKUP('Project Details by Yr - MASTER'!$B166,Bridges!$A$9:$N$24,I$2,0)),0,VLOOKUP('Project Details by Yr - MASTER'!$B166,Bridges!$A$9:$N$24,I$2,0))+IF(ISNA(VLOOKUP('Project Details by Yr - MASTER'!$B166,'Parking Lots &amp; Playgrounds'!$A$9:$N$33,I$2,0)),0,VLOOKUP('Project Details by Yr - MASTER'!$B166,'Parking Lots &amp; Playgrounds'!$A$9:$N$33,I$2,0))+IF(ISNA(VLOOKUP($B166,Vehicles!$B$9:$O$50,I$2,0)),0,VLOOKUP($B166,Vehicles!$B$9:$O$50,I$2,0))</f>
        <v>0</v>
      </c>
      <c r="J166" s="8">
        <f>IF(ISNA(VLOOKUP($B166,'Other Capital Needs'!$C$51:$P$95,J$2,0)),0,VLOOKUP($B166,'Other Capital Needs'!$C$51:$P$95,J$2,0))+IF(ISNA(VLOOKUP('Project Details by Yr - MASTER'!$B166,'Public Grounds'!$A$11:$N$49,J$2,0)),0,VLOOKUP('Project Details by Yr - MASTER'!$B166,'Public Grounds'!$A$11:$N$49,J$2,0))+IF(ISNA(VLOOKUP('Project Details by Yr - MASTER'!$B166,'Public Buildings'!$A$10:$N$96,J$2,0)),0,VLOOKUP('Project Details by Yr - MASTER'!$B166,'Public Buildings'!$A$10:$N$96,J$2,0))+IF(ISNA(VLOOKUP('Project Details by Yr - MASTER'!$B166,Bridges!$A$9:$N$24,J$2,0)),0,VLOOKUP('Project Details by Yr - MASTER'!$B166,Bridges!$A$9:$N$24,J$2,0))+IF(ISNA(VLOOKUP('Project Details by Yr - MASTER'!$B166,'Parking Lots &amp; Playgrounds'!$A$9:$N$33,J$2,0)),0,VLOOKUP('Project Details by Yr - MASTER'!$B166,'Parking Lots &amp; Playgrounds'!$A$9:$N$33,J$2,0))+IF(ISNA(VLOOKUP($B166,Vehicles!$B$9:$O$50,J$2,0)),0,VLOOKUP($B166,Vehicles!$B$9:$O$50,J$2,0))</f>
        <v>0</v>
      </c>
      <c r="K166" s="8">
        <f>IF(ISNA(VLOOKUP($B166,'Other Capital Needs'!$C$51:$P$95,K$2,0)),0,VLOOKUP($B166,'Other Capital Needs'!$C$51:$P$95,K$2,0))+IF(ISNA(VLOOKUP('Project Details by Yr - MASTER'!$B166,'Public Grounds'!$A$11:$N$49,K$2,0)),0,VLOOKUP('Project Details by Yr - MASTER'!$B166,'Public Grounds'!$A$11:$N$49,K$2,0))+IF(ISNA(VLOOKUP('Project Details by Yr - MASTER'!$B166,'Public Buildings'!$A$10:$N$96,K$2,0)),0,VLOOKUP('Project Details by Yr - MASTER'!$B166,'Public Buildings'!$A$10:$N$96,K$2,0))+IF(ISNA(VLOOKUP('Project Details by Yr - MASTER'!$B166,Bridges!$A$9:$N$24,K$2,0)),0,VLOOKUP('Project Details by Yr - MASTER'!$B166,Bridges!$A$9:$N$24,K$2,0))+IF(ISNA(VLOOKUP('Project Details by Yr - MASTER'!$B166,'Parking Lots &amp; Playgrounds'!$A$9:$N$33,K$2,0)),0,VLOOKUP('Project Details by Yr - MASTER'!$B166,'Parking Lots &amp; Playgrounds'!$A$9:$N$33,K$2,0))+IF(ISNA(VLOOKUP($B166,Vehicles!$B$9:$O$50,K$2,0)),0,VLOOKUP($B166,Vehicles!$B$9:$O$50,K$2,0))</f>
        <v>0</v>
      </c>
    </row>
    <row r="167" spans="2:11" x14ac:dyDescent="0.25">
      <c r="B167" t="s">
        <v>114</v>
      </c>
      <c r="C167" t="s">
        <v>49</v>
      </c>
      <c r="D167" t="s">
        <v>271</v>
      </c>
      <c r="E167" s="1" t="s">
        <v>16</v>
      </c>
      <c r="G167" s="8">
        <f>IF(ISNA(VLOOKUP($B167,'Other Capital Needs'!$C$51:$P$95,G$2,0)),0,VLOOKUP($B167,'Other Capital Needs'!$C$51:$P$95,G$2,0))+IF(ISNA(VLOOKUP('Project Details by Yr - MASTER'!$B167,'Public Grounds'!$A$11:$N$49,G$2,0)),0,VLOOKUP('Project Details by Yr - MASTER'!$B167,'Public Grounds'!$A$11:$N$49,G$2,0))+IF(ISNA(VLOOKUP('Project Details by Yr - MASTER'!$B167,'Public Buildings'!$A$10:$N$96,G$2,0)),0,VLOOKUP('Project Details by Yr - MASTER'!$B167,'Public Buildings'!$A$10:$N$96,G$2,0))+IF(ISNA(VLOOKUP('Project Details by Yr - MASTER'!$B167,Bridges!$A$9:$N$24,G$2,0)),0,VLOOKUP('Project Details by Yr - MASTER'!$B167,Bridges!$A$9:$N$24,G$2,0))+IF(ISNA(VLOOKUP('Project Details by Yr - MASTER'!$B167,'Parking Lots &amp; Playgrounds'!$A$9:$N$33,G$2,0)),0,VLOOKUP('Project Details by Yr - MASTER'!$B167,'Parking Lots &amp; Playgrounds'!$A$9:$N$33,G$2,0))+IF(ISNA(VLOOKUP($B167,Vehicles!$B$9:$O$50,G$2,0)),0,VLOOKUP($B167,Vehicles!$B$9:$O$50,G$2,0))</f>
        <v>0</v>
      </c>
      <c r="H167" s="8">
        <f>IF(ISNA(VLOOKUP($B167,'Other Capital Needs'!$C$51:$P$95,H$2,0)),0,VLOOKUP($B167,'Other Capital Needs'!$C$51:$P$95,H$2,0))+IF(ISNA(VLOOKUP('Project Details by Yr - MASTER'!$B167,'Public Grounds'!$A$11:$N$49,H$2,0)),0,VLOOKUP('Project Details by Yr - MASTER'!$B167,'Public Grounds'!$A$11:$N$49,H$2,0))+IF(ISNA(VLOOKUP('Project Details by Yr - MASTER'!$B167,'Public Buildings'!$A$10:$N$96,H$2,0)),0,VLOOKUP('Project Details by Yr - MASTER'!$B167,'Public Buildings'!$A$10:$N$96,H$2,0))+IF(ISNA(VLOOKUP('Project Details by Yr - MASTER'!$B167,Bridges!$A$9:$N$24,H$2,0)),0,VLOOKUP('Project Details by Yr - MASTER'!$B167,Bridges!$A$9:$N$24,H$2,0))+IF(ISNA(VLOOKUP('Project Details by Yr - MASTER'!$B167,'Parking Lots &amp; Playgrounds'!$A$9:$N$33,H$2,0)),0,VLOOKUP('Project Details by Yr - MASTER'!$B167,'Parking Lots &amp; Playgrounds'!$A$9:$N$33,H$2,0))+IF(ISNA(VLOOKUP($B167,Vehicles!$B$9:$O$50,H$2,0)),0,VLOOKUP($B167,Vehicles!$B$9:$O$50,H$2,0))</f>
        <v>0</v>
      </c>
      <c r="I167" s="8">
        <f>IF(ISNA(VLOOKUP($B167,'Other Capital Needs'!$C$51:$P$95,I$2,0)),0,VLOOKUP($B167,'Other Capital Needs'!$C$51:$P$95,I$2,0))+IF(ISNA(VLOOKUP('Project Details by Yr - MASTER'!$B167,'Public Grounds'!$A$11:$N$49,I$2,0)),0,VLOOKUP('Project Details by Yr - MASTER'!$B167,'Public Grounds'!$A$11:$N$49,I$2,0))+IF(ISNA(VLOOKUP('Project Details by Yr - MASTER'!$B167,'Public Buildings'!$A$10:$N$96,I$2,0)),0,VLOOKUP('Project Details by Yr - MASTER'!$B167,'Public Buildings'!$A$10:$N$96,I$2,0))+IF(ISNA(VLOOKUP('Project Details by Yr - MASTER'!$B167,Bridges!$A$9:$N$24,I$2,0)),0,VLOOKUP('Project Details by Yr - MASTER'!$B167,Bridges!$A$9:$N$24,I$2,0))+IF(ISNA(VLOOKUP('Project Details by Yr - MASTER'!$B167,'Parking Lots &amp; Playgrounds'!$A$9:$N$33,I$2,0)),0,VLOOKUP('Project Details by Yr - MASTER'!$B167,'Parking Lots &amp; Playgrounds'!$A$9:$N$33,I$2,0))+IF(ISNA(VLOOKUP($B167,Vehicles!$B$9:$O$50,I$2,0)),0,VLOOKUP($B167,Vehicles!$B$9:$O$50,I$2,0))</f>
        <v>0</v>
      </c>
      <c r="J167" s="8">
        <f>IF(ISNA(VLOOKUP($B167,'Other Capital Needs'!$C$51:$P$95,J$2,0)),0,VLOOKUP($B167,'Other Capital Needs'!$C$51:$P$95,J$2,0))+IF(ISNA(VLOOKUP('Project Details by Yr - MASTER'!$B167,'Public Grounds'!$A$11:$N$49,J$2,0)),0,VLOOKUP('Project Details by Yr - MASTER'!$B167,'Public Grounds'!$A$11:$N$49,J$2,0))+IF(ISNA(VLOOKUP('Project Details by Yr - MASTER'!$B167,'Public Buildings'!$A$10:$N$96,J$2,0)),0,VLOOKUP('Project Details by Yr - MASTER'!$B167,'Public Buildings'!$A$10:$N$96,J$2,0))+IF(ISNA(VLOOKUP('Project Details by Yr - MASTER'!$B167,Bridges!$A$9:$N$24,J$2,0)),0,VLOOKUP('Project Details by Yr - MASTER'!$B167,Bridges!$A$9:$N$24,J$2,0))+IF(ISNA(VLOOKUP('Project Details by Yr - MASTER'!$B167,'Parking Lots &amp; Playgrounds'!$A$9:$N$33,J$2,0)),0,VLOOKUP('Project Details by Yr - MASTER'!$B167,'Parking Lots &amp; Playgrounds'!$A$9:$N$33,J$2,0))+IF(ISNA(VLOOKUP($B167,Vehicles!$B$9:$O$50,J$2,0)),0,VLOOKUP($B167,Vehicles!$B$9:$O$50,J$2,0))</f>
        <v>0</v>
      </c>
      <c r="K167" s="8">
        <f>IF(ISNA(VLOOKUP($B167,'Other Capital Needs'!$C$51:$P$95,K$2,0)),0,VLOOKUP($B167,'Other Capital Needs'!$C$51:$P$95,K$2,0))+IF(ISNA(VLOOKUP('Project Details by Yr - MASTER'!$B167,'Public Grounds'!$A$11:$N$49,K$2,0)),0,VLOOKUP('Project Details by Yr - MASTER'!$B167,'Public Grounds'!$A$11:$N$49,K$2,0))+IF(ISNA(VLOOKUP('Project Details by Yr - MASTER'!$B167,'Public Buildings'!$A$10:$N$96,K$2,0)),0,VLOOKUP('Project Details by Yr - MASTER'!$B167,'Public Buildings'!$A$10:$N$96,K$2,0))+IF(ISNA(VLOOKUP('Project Details by Yr - MASTER'!$B167,Bridges!$A$9:$N$24,K$2,0)),0,VLOOKUP('Project Details by Yr - MASTER'!$B167,Bridges!$A$9:$N$24,K$2,0))+IF(ISNA(VLOOKUP('Project Details by Yr - MASTER'!$B167,'Parking Lots &amp; Playgrounds'!$A$9:$N$33,K$2,0)),0,VLOOKUP('Project Details by Yr - MASTER'!$B167,'Parking Lots &amp; Playgrounds'!$A$9:$N$33,K$2,0))+IF(ISNA(VLOOKUP($B167,Vehicles!$B$9:$O$50,K$2,0)),0,VLOOKUP($B167,Vehicles!$B$9:$O$50,K$2,0))</f>
        <v>0</v>
      </c>
    </row>
    <row r="168" spans="2:11" x14ac:dyDescent="0.25">
      <c r="B168" t="s">
        <v>115</v>
      </c>
      <c r="C168" t="s">
        <v>49</v>
      </c>
      <c r="D168" t="s">
        <v>271</v>
      </c>
      <c r="E168" s="1" t="s">
        <v>19</v>
      </c>
      <c r="G168" s="8">
        <f>IF(ISNA(VLOOKUP($B168,'Other Capital Needs'!$C$51:$P$95,G$2,0)),0,VLOOKUP($B168,'Other Capital Needs'!$C$51:$P$95,G$2,0))+IF(ISNA(VLOOKUP('Project Details by Yr - MASTER'!$B168,'Public Grounds'!$A$11:$N$49,G$2,0)),0,VLOOKUP('Project Details by Yr - MASTER'!$B168,'Public Grounds'!$A$11:$N$49,G$2,0))+IF(ISNA(VLOOKUP('Project Details by Yr - MASTER'!$B168,'Public Buildings'!$A$10:$N$96,G$2,0)),0,VLOOKUP('Project Details by Yr - MASTER'!$B168,'Public Buildings'!$A$10:$N$96,G$2,0))+IF(ISNA(VLOOKUP('Project Details by Yr - MASTER'!$B168,Bridges!$A$9:$N$24,G$2,0)),0,VLOOKUP('Project Details by Yr - MASTER'!$B168,Bridges!$A$9:$N$24,G$2,0))+IF(ISNA(VLOOKUP('Project Details by Yr - MASTER'!$B168,'Parking Lots &amp; Playgrounds'!$A$9:$N$33,G$2,0)),0,VLOOKUP('Project Details by Yr - MASTER'!$B168,'Parking Lots &amp; Playgrounds'!$A$9:$N$33,G$2,0))+IF(ISNA(VLOOKUP($B168,Vehicles!$B$9:$O$50,G$2,0)),0,VLOOKUP($B168,Vehicles!$B$9:$O$50,G$2,0))</f>
        <v>0</v>
      </c>
      <c r="H168" s="8">
        <f>IF(ISNA(VLOOKUP($B168,'Other Capital Needs'!$C$51:$P$95,H$2,0)),0,VLOOKUP($B168,'Other Capital Needs'!$C$51:$P$95,H$2,0))+IF(ISNA(VLOOKUP('Project Details by Yr - MASTER'!$B168,'Public Grounds'!$A$11:$N$49,H$2,0)),0,VLOOKUP('Project Details by Yr - MASTER'!$B168,'Public Grounds'!$A$11:$N$49,H$2,0))+IF(ISNA(VLOOKUP('Project Details by Yr - MASTER'!$B168,'Public Buildings'!$A$10:$N$96,H$2,0)),0,VLOOKUP('Project Details by Yr - MASTER'!$B168,'Public Buildings'!$A$10:$N$96,H$2,0))+IF(ISNA(VLOOKUP('Project Details by Yr - MASTER'!$B168,Bridges!$A$9:$N$24,H$2,0)),0,VLOOKUP('Project Details by Yr - MASTER'!$B168,Bridges!$A$9:$N$24,H$2,0))+IF(ISNA(VLOOKUP('Project Details by Yr - MASTER'!$B168,'Parking Lots &amp; Playgrounds'!$A$9:$N$33,H$2,0)),0,VLOOKUP('Project Details by Yr - MASTER'!$B168,'Parking Lots &amp; Playgrounds'!$A$9:$N$33,H$2,0))+IF(ISNA(VLOOKUP($B168,Vehicles!$B$9:$O$50,H$2,0)),0,VLOOKUP($B168,Vehicles!$B$9:$O$50,H$2,0))</f>
        <v>600000</v>
      </c>
      <c r="I168" s="8">
        <f>IF(ISNA(VLOOKUP($B168,'Other Capital Needs'!$C$51:$P$95,I$2,0)),0,VLOOKUP($B168,'Other Capital Needs'!$C$51:$P$95,I$2,0))+IF(ISNA(VLOOKUP('Project Details by Yr - MASTER'!$B168,'Public Grounds'!$A$11:$N$49,I$2,0)),0,VLOOKUP('Project Details by Yr - MASTER'!$B168,'Public Grounds'!$A$11:$N$49,I$2,0))+IF(ISNA(VLOOKUP('Project Details by Yr - MASTER'!$B168,'Public Buildings'!$A$10:$N$96,I$2,0)),0,VLOOKUP('Project Details by Yr - MASTER'!$B168,'Public Buildings'!$A$10:$N$96,I$2,0))+IF(ISNA(VLOOKUP('Project Details by Yr - MASTER'!$B168,Bridges!$A$9:$N$24,I$2,0)),0,VLOOKUP('Project Details by Yr - MASTER'!$B168,Bridges!$A$9:$N$24,I$2,0))+IF(ISNA(VLOOKUP('Project Details by Yr - MASTER'!$B168,'Parking Lots &amp; Playgrounds'!$A$9:$N$33,I$2,0)),0,VLOOKUP('Project Details by Yr - MASTER'!$B168,'Parking Lots &amp; Playgrounds'!$A$9:$N$33,I$2,0))+IF(ISNA(VLOOKUP($B168,Vehicles!$B$9:$O$50,I$2,0)),0,VLOOKUP($B168,Vehicles!$B$9:$O$50,I$2,0))</f>
        <v>0</v>
      </c>
      <c r="J168" s="8">
        <f>IF(ISNA(VLOOKUP($B168,'Other Capital Needs'!$C$51:$P$95,J$2,0)),0,VLOOKUP($B168,'Other Capital Needs'!$C$51:$P$95,J$2,0))+IF(ISNA(VLOOKUP('Project Details by Yr - MASTER'!$B168,'Public Grounds'!$A$11:$N$49,J$2,0)),0,VLOOKUP('Project Details by Yr - MASTER'!$B168,'Public Grounds'!$A$11:$N$49,J$2,0))+IF(ISNA(VLOOKUP('Project Details by Yr - MASTER'!$B168,'Public Buildings'!$A$10:$N$96,J$2,0)),0,VLOOKUP('Project Details by Yr - MASTER'!$B168,'Public Buildings'!$A$10:$N$96,J$2,0))+IF(ISNA(VLOOKUP('Project Details by Yr - MASTER'!$B168,Bridges!$A$9:$N$24,J$2,0)),0,VLOOKUP('Project Details by Yr - MASTER'!$B168,Bridges!$A$9:$N$24,J$2,0))+IF(ISNA(VLOOKUP('Project Details by Yr - MASTER'!$B168,'Parking Lots &amp; Playgrounds'!$A$9:$N$33,J$2,0)),0,VLOOKUP('Project Details by Yr - MASTER'!$B168,'Parking Lots &amp; Playgrounds'!$A$9:$N$33,J$2,0))+IF(ISNA(VLOOKUP($B168,Vehicles!$B$9:$O$50,J$2,0)),0,VLOOKUP($B168,Vehicles!$B$9:$O$50,J$2,0))</f>
        <v>0</v>
      </c>
      <c r="K168" s="8">
        <f>IF(ISNA(VLOOKUP($B168,'Other Capital Needs'!$C$51:$P$95,K$2,0)),0,VLOOKUP($B168,'Other Capital Needs'!$C$51:$P$95,K$2,0))+IF(ISNA(VLOOKUP('Project Details by Yr - MASTER'!$B168,'Public Grounds'!$A$11:$N$49,K$2,0)),0,VLOOKUP('Project Details by Yr - MASTER'!$B168,'Public Grounds'!$A$11:$N$49,K$2,0))+IF(ISNA(VLOOKUP('Project Details by Yr - MASTER'!$B168,'Public Buildings'!$A$10:$N$96,K$2,0)),0,VLOOKUP('Project Details by Yr - MASTER'!$B168,'Public Buildings'!$A$10:$N$96,K$2,0))+IF(ISNA(VLOOKUP('Project Details by Yr - MASTER'!$B168,Bridges!$A$9:$N$24,K$2,0)),0,VLOOKUP('Project Details by Yr - MASTER'!$B168,Bridges!$A$9:$N$24,K$2,0))+IF(ISNA(VLOOKUP('Project Details by Yr - MASTER'!$B168,'Parking Lots &amp; Playgrounds'!$A$9:$N$33,K$2,0)),0,VLOOKUP('Project Details by Yr - MASTER'!$B168,'Parking Lots &amp; Playgrounds'!$A$9:$N$33,K$2,0))+IF(ISNA(VLOOKUP($B168,Vehicles!$B$9:$O$50,K$2,0)),0,VLOOKUP($B168,Vehicles!$B$9:$O$50,K$2,0))</f>
        <v>0</v>
      </c>
    </row>
    <row r="169" spans="2:11" x14ac:dyDescent="0.25">
      <c r="B169" t="s">
        <v>116</v>
      </c>
      <c r="C169" t="s">
        <v>49</v>
      </c>
      <c r="D169" t="s">
        <v>271</v>
      </c>
      <c r="E169" s="1" t="s">
        <v>16</v>
      </c>
      <c r="G169" s="8">
        <f>IF(ISNA(VLOOKUP($B169,'Other Capital Needs'!$C$51:$P$95,G$2,0)),0,VLOOKUP($B169,'Other Capital Needs'!$C$51:$P$95,G$2,0))+IF(ISNA(VLOOKUP('Project Details by Yr - MASTER'!$B169,'Public Grounds'!$A$11:$N$49,G$2,0)),0,VLOOKUP('Project Details by Yr - MASTER'!$B169,'Public Grounds'!$A$11:$N$49,G$2,0))+IF(ISNA(VLOOKUP('Project Details by Yr - MASTER'!$B169,'Public Buildings'!$A$10:$N$96,G$2,0)),0,VLOOKUP('Project Details by Yr - MASTER'!$B169,'Public Buildings'!$A$10:$N$96,G$2,0))+IF(ISNA(VLOOKUP('Project Details by Yr - MASTER'!$B169,Bridges!$A$9:$N$24,G$2,0)),0,VLOOKUP('Project Details by Yr - MASTER'!$B169,Bridges!$A$9:$N$24,G$2,0))+IF(ISNA(VLOOKUP('Project Details by Yr - MASTER'!$B169,'Parking Lots &amp; Playgrounds'!$A$9:$N$33,G$2,0)),0,VLOOKUP('Project Details by Yr - MASTER'!$B169,'Parking Lots &amp; Playgrounds'!$A$9:$N$33,G$2,0))+IF(ISNA(VLOOKUP($B169,Vehicles!$B$9:$O$50,G$2,0)),0,VLOOKUP($B169,Vehicles!$B$9:$O$50,G$2,0))</f>
        <v>0</v>
      </c>
      <c r="H169" s="8">
        <f>IF(ISNA(VLOOKUP($B169,'Other Capital Needs'!$C$51:$P$95,H$2,0)),0,VLOOKUP($B169,'Other Capital Needs'!$C$51:$P$95,H$2,0))+IF(ISNA(VLOOKUP('Project Details by Yr - MASTER'!$B169,'Public Grounds'!$A$11:$N$49,H$2,0)),0,VLOOKUP('Project Details by Yr - MASTER'!$B169,'Public Grounds'!$A$11:$N$49,H$2,0))+IF(ISNA(VLOOKUP('Project Details by Yr - MASTER'!$B169,'Public Buildings'!$A$10:$N$96,H$2,0)),0,VLOOKUP('Project Details by Yr - MASTER'!$B169,'Public Buildings'!$A$10:$N$96,H$2,0))+IF(ISNA(VLOOKUP('Project Details by Yr - MASTER'!$B169,Bridges!$A$9:$N$24,H$2,0)),0,VLOOKUP('Project Details by Yr - MASTER'!$B169,Bridges!$A$9:$N$24,H$2,0))+IF(ISNA(VLOOKUP('Project Details by Yr - MASTER'!$B169,'Parking Lots &amp; Playgrounds'!$A$9:$N$33,H$2,0)),0,VLOOKUP('Project Details by Yr - MASTER'!$B169,'Parking Lots &amp; Playgrounds'!$A$9:$N$33,H$2,0))+IF(ISNA(VLOOKUP($B169,Vehicles!$B$9:$O$50,H$2,0)),0,VLOOKUP($B169,Vehicles!$B$9:$O$50,H$2,0))</f>
        <v>0</v>
      </c>
      <c r="I169" s="8">
        <f>IF(ISNA(VLOOKUP($B169,'Other Capital Needs'!$C$51:$P$95,I$2,0)),0,VLOOKUP($B169,'Other Capital Needs'!$C$51:$P$95,I$2,0))+IF(ISNA(VLOOKUP('Project Details by Yr - MASTER'!$B169,'Public Grounds'!$A$11:$N$49,I$2,0)),0,VLOOKUP('Project Details by Yr - MASTER'!$B169,'Public Grounds'!$A$11:$N$49,I$2,0))+IF(ISNA(VLOOKUP('Project Details by Yr - MASTER'!$B169,'Public Buildings'!$A$10:$N$96,I$2,0)),0,VLOOKUP('Project Details by Yr - MASTER'!$B169,'Public Buildings'!$A$10:$N$96,I$2,0))+IF(ISNA(VLOOKUP('Project Details by Yr - MASTER'!$B169,Bridges!$A$9:$N$24,I$2,0)),0,VLOOKUP('Project Details by Yr - MASTER'!$B169,Bridges!$A$9:$N$24,I$2,0))+IF(ISNA(VLOOKUP('Project Details by Yr - MASTER'!$B169,'Parking Lots &amp; Playgrounds'!$A$9:$N$33,I$2,0)),0,VLOOKUP('Project Details by Yr - MASTER'!$B169,'Parking Lots &amp; Playgrounds'!$A$9:$N$33,I$2,0))+IF(ISNA(VLOOKUP($B169,Vehicles!$B$9:$O$50,I$2,0)),0,VLOOKUP($B169,Vehicles!$B$9:$O$50,I$2,0))</f>
        <v>0</v>
      </c>
      <c r="J169" s="8">
        <f>IF(ISNA(VLOOKUP($B169,'Other Capital Needs'!$C$51:$P$95,J$2,0)),0,VLOOKUP($B169,'Other Capital Needs'!$C$51:$P$95,J$2,0))+IF(ISNA(VLOOKUP('Project Details by Yr - MASTER'!$B169,'Public Grounds'!$A$11:$N$49,J$2,0)),0,VLOOKUP('Project Details by Yr - MASTER'!$B169,'Public Grounds'!$A$11:$N$49,J$2,0))+IF(ISNA(VLOOKUP('Project Details by Yr - MASTER'!$B169,'Public Buildings'!$A$10:$N$96,J$2,0)),0,VLOOKUP('Project Details by Yr - MASTER'!$B169,'Public Buildings'!$A$10:$N$96,J$2,0))+IF(ISNA(VLOOKUP('Project Details by Yr - MASTER'!$B169,Bridges!$A$9:$N$24,J$2,0)),0,VLOOKUP('Project Details by Yr - MASTER'!$B169,Bridges!$A$9:$N$24,J$2,0))+IF(ISNA(VLOOKUP('Project Details by Yr - MASTER'!$B169,'Parking Lots &amp; Playgrounds'!$A$9:$N$33,J$2,0)),0,VLOOKUP('Project Details by Yr - MASTER'!$B169,'Parking Lots &amp; Playgrounds'!$A$9:$N$33,J$2,0))+IF(ISNA(VLOOKUP($B169,Vehicles!$B$9:$O$50,J$2,0)),0,VLOOKUP($B169,Vehicles!$B$9:$O$50,J$2,0))</f>
        <v>0</v>
      </c>
      <c r="K169" s="8">
        <f>IF(ISNA(VLOOKUP($B169,'Other Capital Needs'!$C$51:$P$95,K$2,0)),0,VLOOKUP($B169,'Other Capital Needs'!$C$51:$P$95,K$2,0))+IF(ISNA(VLOOKUP('Project Details by Yr - MASTER'!$B169,'Public Grounds'!$A$11:$N$49,K$2,0)),0,VLOOKUP('Project Details by Yr - MASTER'!$B169,'Public Grounds'!$A$11:$N$49,K$2,0))+IF(ISNA(VLOOKUP('Project Details by Yr - MASTER'!$B169,'Public Buildings'!$A$10:$N$96,K$2,0)),0,VLOOKUP('Project Details by Yr - MASTER'!$B169,'Public Buildings'!$A$10:$N$96,K$2,0))+IF(ISNA(VLOOKUP('Project Details by Yr - MASTER'!$B169,Bridges!$A$9:$N$24,K$2,0)),0,VLOOKUP('Project Details by Yr - MASTER'!$B169,Bridges!$A$9:$N$24,K$2,0))+IF(ISNA(VLOOKUP('Project Details by Yr - MASTER'!$B169,'Parking Lots &amp; Playgrounds'!$A$9:$N$33,K$2,0)),0,VLOOKUP('Project Details by Yr - MASTER'!$B169,'Parking Lots &amp; Playgrounds'!$A$9:$N$33,K$2,0))+IF(ISNA(VLOOKUP($B169,Vehicles!$B$9:$O$50,K$2,0)),0,VLOOKUP($B169,Vehicles!$B$9:$O$50,K$2,0))</f>
        <v>0</v>
      </c>
    </row>
    <row r="170" spans="2:11" x14ac:dyDescent="0.25">
      <c r="B170" t="s">
        <v>117</v>
      </c>
      <c r="C170" t="s">
        <v>49</v>
      </c>
      <c r="D170" t="s">
        <v>271</v>
      </c>
      <c r="E170" s="1" t="s">
        <v>16</v>
      </c>
      <c r="G170" s="8">
        <f>IF(ISNA(VLOOKUP($B170,'Other Capital Needs'!$C$51:$P$95,G$2,0)),0,VLOOKUP($B170,'Other Capital Needs'!$C$51:$P$95,G$2,0))+IF(ISNA(VLOOKUP('Project Details by Yr - MASTER'!$B170,'Public Grounds'!$A$11:$N$49,G$2,0)),0,VLOOKUP('Project Details by Yr - MASTER'!$B170,'Public Grounds'!$A$11:$N$49,G$2,0))+IF(ISNA(VLOOKUP('Project Details by Yr - MASTER'!$B170,'Public Buildings'!$A$10:$N$96,G$2,0)),0,VLOOKUP('Project Details by Yr - MASTER'!$B170,'Public Buildings'!$A$10:$N$96,G$2,0))+IF(ISNA(VLOOKUP('Project Details by Yr - MASTER'!$B170,Bridges!$A$9:$N$24,G$2,0)),0,VLOOKUP('Project Details by Yr - MASTER'!$B170,Bridges!$A$9:$N$24,G$2,0))+IF(ISNA(VLOOKUP('Project Details by Yr - MASTER'!$B170,'Parking Lots &amp; Playgrounds'!$A$9:$N$33,G$2,0)),0,VLOOKUP('Project Details by Yr - MASTER'!$B170,'Parking Lots &amp; Playgrounds'!$A$9:$N$33,G$2,0))+IF(ISNA(VLOOKUP($B170,Vehicles!$B$9:$O$50,G$2,0)),0,VLOOKUP($B170,Vehicles!$B$9:$O$50,G$2,0))</f>
        <v>0</v>
      </c>
      <c r="H170" s="8">
        <f>IF(ISNA(VLOOKUP($B170,'Other Capital Needs'!$C$51:$P$95,H$2,0)),0,VLOOKUP($B170,'Other Capital Needs'!$C$51:$P$95,H$2,0))+IF(ISNA(VLOOKUP('Project Details by Yr - MASTER'!$B170,'Public Grounds'!$A$11:$N$49,H$2,0)),0,VLOOKUP('Project Details by Yr - MASTER'!$B170,'Public Grounds'!$A$11:$N$49,H$2,0))+IF(ISNA(VLOOKUP('Project Details by Yr - MASTER'!$B170,'Public Buildings'!$A$10:$N$96,H$2,0)),0,VLOOKUP('Project Details by Yr - MASTER'!$B170,'Public Buildings'!$A$10:$N$96,H$2,0))+IF(ISNA(VLOOKUP('Project Details by Yr - MASTER'!$B170,Bridges!$A$9:$N$24,H$2,0)),0,VLOOKUP('Project Details by Yr - MASTER'!$B170,Bridges!$A$9:$N$24,H$2,0))+IF(ISNA(VLOOKUP('Project Details by Yr - MASTER'!$B170,'Parking Lots &amp; Playgrounds'!$A$9:$N$33,H$2,0)),0,VLOOKUP('Project Details by Yr - MASTER'!$B170,'Parking Lots &amp; Playgrounds'!$A$9:$N$33,H$2,0))+IF(ISNA(VLOOKUP($B170,Vehicles!$B$9:$O$50,H$2,0)),0,VLOOKUP($B170,Vehicles!$B$9:$O$50,H$2,0))</f>
        <v>0</v>
      </c>
      <c r="I170" s="8">
        <f>IF(ISNA(VLOOKUP($B170,'Other Capital Needs'!$C$51:$P$95,I$2,0)),0,VLOOKUP($B170,'Other Capital Needs'!$C$51:$P$95,I$2,0))+IF(ISNA(VLOOKUP('Project Details by Yr - MASTER'!$B170,'Public Grounds'!$A$11:$N$49,I$2,0)),0,VLOOKUP('Project Details by Yr - MASTER'!$B170,'Public Grounds'!$A$11:$N$49,I$2,0))+IF(ISNA(VLOOKUP('Project Details by Yr - MASTER'!$B170,'Public Buildings'!$A$10:$N$96,I$2,0)),0,VLOOKUP('Project Details by Yr - MASTER'!$B170,'Public Buildings'!$A$10:$N$96,I$2,0))+IF(ISNA(VLOOKUP('Project Details by Yr - MASTER'!$B170,Bridges!$A$9:$N$24,I$2,0)),0,VLOOKUP('Project Details by Yr - MASTER'!$B170,Bridges!$A$9:$N$24,I$2,0))+IF(ISNA(VLOOKUP('Project Details by Yr - MASTER'!$B170,'Parking Lots &amp; Playgrounds'!$A$9:$N$33,I$2,0)),0,VLOOKUP('Project Details by Yr - MASTER'!$B170,'Parking Lots &amp; Playgrounds'!$A$9:$N$33,I$2,0))+IF(ISNA(VLOOKUP($B170,Vehicles!$B$9:$O$50,I$2,0)),0,VLOOKUP($B170,Vehicles!$B$9:$O$50,I$2,0))</f>
        <v>0</v>
      </c>
      <c r="J170" s="8">
        <f>IF(ISNA(VLOOKUP($B170,'Other Capital Needs'!$C$51:$P$95,J$2,0)),0,VLOOKUP($B170,'Other Capital Needs'!$C$51:$P$95,J$2,0))+IF(ISNA(VLOOKUP('Project Details by Yr - MASTER'!$B170,'Public Grounds'!$A$11:$N$49,J$2,0)),0,VLOOKUP('Project Details by Yr - MASTER'!$B170,'Public Grounds'!$A$11:$N$49,J$2,0))+IF(ISNA(VLOOKUP('Project Details by Yr - MASTER'!$B170,'Public Buildings'!$A$10:$N$96,J$2,0)),0,VLOOKUP('Project Details by Yr - MASTER'!$B170,'Public Buildings'!$A$10:$N$96,J$2,0))+IF(ISNA(VLOOKUP('Project Details by Yr - MASTER'!$B170,Bridges!$A$9:$N$24,J$2,0)),0,VLOOKUP('Project Details by Yr - MASTER'!$B170,Bridges!$A$9:$N$24,J$2,0))+IF(ISNA(VLOOKUP('Project Details by Yr - MASTER'!$B170,'Parking Lots &amp; Playgrounds'!$A$9:$N$33,J$2,0)),0,VLOOKUP('Project Details by Yr - MASTER'!$B170,'Parking Lots &amp; Playgrounds'!$A$9:$N$33,J$2,0))+IF(ISNA(VLOOKUP($B170,Vehicles!$B$9:$O$50,J$2,0)),0,VLOOKUP($B170,Vehicles!$B$9:$O$50,J$2,0))</f>
        <v>75000</v>
      </c>
      <c r="K170" s="8">
        <f>IF(ISNA(VLOOKUP($B170,'Other Capital Needs'!$C$51:$P$95,K$2,0)),0,VLOOKUP($B170,'Other Capital Needs'!$C$51:$P$95,K$2,0))+IF(ISNA(VLOOKUP('Project Details by Yr - MASTER'!$B170,'Public Grounds'!$A$11:$N$49,K$2,0)),0,VLOOKUP('Project Details by Yr - MASTER'!$B170,'Public Grounds'!$A$11:$N$49,K$2,0))+IF(ISNA(VLOOKUP('Project Details by Yr - MASTER'!$B170,'Public Buildings'!$A$10:$N$96,K$2,0)),0,VLOOKUP('Project Details by Yr - MASTER'!$B170,'Public Buildings'!$A$10:$N$96,K$2,0))+IF(ISNA(VLOOKUP('Project Details by Yr - MASTER'!$B170,Bridges!$A$9:$N$24,K$2,0)),0,VLOOKUP('Project Details by Yr - MASTER'!$B170,Bridges!$A$9:$N$24,K$2,0))+IF(ISNA(VLOOKUP('Project Details by Yr - MASTER'!$B170,'Parking Lots &amp; Playgrounds'!$A$9:$N$33,K$2,0)),0,VLOOKUP('Project Details by Yr - MASTER'!$B170,'Parking Lots &amp; Playgrounds'!$A$9:$N$33,K$2,0))+IF(ISNA(VLOOKUP($B170,Vehicles!$B$9:$O$50,K$2,0)),0,VLOOKUP($B170,Vehicles!$B$9:$O$50,K$2,0))</f>
        <v>75000</v>
      </c>
    </row>
    <row r="171" spans="2:11" x14ac:dyDescent="0.25">
      <c r="B171" t="s">
        <v>129</v>
      </c>
      <c r="C171" t="s">
        <v>49</v>
      </c>
      <c r="D171" t="s">
        <v>271</v>
      </c>
      <c r="E171" s="1" t="s">
        <v>16</v>
      </c>
      <c r="G171" s="8">
        <f>IF(ISNA(VLOOKUP($B171,'Other Capital Needs'!$C$51:$P$95,G$2,0)),0,VLOOKUP($B171,'Other Capital Needs'!$C$51:$P$95,G$2,0))+IF(ISNA(VLOOKUP('Project Details by Yr - MASTER'!$B171,'Public Grounds'!$A$11:$N$49,G$2,0)),0,VLOOKUP('Project Details by Yr - MASTER'!$B171,'Public Grounds'!$A$11:$N$49,G$2,0))+IF(ISNA(VLOOKUP('Project Details by Yr - MASTER'!$B171,'Public Buildings'!$A$10:$N$96,G$2,0)),0,VLOOKUP('Project Details by Yr - MASTER'!$B171,'Public Buildings'!$A$10:$N$96,G$2,0))+IF(ISNA(VLOOKUP('Project Details by Yr - MASTER'!$B171,Bridges!$A$9:$N$24,G$2,0)),0,VLOOKUP('Project Details by Yr - MASTER'!$B171,Bridges!$A$9:$N$24,G$2,0))+IF(ISNA(VLOOKUP('Project Details by Yr - MASTER'!$B171,'Parking Lots &amp; Playgrounds'!$A$9:$N$33,G$2,0)),0,VLOOKUP('Project Details by Yr - MASTER'!$B171,'Parking Lots &amp; Playgrounds'!$A$9:$N$33,G$2,0))+IF(ISNA(VLOOKUP($B171,Vehicles!$B$9:$O$50,G$2,0)),0,VLOOKUP($B171,Vehicles!$B$9:$O$50,G$2,0))</f>
        <v>0</v>
      </c>
      <c r="H171" s="8">
        <f>IF(ISNA(VLOOKUP($B171,'Other Capital Needs'!$C$51:$P$95,H$2,0)),0,VLOOKUP($B171,'Other Capital Needs'!$C$51:$P$95,H$2,0))+IF(ISNA(VLOOKUP('Project Details by Yr - MASTER'!$B171,'Public Grounds'!$A$11:$N$49,H$2,0)),0,VLOOKUP('Project Details by Yr - MASTER'!$B171,'Public Grounds'!$A$11:$N$49,H$2,0))+IF(ISNA(VLOOKUP('Project Details by Yr - MASTER'!$B171,'Public Buildings'!$A$10:$N$96,H$2,0)),0,VLOOKUP('Project Details by Yr - MASTER'!$B171,'Public Buildings'!$A$10:$N$96,H$2,0))+IF(ISNA(VLOOKUP('Project Details by Yr - MASTER'!$B171,Bridges!$A$9:$N$24,H$2,0)),0,VLOOKUP('Project Details by Yr - MASTER'!$B171,Bridges!$A$9:$N$24,H$2,0))+IF(ISNA(VLOOKUP('Project Details by Yr - MASTER'!$B171,'Parking Lots &amp; Playgrounds'!$A$9:$N$33,H$2,0)),0,VLOOKUP('Project Details by Yr - MASTER'!$B171,'Parking Lots &amp; Playgrounds'!$A$9:$N$33,H$2,0))+IF(ISNA(VLOOKUP($B171,Vehicles!$B$9:$O$50,H$2,0)),0,VLOOKUP($B171,Vehicles!$B$9:$O$50,H$2,0))</f>
        <v>0</v>
      </c>
      <c r="I171" s="8">
        <f>IF(ISNA(VLOOKUP($B171,'Other Capital Needs'!$C$51:$P$95,I$2,0)),0,VLOOKUP($B171,'Other Capital Needs'!$C$51:$P$95,I$2,0))+IF(ISNA(VLOOKUP('Project Details by Yr - MASTER'!$B171,'Public Grounds'!$A$11:$N$49,I$2,0)),0,VLOOKUP('Project Details by Yr - MASTER'!$B171,'Public Grounds'!$A$11:$N$49,I$2,0))+IF(ISNA(VLOOKUP('Project Details by Yr - MASTER'!$B171,'Public Buildings'!$A$10:$N$96,I$2,0)),0,VLOOKUP('Project Details by Yr - MASTER'!$B171,'Public Buildings'!$A$10:$N$96,I$2,0))+IF(ISNA(VLOOKUP('Project Details by Yr - MASTER'!$B171,Bridges!$A$9:$N$24,I$2,0)),0,VLOOKUP('Project Details by Yr - MASTER'!$B171,Bridges!$A$9:$N$24,I$2,0))+IF(ISNA(VLOOKUP('Project Details by Yr - MASTER'!$B171,'Parking Lots &amp; Playgrounds'!$A$9:$N$33,I$2,0)),0,VLOOKUP('Project Details by Yr - MASTER'!$B171,'Parking Lots &amp; Playgrounds'!$A$9:$N$33,I$2,0))+IF(ISNA(VLOOKUP($B171,Vehicles!$B$9:$O$50,I$2,0)),0,VLOOKUP($B171,Vehicles!$B$9:$O$50,I$2,0))</f>
        <v>80000</v>
      </c>
      <c r="J171" s="8">
        <f>IF(ISNA(VLOOKUP($B171,'Other Capital Needs'!$C$51:$P$95,J$2,0)),0,VLOOKUP($B171,'Other Capital Needs'!$C$51:$P$95,J$2,0))+IF(ISNA(VLOOKUP('Project Details by Yr - MASTER'!$B171,'Public Grounds'!$A$11:$N$49,J$2,0)),0,VLOOKUP('Project Details by Yr - MASTER'!$B171,'Public Grounds'!$A$11:$N$49,J$2,0))+IF(ISNA(VLOOKUP('Project Details by Yr - MASTER'!$B171,'Public Buildings'!$A$10:$N$96,J$2,0)),0,VLOOKUP('Project Details by Yr - MASTER'!$B171,'Public Buildings'!$A$10:$N$96,J$2,0))+IF(ISNA(VLOOKUP('Project Details by Yr - MASTER'!$B171,Bridges!$A$9:$N$24,J$2,0)),0,VLOOKUP('Project Details by Yr - MASTER'!$B171,Bridges!$A$9:$N$24,J$2,0))+IF(ISNA(VLOOKUP('Project Details by Yr - MASTER'!$B171,'Parking Lots &amp; Playgrounds'!$A$9:$N$33,J$2,0)),0,VLOOKUP('Project Details by Yr - MASTER'!$B171,'Parking Lots &amp; Playgrounds'!$A$9:$N$33,J$2,0))+IF(ISNA(VLOOKUP($B171,Vehicles!$B$9:$O$50,J$2,0)),0,VLOOKUP($B171,Vehicles!$B$9:$O$50,J$2,0))</f>
        <v>0</v>
      </c>
      <c r="K171" s="8">
        <f>IF(ISNA(VLOOKUP($B171,'Other Capital Needs'!$C$51:$P$95,K$2,0)),0,VLOOKUP($B171,'Other Capital Needs'!$C$51:$P$95,K$2,0))+IF(ISNA(VLOOKUP('Project Details by Yr - MASTER'!$B171,'Public Grounds'!$A$11:$N$49,K$2,0)),0,VLOOKUP('Project Details by Yr - MASTER'!$B171,'Public Grounds'!$A$11:$N$49,K$2,0))+IF(ISNA(VLOOKUP('Project Details by Yr - MASTER'!$B171,'Public Buildings'!$A$10:$N$96,K$2,0)),0,VLOOKUP('Project Details by Yr - MASTER'!$B171,'Public Buildings'!$A$10:$N$96,K$2,0))+IF(ISNA(VLOOKUP('Project Details by Yr - MASTER'!$B171,Bridges!$A$9:$N$24,K$2,0)),0,VLOOKUP('Project Details by Yr - MASTER'!$B171,Bridges!$A$9:$N$24,K$2,0))+IF(ISNA(VLOOKUP('Project Details by Yr - MASTER'!$B171,'Parking Lots &amp; Playgrounds'!$A$9:$N$33,K$2,0)),0,VLOOKUP('Project Details by Yr - MASTER'!$B171,'Parking Lots &amp; Playgrounds'!$A$9:$N$33,K$2,0))+IF(ISNA(VLOOKUP($B171,Vehicles!$B$9:$O$50,K$2,0)),0,VLOOKUP($B171,Vehicles!$B$9:$O$50,K$2,0))</f>
        <v>0</v>
      </c>
    </row>
    <row r="172" spans="2:11" x14ac:dyDescent="0.25">
      <c r="B172" t="s">
        <v>130</v>
      </c>
      <c r="C172" t="s">
        <v>49</v>
      </c>
      <c r="D172" t="s">
        <v>271</v>
      </c>
      <c r="E172" s="1" t="s">
        <v>16</v>
      </c>
      <c r="G172" s="8">
        <f>IF(ISNA(VLOOKUP($B172,'Other Capital Needs'!$C$51:$P$95,G$2,0)),0,VLOOKUP($B172,'Other Capital Needs'!$C$51:$P$95,G$2,0))+IF(ISNA(VLOOKUP('Project Details by Yr - MASTER'!$B172,'Public Grounds'!$A$11:$N$49,G$2,0)),0,VLOOKUP('Project Details by Yr - MASTER'!$B172,'Public Grounds'!$A$11:$N$49,G$2,0))+IF(ISNA(VLOOKUP('Project Details by Yr - MASTER'!$B172,'Public Buildings'!$A$10:$N$96,G$2,0)),0,VLOOKUP('Project Details by Yr - MASTER'!$B172,'Public Buildings'!$A$10:$N$96,G$2,0))+IF(ISNA(VLOOKUP('Project Details by Yr - MASTER'!$B172,Bridges!$A$9:$N$24,G$2,0)),0,VLOOKUP('Project Details by Yr - MASTER'!$B172,Bridges!$A$9:$N$24,G$2,0))+IF(ISNA(VLOOKUP('Project Details by Yr - MASTER'!$B172,'Parking Lots &amp; Playgrounds'!$A$9:$N$33,G$2,0)),0,VLOOKUP('Project Details by Yr - MASTER'!$B172,'Parking Lots &amp; Playgrounds'!$A$9:$N$33,G$2,0))+IF(ISNA(VLOOKUP($B172,Vehicles!$B$9:$O$50,G$2,0)),0,VLOOKUP($B172,Vehicles!$B$9:$O$50,G$2,0))</f>
        <v>0</v>
      </c>
      <c r="H172" s="8">
        <f>IF(ISNA(VLOOKUP($B172,'Other Capital Needs'!$C$51:$P$95,H$2,0)),0,VLOOKUP($B172,'Other Capital Needs'!$C$51:$P$95,H$2,0))+IF(ISNA(VLOOKUP('Project Details by Yr - MASTER'!$B172,'Public Grounds'!$A$11:$N$49,H$2,0)),0,VLOOKUP('Project Details by Yr - MASTER'!$B172,'Public Grounds'!$A$11:$N$49,H$2,0))+IF(ISNA(VLOOKUP('Project Details by Yr - MASTER'!$B172,'Public Buildings'!$A$10:$N$96,H$2,0)),0,VLOOKUP('Project Details by Yr - MASTER'!$B172,'Public Buildings'!$A$10:$N$96,H$2,0))+IF(ISNA(VLOOKUP('Project Details by Yr - MASTER'!$B172,Bridges!$A$9:$N$24,H$2,0)),0,VLOOKUP('Project Details by Yr - MASTER'!$B172,Bridges!$A$9:$N$24,H$2,0))+IF(ISNA(VLOOKUP('Project Details by Yr - MASTER'!$B172,'Parking Lots &amp; Playgrounds'!$A$9:$N$33,H$2,0)),0,VLOOKUP('Project Details by Yr - MASTER'!$B172,'Parking Lots &amp; Playgrounds'!$A$9:$N$33,H$2,0))+IF(ISNA(VLOOKUP($B172,Vehicles!$B$9:$O$50,H$2,0)),0,VLOOKUP($B172,Vehicles!$B$9:$O$50,H$2,0))</f>
        <v>0</v>
      </c>
      <c r="I172" s="8">
        <f>IF(ISNA(VLOOKUP($B172,'Other Capital Needs'!$C$51:$P$95,I$2,0)),0,VLOOKUP($B172,'Other Capital Needs'!$C$51:$P$95,I$2,0))+IF(ISNA(VLOOKUP('Project Details by Yr - MASTER'!$B172,'Public Grounds'!$A$11:$N$49,I$2,0)),0,VLOOKUP('Project Details by Yr - MASTER'!$B172,'Public Grounds'!$A$11:$N$49,I$2,0))+IF(ISNA(VLOOKUP('Project Details by Yr - MASTER'!$B172,'Public Buildings'!$A$10:$N$96,I$2,0)),0,VLOOKUP('Project Details by Yr - MASTER'!$B172,'Public Buildings'!$A$10:$N$96,I$2,0))+IF(ISNA(VLOOKUP('Project Details by Yr - MASTER'!$B172,Bridges!$A$9:$N$24,I$2,0)),0,VLOOKUP('Project Details by Yr - MASTER'!$B172,Bridges!$A$9:$N$24,I$2,0))+IF(ISNA(VLOOKUP('Project Details by Yr - MASTER'!$B172,'Parking Lots &amp; Playgrounds'!$A$9:$N$33,I$2,0)),0,VLOOKUP('Project Details by Yr - MASTER'!$B172,'Parking Lots &amp; Playgrounds'!$A$9:$N$33,I$2,0))+IF(ISNA(VLOOKUP($B172,Vehicles!$B$9:$O$50,I$2,0)),0,VLOOKUP($B172,Vehicles!$B$9:$O$50,I$2,0))</f>
        <v>0</v>
      </c>
      <c r="J172" s="8">
        <f>IF(ISNA(VLOOKUP($B172,'Other Capital Needs'!$C$51:$P$95,J$2,0)),0,VLOOKUP($B172,'Other Capital Needs'!$C$51:$P$95,J$2,0))+IF(ISNA(VLOOKUP('Project Details by Yr - MASTER'!$B172,'Public Grounds'!$A$11:$N$49,J$2,0)),0,VLOOKUP('Project Details by Yr - MASTER'!$B172,'Public Grounds'!$A$11:$N$49,J$2,0))+IF(ISNA(VLOOKUP('Project Details by Yr - MASTER'!$B172,'Public Buildings'!$A$10:$N$96,J$2,0)),0,VLOOKUP('Project Details by Yr - MASTER'!$B172,'Public Buildings'!$A$10:$N$96,J$2,0))+IF(ISNA(VLOOKUP('Project Details by Yr - MASTER'!$B172,Bridges!$A$9:$N$24,J$2,0)),0,VLOOKUP('Project Details by Yr - MASTER'!$B172,Bridges!$A$9:$N$24,J$2,0))+IF(ISNA(VLOOKUP('Project Details by Yr - MASTER'!$B172,'Parking Lots &amp; Playgrounds'!$A$9:$N$33,J$2,0)),0,VLOOKUP('Project Details by Yr - MASTER'!$B172,'Parking Lots &amp; Playgrounds'!$A$9:$N$33,J$2,0))+IF(ISNA(VLOOKUP($B172,Vehicles!$B$9:$O$50,J$2,0)),0,VLOOKUP($B172,Vehicles!$B$9:$O$50,J$2,0))</f>
        <v>0</v>
      </c>
      <c r="K172" s="8">
        <f>IF(ISNA(VLOOKUP($B172,'Other Capital Needs'!$C$51:$P$95,K$2,0)),0,VLOOKUP($B172,'Other Capital Needs'!$C$51:$P$95,K$2,0))+IF(ISNA(VLOOKUP('Project Details by Yr - MASTER'!$B172,'Public Grounds'!$A$11:$N$49,K$2,0)),0,VLOOKUP('Project Details by Yr - MASTER'!$B172,'Public Grounds'!$A$11:$N$49,K$2,0))+IF(ISNA(VLOOKUP('Project Details by Yr - MASTER'!$B172,'Public Buildings'!$A$10:$N$96,K$2,0)),0,VLOOKUP('Project Details by Yr - MASTER'!$B172,'Public Buildings'!$A$10:$N$96,K$2,0))+IF(ISNA(VLOOKUP('Project Details by Yr - MASTER'!$B172,Bridges!$A$9:$N$24,K$2,0)),0,VLOOKUP('Project Details by Yr - MASTER'!$B172,Bridges!$A$9:$N$24,K$2,0))+IF(ISNA(VLOOKUP('Project Details by Yr - MASTER'!$B172,'Parking Lots &amp; Playgrounds'!$A$9:$N$33,K$2,0)),0,VLOOKUP('Project Details by Yr - MASTER'!$B172,'Parking Lots &amp; Playgrounds'!$A$9:$N$33,K$2,0))+IF(ISNA(VLOOKUP($B172,Vehicles!$B$9:$O$50,K$2,0)),0,VLOOKUP($B172,Vehicles!$B$9:$O$50,K$2,0))</f>
        <v>0</v>
      </c>
    </row>
    <row r="173" spans="2:11" x14ac:dyDescent="0.25">
      <c r="B173" t="s">
        <v>131</v>
      </c>
      <c r="C173" t="s">
        <v>49</v>
      </c>
      <c r="D173" t="s">
        <v>271</v>
      </c>
      <c r="E173" s="1" t="s">
        <v>16</v>
      </c>
      <c r="G173" s="8">
        <f>IF(ISNA(VLOOKUP($B173,'Other Capital Needs'!$C$51:$P$95,G$2,0)),0,VLOOKUP($B173,'Other Capital Needs'!$C$51:$P$95,G$2,0))+IF(ISNA(VLOOKUP('Project Details by Yr - MASTER'!$B173,'Public Grounds'!$A$11:$N$49,G$2,0)),0,VLOOKUP('Project Details by Yr - MASTER'!$B173,'Public Grounds'!$A$11:$N$49,G$2,0))+IF(ISNA(VLOOKUP('Project Details by Yr - MASTER'!$B173,'Public Buildings'!$A$10:$N$96,G$2,0)),0,VLOOKUP('Project Details by Yr - MASTER'!$B173,'Public Buildings'!$A$10:$N$96,G$2,0))+IF(ISNA(VLOOKUP('Project Details by Yr - MASTER'!$B173,Bridges!$A$9:$N$24,G$2,0)),0,VLOOKUP('Project Details by Yr - MASTER'!$B173,Bridges!$A$9:$N$24,G$2,0))+IF(ISNA(VLOOKUP('Project Details by Yr - MASTER'!$B173,'Parking Lots &amp; Playgrounds'!$A$9:$N$33,G$2,0)),0,VLOOKUP('Project Details by Yr - MASTER'!$B173,'Parking Lots &amp; Playgrounds'!$A$9:$N$33,G$2,0))+IF(ISNA(VLOOKUP($B173,Vehicles!$B$9:$O$50,G$2,0)),0,VLOOKUP($B173,Vehicles!$B$9:$O$50,G$2,0))</f>
        <v>0</v>
      </c>
      <c r="H173" s="8">
        <f>IF(ISNA(VLOOKUP($B173,'Other Capital Needs'!$C$51:$P$95,H$2,0)),0,VLOOKUP($B173,'Other Capital Needs'!$C$51:$P$95,H$2,0))+IF(ISNA(VLOOKUP('Project Details by Yr - MASTER'!$B173,'Public Grounds'!$A$11:$N$49,H$2,0)),0,VLOOKUP('Project Details by Yr - MASTER'!$B173,'Public Grounds'!$A$11:$N$49,H$2,0))+IF(ISNA(VLOOKUP('Project Details by Yr - MASTER'!$B173,'Public Buildings'!$A$10:$N$96,H$2,0)),0,VLOOKUP('Project Details by Yr - MASTER'!$B173,'Public Buildings'!$A$10:$N$96,H$2,0))+IF(ISNA(VLOOKUP('Project Details by Yr - MASTER'!$B173,Bridges!$A$9:$N$24,H$2,0)),0,VLOOKUP('Project Details by Yr - MASTER'!$B173,Bridges!$A$9:$N$24,H$2,0))+IF(ISNA(VLOOKUP('Project Details by Yr - MASTER'!$B173,'Parking Lots &amp; Playgrounds'!$A$9:$N$33,H$2,0)),0,VLOOKUP('Project Details by Yr - MASTER'!$B173,'Parking Lots &amp; Playgrounds'!$A$9:$N$33,H$2,0))+IF(ISNA(VLOOKUP($B173,Vehicles!$B$9:$O$50,H$2,0)),0,VLOOKUP($B173,Vehicles!$B$9:$O$50,H$2,0))</f>
        <v>40000</v>
      </c>
      <c r="I173" s="8">
        <f>IF(ISNA(VLOOKUP($B173,'Other Capital Needs'!$C$51:$P$95,I$2,0)),0,VLOOKUP($B173,'Other Capital Needs'!$C$51:$P$95,I$2,0))+IF(ISNA(VLOOKUP('Project Details by Yr - MASTER'!$B173,'Public Grounds'!$A$11:$N$49,I$2,0)),0,VLOOKUP('Project Details by Yr - MASTER'!$B173,'Public Grounds'!$A$11:$N$49,I$2,0))+IF(ISNA(VLOOKUP('Project Details by Yr - MASTER'!$B173,'Public Buildings'!$A$10:$N$96,I$2,0)),0,VLOOKUP('Project Details by Yr - MASTER'!$B173,'Public Buildings'!$A$10:$N$96,I$2,0))+IF(ISNA(VLOOKUP('Project Details by Yr - MASTER'!$B173,Bridges!$A$9:$N$24,I$2,0)),0,VLOOKUP('Project Details by Yr - MASTER'!$B173,Bridges!$A$9:$N$24,I$2,0))+IF(ISNA(VLOOKUP('Project Details by Yr - MASTER'!$B173,'Parking Lots &amp; Playgrounds'!$A$9:$N$33,I$2,0)),0,VLOOKUP('Project Details by Yr - MASTER'!$B173,'Parking Lots &amp; Playgrounds'!$A$9:$N$33,I$2,0))+IF(ISNA(VLOOKUP($B173,Vehicles!$B$9:$O$50,I$2,0)),0,VLOOKUP($B173,Vehicles!$B$9:$O$50,I$2,0))</f>
        <v>0</v>
      </c>
      <c r="J173" s="8">
        <f>IF(ISNA(VLOOKUP($B173,'Other Capital Needs'!$C$51:$P$95,J$2,0)),0,VLOOKUP($B173,'Other Capital Needs'!$C$51:$P$95,J$2,0))+IF(ISNA(VLOOKUP('Project Details by Yr - MASTER'!$B173,'Public Grounds'!$A$11:$N$49,J$2,0)),0,VLOOKUP('Project Details by Yr - MASTER'!$B173,'Public Grounds'!$A$11:$N$49,J$2,0))+IF(ISNA(VLOOKUP('Project Details by Yr - MASTER'!$B173,'Public Buildings'!$A$10:$N$96,J$2,0)),0,VLOOKUP('Project Details by Yr - MASTER'!$B173,'Public Buildings'!$A$10:$N$96,J$2,0))+IF(ISNA(VLOOKUP('Project Details by Yr - MASTER'!$B173,Bridges!$A$9:$N$24,J$2,0)),0,VLOOKUP('Project Details by Yr - MASTER'!$B173,Bridges!$A$9:$N$24,J$2,0))+IF(ISNA(VLOOKUP('Project Details by Yr - MASTER'!$B173,'Parking Lots &amp; Playgrounds'!$A$9:$N$33,J$2,0)),0,VLOOKUP('Project Details by Yr - MASTER'!$B173,'Parking Lots &amp; Playgrounds'!$A$9:$N$33,J$2,0))+IF(ISNA(VLOOKUP($B173,Vehicles!$B$9:$O$50,J$2,0)),0,VLOOKUP($B173,Vehicles!$B$9:$O$50,J$2,0))</f>
        <v>0</v>
      </c>
      <c r="K173" s="8">
        <f>IF(ISNA(VLOOKUP($B173,'Other Capital Needs'!$C$51:$P$95,K$2,0)),0,VLOOKUP($B173,'Other Capital Needs'!$C$51:$P$95,K$2,0))+IF(ISNA(VLOOKUP('Project Details by Yr - MASTER'!$B173,'Public Grounds'!$A$11:$N$49,K$2,0)),0,VLOOKUP('Project Details by Yr - MASTER'!$B173,'Public Grounds'!$A$11:$N$49,K$2,0))+IF(ISNA(VLOOKUP('Project Details by Yr - MASTER'!$B173,'Public Buildings'!$A$10:$N$96,K$2,0)),0,VLOOKUP('Project Details by Yr - MASTER'!$B173,'Public Buildings'!$A$10:$N$96,K$2,0))+IF(ISNA(VLOOKUP('Project Details by Yr - MASTER'!$B173,Bridges!$A$9:$N$24,K$2,0)),0,VLOOKUP('Project Details by Yr - MASTER'!$B173,Bridges!$A$9:$N$24,K$2,0))+IF(ISNA(VLOOKUP('Project Details by Yr - MASTER'!$B173,'Parking Lots &amp; Playgrounds'!$A$9:$N$33,K$2,0)),0,VLOOKUP('Project Details by Yr - MASTER'!$B173,'Parking Lots &amp; Playgrounds'!$A$9:$N$33,K$2,0))+IF(ISNA(VLOOKUP($B173,Vehicles!$B$9:$O$50,K$2,0)),0,VLOOKUP($B173,Vehicles!$B$9:$O$50,K$2,0))</f>
        <v>0</v>
      </c>
    </row>
    <row r="174" spans="2:11" x14ac:dyDescent="0.25">
      <c r="B174" t="s">
        <v>132</v>
      </c>
      <c r="C174" t="s">
        <v>49</v>
      </c>
      <c r="D174" t="s">
        <v>271</v>
      </c>
      <c r="E174" s="1" t="s">
        <v>16</v>
      </c>
      <c r="G174" s="8">
        <f>IF(ISNA(VLOOKUP($B174,'Other Capital Needs'!$C$51:$P$95,G$2,0)),0,VLOOKUP($B174,'Other Capital Needs'!$C$51:$P$95,G$2,0))+IF(ISNA(VLOOKUP('Project Details by Yr - MASTER'!$B174,'Public Grounds'!$A$11:$N$49,G$2,0)),0,VLOOKUP('Project Details by Yr - MASTER'!$B174,'Public Grounds'!$A$11:$N$49,G$2,0))+IF(ISNA(VLOOKUP('Project Details by Yr - MASTER'!$B174,'Public Buildings'!$A$10:$N$96,G$2,0)),0,VLOOKUP('Project Details by Yr - MASTER'!$B174,'Public Buildings'!$A$10:$N$96,G$2,0))+IF(ISNA(VLOOKUP('Project Details by Yr - MASTER'!$B174,Bridges!$A$9:$N$24,G$2,0)),0,VLOOKUP('Project Details by Yr - MASTER'!$B174,Bridges!$A$9:$N$24,G$2,0))+IF(ISNA(VLOOKUP('Project Details by Yr - MASTER'!$B174,'Parking Lots &amp; Playgrounds'!$A$9:$N$33,G$2,0)),0,VLOOKUP('Project Details by Yr - MASTER'!$B174,'Parking Lots &amp; Playgrounds'!$A$9:$N$33,G$2,0))+IF(ISNA(VLOOKUP($B174,Vehicles!$B$9:$O$50,G$2,0)),0,VLOOKUP($B174,Vehicles!$B$9:$O$50,G$2,0))</f>
        <v>7500</v>
      </c>
      <c r="H174" s="8">
        <f>IF(ISNA(VLOOKUP($B174,'Other Capital Needs'!$C$51:$P$95,H$2,0)),0,VLOOKUP($B174,'Other Capital Needs'!$C$51:$P$95,H$2,0))+IF(ISNA(VLOOKUP('Project Details by Yr - MASTER'!$B174,'Public Grounds'!$A$11:$N$49,H$2,0)),0,VLOOKUP('Project Details by Yr - MASTER'!$B174,'Public Grounds'!$A$11:$N$49,H$2,0))+IF(ISNA(VLOOKUP('Project Details by Yr - MASTER'!$B174,'Public Buildings'!$A$10:$N$96,H$2,0)),0,VLOOKUP('Project Details by Yr - MASTER'!$B174,'Public Buildings'!$A$10:$N$96,H$2,0))+IF(ISNA(VLOOKUP('Project Details by Yr - MASTER'!$B174,Bridges!$A$9:$N$24,H$2,0)),0,VLOOKUP('Project Details by Yr - MASTER'!$B174,Bridges!$A$9:$N$24,H$2,0))+IF(ISNA(VLOOKUP('Project Details by Yr - MASTER'!$B174,'Parking Lots &amp; Playgrounds'!$A$9:$N$33,H$2,0)),0,VLOOKUP('Project Details by Yr - MASTER'!$B174,'Parking Lots &amp; Playgrounds'!$A$9:$N$33,H$2,0))+IF(ISNA(VLOOKUP($B174,Vehicles!$B$9:$O$50,H$2,0)),0,VLOOKUP($B174,Vehicles!$B$9:$O$50,H$2,0))</f>
        <v>7500</v>
      </c>
      <c r="I174" s="8">
        <f>IF(ISNA(VLOOKUP($B174,'Other Capital Needs'!$C$51:$P$95,I$2,0)),0,VLOOKUP($B174,'Other Capital Needs'!$C$51:$P$95,I$2,0))+IF(ISNA(VLOOKUP('Project Details by Yr - MASTER'!$B174,'Public Grounds'!$A$11:$N$49,I$2,0)),0,VLOOKUP('Project Details by Yr - MASTER'!$B174,'Public Grounds'!$A$11:$N$49,I$2,0))+IF(ISNA(VLOOKUP('Project Details by Yr - MASTER'!$B174,'Public Buildings'!$A$10:$N$96,I$2,0)),0,VLOOKUP('Project Details by Yr - MASTER'!$B174,'Public Buildings'!$A$10:$N$96,I$2,0))+IF(ISNA(VLOOKUP('Project Details by Yr - MASTER'!$B174,Bridges!$A$9:$N$24,I$2,0)),0,VLOOKUP('Project Details by Yr - MASTER'!$B174,Bridges!$A$9:$N$24,I$2,0))+IF(ISNA(VLOOKUP('Project Details by Yr - MASTER'!$B174,'Parking Lots &amp; Playgrounds'!$A$9:$N$33,I$2,0)),0,VLOOKUP('Project Details by Yr - MASTER'!$B174,'Parking Lots &amp; Playgrounds'!$A$9:$N$33,I$2,0))+IF(ISNA(VLOOKUP($B174,Vehicles!$B$9:$O$50,I$2,0)),0,VLOOKUP($B174,Vehicles!$B$9:$O$50,I$2,0))</f>
        <v>7500</v>
      </c>
      <c r="J174" s="8">
        <f>IF(ISNA(VLOOKUP($B174,'Other Capital Needs'!$C$51:$P$95,J$2,0)),0,VLOOKUP($B174,'Other Capital Needs'!$C$51:$P$95,J$2,0))+IF(ISNA(VLOOKUP('Project Details by Yr - MASTER'!$B174,'Public Grounds'!$A$11:$N$49,J$2,0)),0,VLOOKUP('Project Details by Yr - MASTER'!$B174,'Public Grounds'!$A$11:$N$49,J$2,0))+IF(ISNA(VLOOKUP('Project Details by Yr - MASTER'!$B174,'Public Buildings'!$A$10:$N$96,J$2,0)),0,VLOOKUP('Project Details by Yr - MASTER'!$B174,'Public Buildings'!$A$10:$N$96,J$2,0))+IF(ISNA(VLOOKUP('Project Details by Yr - MASTER'!$B174,Bridges!$A$9:$N$24,J$2,0)),0,VLOOKUP('Project Details by Yr - MASTER'!$B174,Bridges!$A$9:$N$24,J$2,0))+IF(ISNA(VLOOKUP('Project Details by Yr - MASTER'!$B174,'Parking Lots &amp; Playgrounds'!$A$9:$N$33,J$2,0)),0,VLOOKUP('Project Details by Yr - MASTER'!$B174,'Parking Lots &amp; Playgrounds'!$A$9:$N$33,J$2,0))+IF(ISNA(VLOOKUP($B174,Vehicles!$B$9:$O$50,J$2,0)),0,VLOOKUP($B174,Vehicles!$B$9:$O$50,J$2,0))</f>
        <v>7500</v>
      </c>
      <c r="K174" s="8">
        <f>IF(ISNA(VLOOKUP($B174,'Other Capital Needs'!$C$51:$P$95,K$2,0)),0,VLOOKUP($B174,'Other Capital Needs'!$C$51:$P$95,K$2,0))+IF(ISNA(VLOOKUP('Project Details by Yr - MASTER'!$B174,'Public Grounds'!$A$11:$N$49,K$2,0)),0,VLOOKUP('Project Details by Yr - MASTER'!$B174,'Public Grounds'!$A$11:$N$49,K$2,0))+IF(ISNA(VLOOKUP('Project Details by Yr - MASTER'!$B174,'Public Buildings'!$A$10:$N$96,K$2,0)),0,VLOOKUP('Project Details by Yr - MASTER'!$B174,'Public Buildings'!$A$10:$N$96,K$2,0))+IF(ISNA(VLOOKUP('Project Details by Yr - MASTER'!$B174,Bridges!$A$9:$N$24,K$2,0)),0,VLOOKUP('Project Details by Yr - MASTER'!$B174,Bridges!$A$9:$N$24,K$2,0))+IF(ISNA(VLOOKUP('Project Details by Yr - MASTER'!$B174,'Parking Lots &amp; Playgrounds'!$A$9:$N$33,K$2,0)),0,VLOOKUP('Project Details by Yr - MASTER'!$B174,'Parking Lots &amp; Playgrounds'!$A$9:$N$33,K$2,0))+IF(ISNA(VLOOKUP($B174,Vehicles!$B$9:$O$50,K$2,0)),0,VLOOKUP($B174,Vehicles!$B$9:$O$50,K$2,0))</f>
        <v>5000</v>
      </c>
    </row>
    <row r="175" spans="2:11" x14ac:dyDescent="0.25">
      <c r="B175" t="s">
        <v>133</v>
      </c>
      <c r="C175" t="s">
        <v>49</v>
      </c>
      <c r="D175" t="s">
        <v>271</v>
      </c>
      <c r="E175" s="1" t="s">
        <v>16</v>
      </c>
      <c r="G175" s="8">
        <f>IF(ISNA(VLOOKUP($B175,'Other Capital Needs'!$C$51:$P$95,G$2,0)),0,VLOOKUP($B175,'Other Capital Needs'!$C$51:$P$95,G$2,0))+IF(ISNA(VLOOKUP('Project Details by Yr - MASTER'!$B175,'Public Grounds'!$A$11:$N$49,G$2,0)),0,VLOOKUP('Project Details by Yr - MASTER'!$B175,'Public Grounds'!$A$11:$N$49,G$2,0))+IF(ISNA(VLOOKUP('Project Details by Yr - MASTER'!$B175,'Public Buildings'!$A$10:$N$96,G$2,0)),0,VLOOKUP('Project Details by Yr - MASTER'!$B175,'Public Buildings'!$A$10:$N$96,G$2,0))+IF(ISNA(VLOOKUP('Project Details by Yr - MASTER'!$B175,Bridges!$A$9:$N$24,G$2,0)),0,VLOOKUP('Project Details by Yr - MASTER'!$B175,Bridges!$A$9:$N$24,G$2,0))+IF(ISNA(VLOOKUP('Project Details by Yr - MASTER'!$B175,'Parking Lots &amp; Playgrounds'!$A$9:$N$33,G$2,0)),0,VLOOKUP('Project Details by Yr - MASTER'!$B175,'Parking Lots &amp; Playgrounds'!$A$9:$N$33,G$2,0))+IF(ISNA(VLOOKUP($B175,Vehicles!$B$9:$O$50,G$2,0)),0,VLOOKUP($B175,Vehicles!$B$9:$O$50,G$2,0))</f>
        <v>0</v>
      </c>
      <c r="H175" s="8">
        <f>IF(ISNA(VLOOKUP($B175,'Other Capital Needs'!$C$51:$P$95,H$2,0)),0,VLOOKUP($B175,'Other Capital Needs'!$C$51:$P$95,H$2,0))+IF(ISNA(VLOOKUP('Project Details by Yr - MASTER'!$B175,'Public Grounds'!$A$11:$N$49,H$2,0)),0,VLOOKUP('Project Details by Yr - MASTER'!$B175,'Public Grounds'!$A$11:$N$49,H$2,0))+IF(ISNA(VLOOKUP('Project Details by Yr - MASTER'!$B175,'Public Buildings'!$A$10:$N$96,H$2,0)),0,VLOOKUP('Project Details by Yr - MASTER'!$B175,'Public Buildings'!$A$10:$N$96,H$2,0))+IF(ISNA(VLOOKUP('Project Details by Yr - MASTER'!$B175,Bridges!$A$9:$N$24,H$2,0)),0,VLOOKUP('Project Details by Yr - MASTER'!$B175,Bridges!$A$9:$N$24,H$2,0))+IF(ISNA(VLOOKUP('Project Details by Yr - MASTER'!$B175,'Parking Lots &amp; Playgrounds'!$A$9:$N$33,H$2,0)),0,VLOOKUP('Project Details by Yr - MASTER'!$B175,'Parking Lots &amp; Playgrounds'!$A$9:$N$33,H$2,0))+IF(ISNA(VLOOKUP($B175,Vehicles!$B$9:$O$50,H$2,0)),0,VLOOKUP($B175,Vehicles!$B$9:$O$50,H$2,0))</f>
        <v>0</v>
      </c>
      <c r="I175" s="8">
        <f>IF(ISNA(VLOOKUP($B175,'Other Capital Needs'!$C$51:$P$95,I$2,0)),0,VLOOKUP($B175,'Other Capital Needs'!$C$51:$P$95,I$2,0))+IF(ISNA(VLOOKUP('Project Details by Yr - MASTER'!$B175,'Public Grounds'!$A$11:$N$49,I$2,0)),0,VLOOKUP('Project Details by Yr - MASTER'!$B175,'Public Grounds'!$A$11:$N$49,I$2,0))+IF(ISNA(VLOOKUP('Project Details by Yr - MASTER'!$B175,'Public Buildings'!$A$10:$N$96,I$2,0)),0,VLOOKUP('Project Details by Yr - MASTER'!$B175,'Public Buildings'!$A$10:$N$96,I$2,0))+IF(ISNA(VLOOKUP('Project Details by Yr - MASTER'!$B175,Bridges!$A$9:$N$24,I$2,0)),0,VLOOKUP('Project Details by Yr - MASTER'!$B175,Bridges!$A$9:$N$24,I$2,0))+IF(ISNA(VLOOKUP('Project Details by Yr - MASTER'!$B175,'Parking Lots &amp; Playgrounds'!$A$9:$N$33,I$2,0)),0,VLOOKUP('Project Details by Yr - MASTER'!$B175,'Parking Lots &amp; Playgrounds'!$A$9:$N$33,I$2,0))+IF(ISNA(VLOOKUP($B175,Vehicles!$B$9:$O$50,I$2,0)),0,VLOOKUP($B175,Vehicles!$B$9:$O$50,I$2,0))</f>
        <v>85000</v>
      </c>
      <c r="J175" s="8">
        <f>IF(ISNA(VLOOKUP($B175,'Other Capital Needs'!$C$51:$P$95,J$2,0)),0,VLOOKUP($B175,'Other Capital Needs'!$C$51:$P$95,J$2,0))+IF(ISNA(VLOOKUP('Project Details by Yr - MASTER'!$B175,'Public Grounds'!$A$11:$N$49,J$2,0)),0,VLOOKUP('Project Details by Yr - MASTER'!$B175,'Public Grounds'!$A$11:$N$49,J$2,0))+IF(ISNA(VLOOKUP('Project Details by Yr - MASTER'!$B175,'Public Buildings'!$A$10:$N$96,J$2,0)),0,VLOOKUP('Project Details by Yr - MASTER'!$B175,'Public Buildings'!$A$10:$N$96,J$2,0))+IF(ISNA(VLOOKUP('Project Details by Yr - MASTER'!$B175,Bridges!$A$9:$N$24,J$2,0)),0,VLOOKUP('Project Details by Yr - MASTER'!$B175,Bridges!$A$9:$N$24,J$2,0))+IF(ISNA(VLOOKUP('Project Details by Yr - MASTER'!$B175,'Parking Lots &amp; Playgrounds'!$A$9:$N$33,J$2,0)),0,VLOOKUP('Project Details by Yr - MASTER'!$B175,'Parking Lots &amp; Playgrounds'!$A$9:$N$33,J$2,0))+IF(ISNA(VLOOKUP($B175,Vehicles!$B$9:$O$50,J$2,0)),0,VLOOKUP($B175,Vehicles!$B$9:$O$50,J$2,0))</f>
        <v>0</v>
      </c>
      <c r="K175" s="8">
        <f>IF(ISNA(VLOOKUP($B175,'Other Capital Needs'!$C$51:$P$95,K$2,0)),0,VLOOKUP($B175,'Other Capital Needs'!$C$51:$P$95,K$2,0))+IF(ISNA(VLOOKUP('Project Details by Yr - MASTER'!$B175,'Public Grounds'!$A$11:$N$49,K$2,0)),0,VLOOKUP('Project Details by Yr - MASTER'!$B175,'Public Grounds'!$A$11:$N$49,K$2,0))+IF(ISNA(VLOOKUP('Project Details by Yr - MASTER'!$B175,'Public Buildings'!$A$10:$N$96,K$2,0)),0,VLOOKUP('Project Details by Yr - MASTER'!$B175,'Public Buildings'!$A$10:$N$96,K$2,0))+IF(ISNA(VLOOKUP('Project Details by Yr - MASTER'!$B175,Bridges!$A$9:$N$24,K$2,0)),0,VLOOKUP('Project Details by Yr - MASTER'!$B175,Bridges!$A$9:$N$24,K$2,0))+IF(ISNA(VLOOKUP('Project Details by Yr - MASTER'!$B175,'Parking Lots &amp; Playgrounds'!$A$9:$N$33,K$2,0)),0,VLOOKUP('Project Details by Yr - MASTER'!$B175,'Parking Lots &amp; Playgrounds'!$A$9:$N$33,K$2,0))+IF(ISNA(VLOOKUP($B175,Vehicles!$B$9:$O$50,K$2,0)),0,VLOOKUP($B175,Vehicles!$B$9:$O$50,K$2,0))</f>
        <v>45000</v>
      </c>
    </row>
    <row r="176" spans="2:11" x14ac:dyDescent="0.25">
      <c r="B176" t="s">
        <v>134</v>
      </c>
      <c r="C176" t="s">
        <v>49</v>
      </c>
      <c r="D176" t="s">
        <v>271</v>
      </c>
      <c r="E176" s="1" t="s">
        <v>16</v>
      </c>
      <c r="G176" s="8">
        <f>IF(ISNA(VLOOKUP($B176,'Other Capital Needs'!$C$51:$P$95,G$2,0)),0,VLOOKUP($B176,'Other Capital Needs'!$C$51:$P$95,G$2,0))+IF(ISNA(VLOOKUP('Project Details by Yr - MASTER'!$B176,'Public Grounds'!$A$11:$N$49,G$2,0)),0,VLOOKUP('Project Details by Yr - MASTER'!$B176,'Public Grounds'!$A$11:$N$49,G$2,0))+IF(ISNA(VLOOKUP('Project Details by Yr - MASTER'!$B176,'Public Buildings'!$A$10:$N$96,G$2,0)),0,VLOOKUP('Project Details by Yr - MASTER'!$B176,'Public Buildings'!$A$10:$N$96,G$2,0))+IF(ISNA(VLOOKUP('Project Details by Yr - MASTER'!$B176,Bridges!$A$9:$N$24,G$2,0)),0,VLOOKUP('Project Details by Yr - MASTER'!$B176,Bridges!$A$9:$N$24,G$2,0))+IF(ISNA(VLOOKUP('Project Details by Yr - MASTER'!$B176,'Parking Lots &amp; Playgrounds'!$A$9:$N$33,G$2,0)),0,VLOOKUP('Project Details by Yr - MASTER'!$B176,'Parking Lots &amp; Playgrounds'!$A$9:$N$33,G$2,0))+IF(ISNA(VLOOKUP($B176,Vehicles!$B$9:$O$50,G$2,0)),0,VLOOKUP($B176,Vehicles!$B$9:$O$50,G$2,0))</f>
        <v>0</v>
      </c>
      <c r="H176" s="8">
        <f>IF(ISNA(VLOOKUP($B176,'Other Capital Needs'!$C$51:$P$95,H$2,0)),0,VLOOKUP($B176,'Other Capital Needs'!$C$51:$P$95,H$2,0))+IF(ISNA(VLOOKUP('Project Details by Yr - MASTER'!$B176,'Public Grounds'!$A$11:$N$49,H$2,0)),0,VLOOKUP('Project Details by Yr - MASTER'!$B176,'Public Grounds'!$A$11:$N$49,H$2,0))+IF(ISNA(VLOOKUP('Project Details by Yr - MASTER'!$B176,'Public Buildings'!$A$10:$N$96,H$2,0)),0,VLOOKUP('Project Details by Yr - MASTER'!$B176,'Public Buildings'!$A$10:$N$96,H$2,0))+IF(ISNA(VLOOKUP('Project Details by Yr - MASTER'!$B176,Bridges!$A$9:$N$24,H$2,0)),0,VLOOKUP('Project Details by Yr - MASTER'!$B176,Bridges!$A$9:$N$24,H$2,0))+IF(ISNA(VLOOKUP('Project Details by Yr - MASTER'!$B176,'Parking Lots &amp; Playgrounds'!$A$9:$N$33,H$2,0)),0,VLOOKUP('Project Details by Yr - MASTER'!$B176,'Parking Lots &amp; Playgrounds'!$A$9:$N$33,H$2,0))+IF(ISNA(VLOOKUP($B176,Vehicles!$B$9:$O$50,H$2,0)),0,VLOOKUP($B176,Vehicles!$B$9:$O$50,H$2,0))</f>
        <v>0</v>
      </c>
      <c r="I176" s="8">
        <f>IF(ISNA(VLOOKUP($B176,'Other Capital Needs'!$C$51:$P$95,I$2,0)),0,VLOOKUP($B176,'Other Capital Needs'!$C$51:$P$95,I$2,0))+IF(ISNA(VLOOKUP('Project Details by Yr - MASTER'!$B176,'Public Grounds'!$A$11:$N$49,I$2,0)),0,VLOOKUP('Project Details by Yr - MASTER'!$B176,'Public Grounds'!$A$11:$N$49,I$2,0))+IF(ISNA(VLOOKUP('Project Details by Yr - MASTER'!$B176,'Public Buildings'!$A$10:$N$96,I$2,0)),0,VLOOKUP('Project Details by Yr - MASTER'!$B176,'Public Buildings'!$A$10:$N$96,I$2,0))+IF(ISNA(VLOOKUP('Project Details by Yr - MASTER'!$B176,Bridges!$A$9:$N$24,I$2,0)),0,VLOOKUP('Project Details by Yr - MASTER'!$B176,Bridges!$A$9:$N$24,I$2,0))+IF(ISNA(VLOOKUP('Project Details by Yr - MASTER'!$B176,'Parking Lots &amp; Playgrounds'!$A$9:$N$33,I$2,0)),0,VLOOKUP('Project Details by Yr - MASTER'!$B176,'Parking Lots &amp; Playgrounds'!$A$9:$N$33,I$2,0))+IF(ISNA(VLOOKUP($B176,Vehicles!$B$9:$O$50,I$2,0)),0,VLOOKUP($B176,Vehicles!$B$9:$O$50,I$2,0))</f>
        <v>19869</v>
      </c>
      <c r="J176" s="8">
        <f>IF(ISNA(VLOOKUP($B176,'Other Capital Needs'!$C$51:$P$95,J$2,0)),0,VLOOKUP($B176,'Other Capital Needs'!$C$51:$P$95,J$2,0))+IF(ISNA(VLOOKUP('Project Details by Yr - MASTER'!$B176,'Public Grounds'!$A$11:$N$49,J$2,0)),0,VLOOKUP('Project Details by Yr - MASTER'!$B176,'Public Grounds'!$A$11:$N$49,J$2,0))+IF(ISNA(VLOOKUP('Project Details by Yr - MASTER'!$B176,'Public Buildings'!$A$10:$N$96,J$2,0)),0,VLOOKUP('Project Details by Yr - MASTER'!$B176,'Public Buildings'!$A$10:$N$96,J$2,0))+IF(ISNA(VLOOKUP('Project Details by Yr - MASTER'!$B176,Bridges!$A$9:$N$24,J$2,0)),0,VLOOKUP('Project Details by Yr - MASTER'!$B176,Bridges!$A$9:$N$24,J$2,0))+IF(ISNA(VLOOKUP('Project Details by Yr - MASTER'!$B176,'Parking Lots &amp; Playgrounds'!$A$9:$N$33,J$2,0)),0,VLOOKUP('Project Details by Yr - MASTER'!$B176,'Parking Lots &amp; Playgrounds'!$A$9:$N$33,J$2,0))+IF(ISNA(VLOOKUP($B176,Vehicles!$B$9:$O$50,J$2,0)),0,VLOOKUP($B176,Vehicles!$B$9:$O$50,J$2,0))</f>
        <v>0</v>
      </c>
      <c r="K176" s="8">
        <f>IF(ISNA(VLOOKUP($B176,'Other Capital Needs'!$C$51:$P$95,K$2,0)),0,VLOOKUP($B176,'Other Capital Needs'!$C$51:$P$95,K$2,0))+IF(ISNA(VLOOKUP('Project Details by Yr - MASTER'!$B176,'Public Grounds'!$A$11:$N$49,K$2,0)),0,VLOOKUP('Project Details by Yr - MASTER'!$B176,'Public Grounds'!$A$11:$N$49,K$2,0))+IF(ISNA(VLOOKUP('Project Details by Yr - MASTER'!$B176,'Public Buildings'!$A$10:$N$96,K$2,0)),0,VLOOKUP('Project Details by Yr - MASTER'!$B176,'Public Buildings'!$A$10:$N$96,K$2,0))+IF(ISNA(VLOOKUP('Project Details by Yr - MASTER'!$B176,Bridges!$A$9:$N$24,K$2,0)),0,VLOOKUP('Project Details by Yr - MASTER'!$B176,Bridges!$A$9:$N$24,K$2,0))+IF(ISNA(VLOOKUP('Project Details by Yr - MASTER'!$B176,'Parking Lots &amp; Playgrounds'!$A$9:$N$33,K$2,0)),0,VLOOKUP('Project Details by Yr - MASTER'!$B176,'Parking Lots &amp; Playgrounds'!$A$9:$N$33,K$2,0))+IF(ISNA(VLOOKUP($B176,Vehicles!$B$9:$O$50,K$2,0)),0,VLOOKUP($B176,Vehicles!$B$9:$O$50,K$2,0))</f>
        <v>20271</v>
      </c>
    </row>
    <row r="177" spans="2:11" x14ac:dyDescent="0.25">
      <c r="B177" t="s">
        <v>135</v>
      </c>
      <c r="C177" t="s">
        <v>49</v>
      </c>
      <c r="D177" t="s">
        <v>271</v>
      </c>
      <c r="E177" s="1" t="s">
        <v>16</v>
      </c>
      <c r="G177" s="8">
        <f>IF(ISNA(VLOOKUP($B177,'Other Capital Needs'!$C$51:$P$95,G$2,0)),0,VLOOKUP($B177,'Other Capital Needs'!$C$51:$P$95,G$2,0))+IF(ISNA(VLOOKUP('Project Details by Yr - MASTER'!$B177,'Public Grounds'!$A$11:$N$49,G$2,0)),0,VLOOKUP('Project Details by Yr - MASTER'!$B177,'Public Grounds'!$A$11:$N$49,G$2,0))+IF(ISNA(VLOOKUP('Project Details by Yr - MASTER'!$B177,'Public Buildings'!$A$10:$N$96,G$2,0)),0,VLOOKUP('Project Details by Yr - MASTER'!$B177,'Public Buildings'!$A$10:$N$96,G$2,0))+IF(ISNA(VLOOKUP('Project Details by Yr - MASTER'!$B177,Bridges!$A$9:$N$24,G$2,0)),0,VLOOKUP('Project Details by Yr - MASTER'!$B177,Bridges!$A$9:$N$24,G$2,0))+IF(ISNA(VLOOKUP('Project Details by Yr - MASTER'!$B177,'Parking Lots &amp; Playgrounds'!$A$9:$N$33,G$2,0)),0,VLOOKUP('Project Details by Yr - MASTER'!$B177,'Parking Lots &amp; Playgrounds'!$A$9:$N$33,G$2,0))+IF(ISNA(VLOOKUP($B177,Vehicles!$B$9:$O$50,G$2,0)),0,VLOOKUP($B177,Vehicles!$B$9:$O$50,G$2,0))</f>
        <v>0</v>
      </c>
      <c r="H177" s="8">
        <f>IF(ISNA(VLOOKUP($B177,'Other Capital Needs'!$C$51:$P$95,H$2,0)),0,VLOOKUP($B177,'Other Capital Needs'!$C$51:$P$95,H$2,0))+IF(ISNA(VLOOKUP('Project Details by Yr - MASTER'!$B177,'Public Grounds'!$A$11:$N$49,H$2,0)),0,VLOOKUP('Project Details by Yr - MASTER'!$B177,'Public Grounds'!$A$11:$N$49,H$2,0))+IF(ISNA(VLOOKUP('Project Details by Yr - MASTER'!$B177,'Public Buildings'!$A$10:$N$96,H$2,0)),0,VLOOKUP('Project Details by Yr - MASTER'!$B177,'Public Buildings'!$A$10:$N$96,H$2,0))+IF(ISNA(VLOOKUP('Project Details by Yr - MASTER'!$B177,Bridges!$A$9:$N$24,H$2,0)),0,VLOOKUP('Project Details by Yr - MASTER'!$B177,Bridges!$A$9:$N$24,H$2,0))+IF(ISNA(VLOOKUP('Project Details by Yr - MASTER'!$B177,'Parking Lots &amp; Playgrounds'!$A$9:$N$33,H$2,0)),0,VLOOKUP('Project Details by Yr - MASTER'!$B177,'Parking Lots &amp; Playgrounds'!$A$9:$N$33,H$2,0))+IF(ISNA(VLOOKUP($B177,Vehicles!$B$9:$O$50,H$2,0)),0,VLOOKUP($B177,Vehicles!$B$9:$O$50,H$2,0))</f>
        <v>0</v>
      </c>
      <c r="I177" s="8">
        <f>IF(ISNA(VLOOKUP($B177,'Other Capital Needs'!$C$51:$P$95,I$2,0)),0,VLOOKUP($B177,'Other Capital Needs'!$C$51:$P$95,I$2,0))+IF(ISNA(VLOOKUP('Project Details by Yr - MASTER'!$B177,'Public Grounds'!$A$11:$N$49,I$2,0)),0,VLOOKUP('Project Details by Yr - MASTER'!$B177,'Public Grounds'!$A$11:$N$49,I$2,0))+IF(ISNA(VLOOKUP('Project Details by Yr - MASTER'!$B177,'Public Buildings'!$A$10:$N$96,I$2,0)),0,VLOOKUP('Project Details by Yr - MASTER'!$B177,'Public Buildings'!$A$10:$N$96,I$2,0))+IF(ISNA(VLOOKUP('Project Details by Yr - MASTER'!$B177,Bridges!$A$9:$N$24,I$2,0)),0,VLOOKUP('Project Details by Yr - MASTER'!$B177,Bridges!$A$9:$N$24,I$2,0))+IF(ISNA(VLOOKUP('Project Details by Yr - MASTER'!$B177,'Parking Lots &amp; Playgrounds'!$A$9:$N$33,I$2,0)),0,VLOOKUP('Project Details by Yr - MASTER'!$B177,'Parking Lots &amp; Playgrounds'!$A$9:$N$33,I$2,0))+IF(ISNA(VLOOKUP($B177,Vehicles!$B$9:$O$50,I$2,0)),0,VLOOKUP($B177,Vehicles!$B$9:$O$50,I$2,0))</f>
        <v>0</v>
      </c>
      <c r="J177" s="8">
        <f>IF(ISNA(VLOOKUP($B177,'Other Capital Needs'!$C$51:$P$95,J$2,0)),0,VLOOKUP($B177,'Other Capital Needs'!$C$51:$P$95,J$2,0))+IF(ISNA(VLOOKUP('Project Details by Yr - MASTER'!$B177,'Public Grounds'!$A$11:$N$49,J$2,0)),0,VLOOKUP('Project Details by Yr - MASTER'!$B177,'Public Grounds'!$A$11:$N$49,J$2,0))+IF(ISNA(VLOOKUP('Project Details by Yr - MASTER'!$B177,'Public Buildings'!$A$10:$N$96,J$2,0)),0,VLOOKUP('Project Details by Yr - MASTER'!$B177,'Public Buildings'!$A$10:$N$96,J$2,0))+IF(ISNA(VLOOKUP('Project Details by Yr - MASTER'!$B177,Bridges!$A$9:$N$24,J$2,0)),0,VLOOKUP('Project Details by Yr - MASTER'!$B177,Bridges!$A$9:$N$24,J$2,0))+IF(ISNA(VLOOKUP('Project Details by Yr - MASTER'!$B177,'Parking Lots &amp; Playgrounds'!$A$9:$N$33,J$2,0)),0,VLOOKUP('Project Details by Yr - MASTER'!$B177,'Parking Lots &amp; Playgrounds'!$A$9:$N$33,J$2,0))+IF(ISNA(VLOOKUP($B177,Vehicles!$B$9:$O$50,J$2,0)),0,VLOOKUP($B177,Vehicles!$B$9:$O$50,J$2,0))</f>
        <v>0</v>
      </c>
      <c r="K177" s="8">
        <f>IF(ISNA(VLOOKUP($B177,'Other Capital Needs'!$C$51:$P$95,K$2,0)),0,VLOOKUP($B177,'Other Capital Needs'!$C$51:$P$95,K$2,0))+IF(ISNA(VLOOKUP('Project Details by Yr - MASTER'!$B177,'Public Grounds'!$A$11:$N$49,K$2,0)),0,VLOOKUP('Project Details by Yr - MASTER'!$B177,'Public Grounds'!$A$11:$N$49,K$2,0))+IF(ISNA(VLOOKUP('Project Details by Yr - MASTER'!$B177,'Public Buildings'!$A$10:$N$96,K$2,0)),0,VLOOKUP('Project Details by Yr - MASTER'!$B177,'Public Buildings'!$A$10:$N$96,K$2,0))+IF(ISNA(VLOOKUP('Project Details by Yr - MASTER'!$B177,Bridges!$A$9:$N$24,K$2,0)),0,VLOOKUP('Project Details by Yr - MASTER'!$B177,Bridges!$A$9:$N$24,K$2,0))+IF(ISNA(VLOOKUP('Project Details by Yr - MASTER'!$B177,'Parking Lots &amp; Playgrounds'!$A$9:$N$33,K$2,0)),0,VLOOKUP('Project Details by Yr - MASTER'!$B177,'Parking Lots &amp; Playgrounds'!$A$9:$N$33,K$2,0))+IF(ISNA(VLOOKUP($B177,Vehicles!$B$9:$O$50,K$2,0)),0,VLOOKUP($B177,Vehicles!$B$9:$O$50,K$2,0))</f>
        <v>0</v>
      </c>
    </row>
    <row r="178" spans="2:11" x14ac:dyDescent="0.25">
      <c r="B178" t="s">
        <v>136</v>
      </c>
      <c r="C178" t="s">
        <v>49</v>
      </c>
      <c r="D178" t="s">
        <v>271</v>
      </c>
      <c r="E178" s="1" t="s">
        <v>16</v>
      </c>
      <c r="G178" s="8">
        <f>IF(ISNA(VLOOKUP($B178,'Other Capital Needs'!$C$51:$P$95,G$2,0)),0,VLOOKUP($B178,'Other Capital Needs'!$C$51:$P$95,G$2,0))+IF(ISNA(VLOOKUP('Project Details by Yr - MASTER'!$B178,'Public Grounds'!$A$11:$N$49,G$2,0)),0,VLOOKUP('Project Details by Yr - MASTER'!$B178,'Public Grounds'!$A$11:$N$49,G$2,0))+IF(ISNA(VLOOKUP('Project Details by Yr - MASTER'!$B178,'Public Buildings'!$A$10:$N$96,G$2,0)),0,VLOOKUP('Project Details by Yr - MASTER'!$B178,'Public Buildings'!$A$10:$N$96,G$2,0))+IF(ISNA(VLOOKUP('Project Details by Yr - MASTER'!$B178,Bridges!$A$9:$N$24,G$2,0)),0,VLOOKUP('Project Details by Yr - MASTER'!$B178,Bridges!$A$9:$N$24,G$2,0))+IF(ISNA(VLOOKUP('Project Details by Yr - MASTER'!$B178,'Parking Lots &amp; Playgrounds'!$A$9:$N$33,G$2,0)),0,VLOOKUP('Project Details by Yr - MASTER'!$B178,'Parking Lots &amp; Playgrounds'!$A$9:$N$33,G$2,0))+IF(ISNA(VLOOKUP($B178,Vehicles!$B$9:$O$50,G$2,0)),0,VLOOKUP($B178,Vehicles!$B$9:$O$50,G$2,0))</f>
        <v>0</v>
      </c>
      <c r="H178" s="8">
        <f>IF(ISNA(VLOOKUP($B178,'Other Capital Needs'!$C$51:$P$95,H$2,0)),0,VLOOKUP($B178,'Other Capital Needs'!$C$51:$P$95,H$2,0))+IF(ISNA(VLOOKUP('Project Details by Yr - MASTER'!$B178,'Public Grounds'!$A$11:$N$49,H$2,0)),0,VLOOKUP('Project Details by Yr - MASTER'!$B178,'Public Grounds'!$A$11:$N$49,H$2,0))+IF(ISNA(VLOOKUP('Project Details by Yr - MASTER'!$B178,'Public Buildings'!$A$10:$N$96,H$2,0)),0,VLOOKUP('Project Details by Yr - MASTER'!$B178,'Public Buildings'!$A$10:$N$96,H$2,0))+IF(ISNA(VLOOKUP('Project Details by Yr - MASTER'!$B178,Bridges!$A$9:$N$24,H$2,0)),0,VLOOKUP('Project Details by Yr - MASTER'!$B178,Bridges!$A$9:$N$24,H$2,0))+IF(ISNA(VLOOKUP('Project Details by Yr - MASTER'!$B178,'Parking Lots &amp; Playgrounds'!$A$9:$N$33,H$2,0)),0,VLOOKUP('Project Details by Yr - MASTER'!$B178,'Parking Lots &amp; Playgrounds'!$A$9:$N$33,H$2,0))+IF(ISNA(VLOOKUP($B178,Vehicles!$B$9:$O$50,H$2,0)),0,VLOOKUP($B178,Vehicles!$B$9:$O$50,H$2,0))</f>
        <v>25000</v>
      </c>
      <c r="I178" s="8">
        <f>IF(ISNA(VLOOKUP($B178,'Other Capital Needs'!$C$51:$P$95,I$2,0)),0,VLOOKUP($B178,'Other Capital Needs'!$C$51:$P$95,I$2,0))+IF(ISNA(VLOOKUP('Project Details by Yr - MASTER'!$B178,'Public Grounds'!$A$11:$N$49,I$2,0)),0,VLOOKUP('Project Details by Yr - MASTER'!$B178,'Public Grounds'!$A$11:$N$49,I$2,0))+IF(ISNA(VLOOKUP('Project Details by Yr - MASTER'!$B178,'Public Buildings'!$A$10:$N$96,I$2,0)),0,VLOOKUP('Project Details by Yr - MASTER'!$B178,'Public Buildings'!$A$10:$N$96,I$2,0))+IF(ISNA(VLOOKUP('Project Details by Yr - MASTER'!$B178,Bridges!$A$9:$N$24,I$2,0)),0,VLOOKUP('Project Details by Yr - MASTER'!$B178,Bridges!$A$9:$N$24,I$2,0))+IF(ISNA(VLOOKUP('Project Details by Yr - MASTER'!$B178,'Parking Lots &amp; Playgrounds'!$A$9:$N$33,I$2,0)),0,VLOOKUP('Project Details by Yr - MASTER'!$B178,'Parking Lots &amp; Playgrounds'!$A$9:$N$33,I$2,0))+IF(ISNA(VLOOKUP($B178,Vehicles!$B$9:$O$50,I$2,0)),0,VLOOKUP($B178,Vehicles!$B$9:$O$50,I$2,0))</f>
        <v>25625</v>
      </c>
      <c r="J178" s="8">
        <f>IF(ISNA(VLOOKUP($B178,'Other Capital Needs'!$C$51:$P$95,J$2,0)),0,VLOOKUP($B178,'Other Capital Needs'!$C$51:$P$95,J$2,0))+IF(ISNA(VLOOKUP('Project Details by Yr - MASTER'!$B178,'Public Grounds'!$A$11:$N$49,J$2,0)),0,VLOOKUP('Project Details by Yr - MASTER'!$B178,'Public Grounds'!$A$11:$N$49,J$2,0))+IF(ISNA(VLOOKUP('Project Details by Yr - MASTER'!$B178,'Public Buildings'!$A$10:$N$96,J$2,0)),0,VLOOKUP('Project Details by Yr - MASTER'!$B178,'Public Buildings'!$A$10:$N$96,J$2,0))+IF(ISNA(VLOOKUP('Project Details by Yr - MASTER'!$B178,Bridges!$A$9:$N$24,J$2,0)),0,VLOOKUP('Project Details by Yr - MASTER'!$B178,Bridges!$A$9:$N$24,J$2,0))+IF(ISNA(VLOOKUP('Project Details by Yr - MASTER'!$B178,'Parking Lots &amp; Playgrounds'!$A$9:$N$33,J$2,0)),0,VLOOKUP('Project Details by Yr - MASTER'!$B178,'Parking Lots &amp; Playgrounds'!$A$9:$N$33,J$2,0))+IF(ISNA(VLOOKUP($B178,Vehicles!$B$9:$O$50,J$2,0)),0,VLOOKUP($B178,Vehicles!$B$9:$O$50,J$2,0))</f>
        <v>26266</v>
      </c>
      <c r="K178" s="8">
        <f>IF(ISNA(VLOOKUP($B178,'Other Capital Needs'!$C$51:$P$95,K$2,0)),0,VLOOKUP($B178,'Other Capital Needs'!$C$51:$P$95,K$2,0))+IF(ISNA(VLOOKUP('Project Details by Yr - MASTER'!$B178,'Public Grounds'!$A$11:$N$49,K$2,0)),0,VLOOKUP('Project Details by Yr - MASTER'!$B178,'Public Grounds'!$A$11:$N$49,K$2,0))+IF(ISNA(VLOOKUP('Project Details by Yr - MASTER'!$B178,'Public Buildings'!$A$10:$N$96,K$2,0)),0,VLOOKUP('Project Details by Yr - MASTER'!$B178,'Public Buildings'!$A$10:$N$96,K$2,0))+IF(ISNA(VLOOKUP('Project Details by Yr - MASTER'!$B178,Bridges!$A$9:$N$24,K$2,0)),0,VLOOKUP('Project Details by Yr - MASTER'!$B178,Bridges!$A$9:$N$24,K$2,0))+IF(ISNA(VLOOKUP('Project Details by Yr - MASTER'!$B178,'Parking Lots &amp; Playgrounds'!$A$9:$N$33,K$2,0)),0,VLOOKUP('Project Details by Yr - MASTER'!$B178,'Parking Lots &amp; Playgrounds'!$A$9:$N$33,K$2,0))+IF(ISNA(VLOOKUP($B178,Vehicles!$B$9:$O$50,K$2,0)),0,VLOOKUP($B178,Vehicles!$B$9:$O$50,K$2,0))</f>
        <v>0</v>
      </c>
    </row>
    <row r="179" spans="2:11" x14ac:dyDescent="0.25">
      <c r="B179" t="s">
        <v>137</v>
      </c>
      <c r="C179" t="s">
        <v>49</v>
      </c>
      <c r="D179" t="s">
        <v>271</v>
      </c>
      <c r="E179" s="1" t="s">
        <v>16</v>
      </c>
      <c r="G179" s="8">
        <f>IF(ISNA(VLOOKUP($B179,'Other Capital Needs'!$C$51:$P$95,G$2,0)),0,VLOOKUP($B179,'Other Capital Needs'!$C$51:$P$95,G$2,0))+IF(ISNA(VLOOKUP('Project Details by Yr - MASTER'!$B179,'Public Grounds'!$A$11:$N$49,G$2,0)),0,VLOOKUP('Project Details by Yr - MASTER'!$B179,'Public Grounds'!$A$11:$N$49,G$2,0))+IF(ISNA(VLOOKUP('Project Details by Yr - MASTER'!$B179,'Public Buildings'!$A$10:$N$96,G$2,0)),0,VLOOKUP('Project Details by Yr - MASTER'!$B179,'Public Buildings'!$A$10:$N$96,G$2,0))+IF(ISNA(VLOOKUP('Project Details by Yr - MASTER'!$B179,Bridges!$A$9:$N$24,G$2,0)),0,VLOOKUP('Project Details by Yr - MASTER'!$B179,Bridges!$A$9:$N$24,G$2,0))+IF(ISNA(VLOOKUP('Project Details by Yr - MASTER'!$B179,'Parking Lots &amp; Playgrounds'!$A$9:$N$33,G$2,0)),0,VLOOKUP('Project Details by Yr - MASTER'!$B179,'Parking Lots &amp; Playgrounds'!$A$9:$N$33,G$2,0))+IF(ISNA(VLOOKUP($B179,Vehicles!$B$9:$O$50,G$2,0)),0,VLOOKUP($B179,Vehicles!$B$9:$O$50,G$2,0))</f>
        <v>0</v>
      </c>
      <c r="H179" s="8">
        <f>IF(ISNA(VLOOKUP($B179,'Other Capital Needs'!$C$51:$P$95,H$2,0)),0,VLOOKUP($B179,'Other Capital Needs'!$C$51:$P$95,H$2,0))+IF(ISNA(VLOOKUP('Project Details by Yr - MASTER'!$B179,'Public Grounds'!$A$11:$N$49,H$2,0)),0,VLOOKUP('Project Details by Yr - MASTER'!$B179,'Public Grounds'!$A$11:$N$49,H$2,0))+IF(ISNA(VLOOKUP('Project Details by Yr - MASTER'!$B179,'Public Buildings'!$A$10:$N$96,H$2,0)),0,VLOOKUP('Project Details by Yr - MASTER'!$B179,'Public Buildings'!$A$10:$N$96,H$2,0))+IF(ISNA(VLOOKUP('Project Details by Yr - MASTER'!$B179,Bridges!$A$9:$N$24,H$2,0)),0,VLOOKUP('Project Details by Yr - MASTER'!$B179,Bridges!$A$9:$N$24,H$2,0))+IF(ISNA(VLOOKUP('Project Details by Yr - MASTER'!$B179,'Parking Lots &amp; Playgrounds'!$A$9:$N$33,H$2,0)),0,VLOOKUP('Project Details by Yr - MASTER'!$B179,'Parking Lots &amp; Playgrounds'!$A$9:$N$33,H$2,0))+IF(ISNA(VLOOKUP($B179,Vehicles!$B$9:$O$50,H$2,0)),0,VLOOKUP($B179,Vehicles!$B$9:$O$50,H$2,0))</f>
        <v>0</v>
      </c>
      <c r="I179" s="8">
        <f>IF(ISNA(VLOOKUP($B179,'Other Capital Needs'!$C$51:$P$95,I$2,0)),0,VLOOKUP($B179,'Other Capital Needs'!$C$51:$P$95,I$2,0))+IF(ISNA(VLOOKUP('Project Details by Yr - MASTER'!$B179,'Public Grounds'!$A$11:$N$49,I$2,0)),0,VLOOKUP('Project Details by Yr - MASTER'!$B179,'Public Grounds'!$A$11:$N$49,I$2,0))+IF(ISNA(VLOOKUP('Project Details by Yr - MASTER'!$B179,'Public Buildings'!$A$10:$N$96,I$2,0)),0,VLOOKUP('Project Details by Yr - MASTER'!$B179,'Public Buildings'!$A$10:$N$96,I$2,0))+IF(ISNA(VLOOKUP('Project Details by Yr - MASTER'!$B179,Bridges!$A$9:$N$24,I$2,0)),0,VLOOKUP('Project Details by Yr - MASTER'!$B179,Bridges!$A$9:$N$24,I$2,0))+IF(ISNA(VLOOKUP('Project Details by Yr - MASTER'!$B179,'Parking Lots &amp; Playgrounds'!$A$9:$N$33,I$2,0)),0,VLOOKUP('Project Details by Yr - MASTER'!$B179,'Parking Lots &amp; Playgrounds'!$A$9:$N$33,I$2,0))+IF(ISNA(VLOOKUP($B179,Vehicles!$B$9:$O$50,I$2,0)),0,VLOOKUP($B179,Vehicles!$B$9:$O$50,I$2,0))</f>
        <v>0</v>
      </c>
      <c r="J179" s="8">
        <f>IF(ISNA(VLOOKUP($B179,'Other Capital Needs'!$C$51:$P$95,J$2,0)),0,VLOOKUP($B179,'Other Capital Needs'!$C$51:$P$95,J$2,0))+IF(ISNA(VLOOKUP('Project Details by Yr - MASTER'!$B179,'Public Grounds'!$A$11:$N$49,J$2,0)),0,VLOOKUP('Project Details by Yr - MASTER'!$B179,'Public Grounds'!$A$11:$N$49,J$2,0))+IF(ISNA(VLOOKUP('Project Details by Yr - MASTER'!$B179,'Public Buildings'!$A$10:$N$96,J$2,0)),0,VLOOKUP('Project Details by Yr - MASTER'!$B179,'Public Buildings'!$A$10:$N$96,J$2,0))+IF(ISNA(VLOOKUP('Project Details by Yr - MASTER'!$B179,Bridges!$A$9:$N$24,J$2,0)),0,VLOOKUP('Project Details by Yr - MASTER'!$B179,Bridges!$A$9:$N$24,J$2,0))+IF(ISNA(VLOOKUP('Project Details by Yr - MASTER'!$B179,'Parking Lots &amp; Playgrounds'!$A$9:$N$33,J$2,0)),0,VLOOKUP('Project Details by Yr - MASTER'!$B179,'Parking Lots &amp; Playgrounds'!$A$9:$N$33,J$2,0))+IF(ISNA(VLOOKUP($B179,Vehicles!$B$9:$O$50,J$2,0)),0,VLOOKUP($B179,Vehicles!$B$9:$O$50,J$2,0))</f>
        <v>0</v>
      </c>
      <c r="K179" s="8">
        <f>IF(ISNA(VLOOKUP($B179,'Other Capital Needs'!$C$51:$P$95,K$2,0)),0,VLOOKUP($B179,'Other Capital Needs'!$C$51:$P$95,K$2,0))+IF(ISNA(VLOOKUP('Project Details by Yr - MASTER'!$B179,'Public Grounds'!$A$11:$N$49,K$2,0)),0,VLOOKUP('Project Details by Yr - MASTER'!$B179,'Public Grounds'!$A$11:$N$49,K$2,0))+IF(ISNA(VLOOKUP('Project Details by Yr - MASTER'!$B179,'Public Buildings'!$A$10:$N$96,K$2,0)),0,VLOOKUP('Project Details by Yr - MASTER'!$B179,'Public Buildings'!$A$10:$N$96,K$2,0))+IF(ISNA(VLOOKUP('Project Details by Yr - MASTER'!$B179,Bridges!$A$9:$N$24,K$2,0)),0,VLOOKUP('Project Details by Yr - MASTER'!$B179,Bridges!$A$9:$N$24,K$2,0))+IF(ISNA(VLOOKUP('Project Details by Yr - MASTER'!$B179,'Parking Lots &amp; Playgrounds'!$A$9:$N$33,K$2,0)),0,VLOOKUP('Project Details by Yr - MASTER'!$B179,'Parking Lots &amp; Playgrounds'!$A$9:$N$33,K$2,0))+IF(ISNA(VLOOKUP($B179,Vehicles!$B$9:$O$50,K$2,0)),0,VLOOKUP($B179,Vehicles!$B$9:$O$50,K$2,0))</f>
        <v>0</v>
      </c>
    </row>
    <row r="180" spans="2:11" x14ac:dyDescent="0.25">
      <c r="B180" t="s">
        <v>138</v>
      </c>
      <c r="C180" t="s">
        <v>49</v>
      </c>
      <c r="D180" t="s">
        <v>271</v>
      </c>
      <c r="E180" s="1" t="s">
        <v>16</v>
      </c>
      <c r="G180" s="8">
        <f>IF(ISNA(VLOOKUP($B180,'Other Capital Needs'!$C$51:$P$95,G$2,0)),0,VLOOKUP($B180,'Other Capital Needs'!$C$51:$P$95,G$2,0))+IF(ISNA(VLOOKUP('Project Details by Yr - MASTER'!$B180,'Public Grounds'!$A$11:$N$49,G$2,0)),0,VLOOKUP('Project Details by Yr - MASTER'!$B180,'Public Grounds'!$A$11:$N$49,G$2,0))+IF(ISNA(VLOOKUP('Project Details by Yr - MASTER'!$B180,'Public Buildings'!$A$10:$N$96,G$2,0)),0,VLOOKUP('Project Details by Yr - MASTER'!$B180,'Public Buildings'!$A$10:$N$96,G$2,0))+IF(ISNA(VLOOKUP('Project Details by Yr - MASTER'!$B180,Bridges!$A$9:$N$24,G$2,0)),0,VLOOKUP('Project Details by Yr - MASTER'!$B180,Bridges!$A$9:$N$24,G$2,0))+IF(ISNA(VLOOKUP('Project Details by Yr - MASTER'!$B180,'Parking Lots &amp; Playgrounds'!$A$9:$N$33,G$2,0)),0,VLOOKUP('Project Details by Yr - MASTER'!$B180,'Parking Lots &amp; Playgrounds'!$A$9:$N$33,G$2,0))+IF(ISNA(VLOOKUP($B180,Vehicles!$B$9:$O$50,G$2,0)),0,VLOOKUP($B180,Vehicles!$B$9:$O$50,G$2,0))</f>
        <v>0</v>
      </c>
      <c r="H180" s="8">
        <f>IF(ISNA(VLOOKUP($B180,'Other Capital Needs'!$C$51:$P$95,H$2,0)),0,VLOOKUP($B180,'Other Capital Needs'!$C$51:$P$95,H$2,0))+IF(ISNA(VLOOKUP('Project Details by Yr - MASTER'!$B180,'Public Grounds'!$A$11:$N$49,H$2,0)),0,VLOOKUP('Project Details by Yr - MASTER'!$B180,'Public Grounds'!$A$11:$N$49,H$2,0))+IF(ISNA(VLOOKUP('Project Details by Yr - MASTER'!$B180,'Public Buildings'!$A$10:$N$96,H$2,0)),0,VLOOKUP('Project Details by Yr - MASTER'!$B180,'Public Buildings'!$A$10:$N$96,H$2,0))+IF(ISNA(VLOOKUP('Project Details by Yr - MASTER'!$B180,Bridges!$A$9:$N$24,H$2,0)),0,VLOOKUP('Project Details by Yr - MASTER'!$B180,Bridges!$A$9:$N$24,H$2,0))+IF(ISNA(VLOOKUP('Project Details by Yr - MASTER'!$B180,'Parking Lots &amp; Playgrounds'!$A$9:$N$33,H$2,0)),0,VLOOKUP('Project Details by Yr - MASTER'!$B180,'Parking Lots &amp; Playgrounds'!$A$9:$N$33,H$2,0))+IF(ISNA(VLOOKUP($B180,Vehicles!$B$9:$O$50,H$2,0)),0,VLOOKUP($B180,Vehicles!$B$9:$O$50,H$2,0))</f>
        <v>0</v>
      </c>
      <c r="I180" s="8">
        <f>IF(ISNA(VLOOKUP($B180,'Other Capital Needs'!$C$51:$P$95,I$2,0)),0,VLOOKUP($B180,'Other Capital Needs'!$C$51:$P$95,I$2,0))+IF(ISNA(VLOOKUP('Project Details by Yr - MASTER'!$B180,'Public Grounds'!$A$11:$N$49,I$2,0)),0,VLOOKUP('Project Details by Yr - MASTER'!$B180,'Public Grounds'!$A$11:$N$49,I$2,0))+IF(ISNA(VLOOKUP('Project Details by Yr - MASTER'!$B180,'Public Buildings'!$A$10:$N$96,I$2,0)),0,VLOOKUP('Project Details by Yr - MASTER'!$B180,'Public Buildings'!$A$10:$N$96,I$2,0))+IF(ISNA(VLOOKUP('Project Details by Yr - MASTER'!$B180,Bridges!$A$9:$N$24,I$2,0)),0,VLOOKUP('Project Details by Yr - MASTER'!$B180,Bridges!$A$9:$N$24,I$2,0))+IF(ISNA(VLOOKUP('Project Details by Yr - MASTER'!$B180,'Parking Lots &amp; Playgrounds'!$A$9:$N$33,I$2,0)),0,VLOOKUP('Project Details by Yr - MASTER'!$B180,'Parking Lots &amp; Playgrounds'!$A$9:$N$33,I$2,0))+IF(ISNA(VLOOKUP($B180,Vehicles!$B$9:$O$50,I$2,0)),0,VLOOKUP($B180,Vehicles!$B$9:$O$50,I$2,0))</f>
        <v>0</v>
      </c>
      <c r="J180" s="8">
        <f>IF(ISNA(VLOOKUP($B180,'Other Capital Needs'!$C$51:$P$95,J$2,0)),0,VLOOKUP($B180,'Other Capital Needs'!$C$51:$P$95,J$2,0))+IF(ISNA(VLOOKUP('Project Details by Yr - MASTER'!$B180,'Public Grounds'!$A$11:$N$49,J$2,0)),0,VLOOKUP('Project Details by Yr - MASTER'!$B180,'Public Grounds'!$A$11:$N$49,J$2,0))+IF(ISNA(VLOOKUP('Project Details by Yr - MASTER'!$B180,'Public Buildings'!$A$10:$N$96,J$2,0)),0,VLOOKUP('Project Details by Yr - MASTER'!$B180,'Public Buildings'!$A$10:$N$96,J$2,0))+IF(ISNA(VLOOKUP('Project Details by Yr - MASTER'!$B180,Bridges!$A$9:$N$24,J$2,0)),0,VLOOKUP('Project Details by Yr - MASTER'!$B180,Bridges!$A$9:$N$24,J$2,0))+IF(ISNA(VLOOKUP('Project Details by Yr - MASTER'!$B180,'Parking Lots &amp; Playgrounds'!$A$9:$N$33,J$2,0)),0,VLOOKUP('Project Details by Yr - MASTER'!$B180,'Parking Lots &amp; Playgrounds'!$A$9:$N$33,J$2,0))+IF(ISNA(VLOOKUP($B180,Vehicles!$B$9:$O$50,J$2,0)),0,VLOOKUP($B180,Vehicles!$B$9:$O$50,J$2,0))</f>
        <v>50000</v>
      </c>
      <c r="K180" s="8">
        <f>IF(ISNA(VLOOKUP($B180,'Other Capital Needs'!$C$51:$P$95,K$2,0)),0,VLOOKUP($B180,'Other Capital Needs'!$C$51:$P$95,K$2,0))+IF(ISNA(VLOOKUP('Project Details by Yr - MASTER'!$B180,'Public Grounds'!$A$11:$N$49,K$2,0)),0,VLOOKUP('Project Details by Yr - MASTER'!$B180,'Public Grounds'!$A$11:$N$49,K$2,0))+IF(ISNA(VLOOKUP('Project Details by Yr - MASTER'!$B180,'Public Buildings'!$A$10:$N$96,K$2,0)),0,VLOOKUP('Project Details by Yr - MASTER'!$B180,'Public Buildings'!$A$10:$N$96,K$2,0))+IF(ISNA(VLOOKUP('Project Details by Yr - MASTER'!$B180,Bridges!$A$9:$N$24,K$2,0)),0,VLOOKUP('Project Details by Yr - MASTER'!$B180,Bridges!$A$9:$N$24,K$2,0))+IF(ISNA(VLOOKUP('Project Details by Yr - MASTER'!$B180,'Parking Lots &amp; Playgrounds'!$A$9:$N$33,K$2,0)),0,VLOOKUP('Project Details by Yr - MASTER'!$B180,'Parking Lots &amp; Playgrounds'!$A$9:$N$33,K$2,0))+IF(ISNA(VLOOKUP($B180,Vehicles!$B$9:$O$50,K$2,0)),0,VLOOKUP($B180,Vehicles!$B$9:$O$50,K$2,0))</f>
        <v>0</v>
      </c>
    </row>
    <row r="181" spans="2:11" x14ac:dyDescent="0.25">
      <c r="B181" t="s">
        <v>139</v>
      </c>
      <c r="C181" t="s">
        <v>49</v>
      </c>
      <c r="D181" t="s">
        <v>272</v>
      </c>
      <c r="E181" s="1" t="s">
        <v>16</v>
      </c>
      <c r="G181" s="8">
        <f>IF(ISNA(VLOOKUP($B181,'Other Capital Needs'!$C$51:$P$95,G$2,0)),0,VLOOKUP($B181,'Other Capital Needs'!$C$51:$P$95,G$2,0))+IF(ISNA(VLOOKUP('Project Details by Yr - MASTER'!$B181,'Public Grounds'!$A$11:$N$49,G$2,0)),0,VLOOKUP('Project Details by Yr - MASTER'!$B181,'Public Grounds'!$A$11:$N$49,G$2,0))+IF(ISNA(VLOOKUP('Project Details by Yr - MASTER'!$B181,'Public Buildings'!$A$10:$N$96,G$2,0)),0,VLOOKUP('Project Details by Yr - MASTER'!$B181,'Public Buildings'!$A$10:$N$96,G$2,0))+IF(ISNA(VLOOKUP('Project Details by Yr - MASTER'!$B181,Bridges!$A$9:$N$24,G$2,0)),0,VLOOKUP('Project Details by Yr - MASTER'!$B181,Bridges!$A$9:$N$24,G$2,0))+IF(ISNA(VLOOKUP('Project Details by Yr - MASTER'!$B181,'Parking Lots &amp; Playgrounds'!$A$9:$N$33,G$2,0)),0,VLOOKUP('Project Details by Yr - MASTER'!$B181,'Parking Lots &amp; Playgrounds'!$A$9:$N$33,G$2,0))+IF(ISNA(VLOOKUP($B181,Vehicles!$B$9:$O$50,G$2,0)),0,VLOOKUP($B181,Vehicles!$B$9:$O$50,G$2,0))</f>
        <v>98000</v>
      </c>
      <c r="H181" s="8">
        <f>IF(ISNA(VLOOKUP($B181,'Other Capital Needs'!$C$51:$P$95,H$2,0)),0,VLOOKUP($B181,'Other Capital Needs'!$C$51:$P$95,H$2,0))+IF(ISNA(VLOOKUP('Project Details by Yr - MASTER'!$B181,'Public Grounds'!$A$11:$N$49,H$2,0)),0,VLOOKUP('Project Details by Yr - MASTER'!$B181,'Public Grounds'!$A$11:$N$49,H$2,0))+IF(ISNA(VLOOKUP('Project Details by Yr - MASTER'!$B181,'Public Buildings'!$A$10:$N$96,H$2,0)),0,VLOOKUP('Project Details by Yr - MASTER'!$B181,'Public Buildings'!$A$10:$N$96,H$2,0))+IF(ISNA(VLOOKUP('Project Details by Yr - MASTER'!$B181,Bridges!$A$9:$N$24,H$2,0)),0,VLOOKUP('Project Details by Yr - MASTER'!$B181,Bridges!$A$9:$N$24,H$2,0))+IF(ISNA(VLOOKUP('Project Details by Yr - MASTER'!$B181,'Parking Lots &amp; Playgrounds'!$A$9:$N$33,H$2,0)),0,VLOOKUP('Project Details by Yr - MASTER'!$B181,'Parking Lots &amp; Playgrounds'!$A$9:$N$33,H$2,0))+IF(ISNA(VLOOKUP($B181,Vehicles!$B$9:$O$50,H$2,0)),0,VLOOKUP($B181,Vehicles!$B$9:$O$50,H$2,0))</f>
        <v>44588</v>
      </c>
      <c r="I181" s="8">
        <f>IF(ISNA(VLOOKUP($B181,'Other Capital Needs'!$C$51:$P$95,I$2,0)),0,VLOOKUP($B181,'Other Capital Needs'!$C$51:$P$95,I$2,0))+IF(ISNA(VLOOKUP('Project Details by Yr - MASTER'!$B181,'Public Grounds'!$A$11:$N$49,I$2,0)),0,VLOOKUP('Project Details by Yr - MASTER'!$B181,'Public Grounds'!$A$11:$N$49,I$2,0))+IF(ISNA(VLOOKUP('Project Details by Yr - MASTER'!$B181,'Public Buildings'!$A$10:$N$96,I$2,0)),0,VLOOKUP('Project Details by Yr - MASTER'!$B181,'Public Buildings'!$A$10:$N$96,I$2,0))+IF(ISNA(VLOOKUP('Project Details by Yr - MASTER'!$B181,Bridges!$A$9:$N$24,I$2,0)),0,VLOOKUP('Project Details by Yr - MASTER'!$B181,Bridges!$A$9:$N$24,I$2,0))+IF(ISNA(VLOOKUP('Project Details by Yr - MASTER'!$B181,'Parking Lots &amp; Playgrounds'!$A$9:$N$33,I$2,0)),0,VLOOKUP('Project Details by Yr - MASTER'!$B181,'Parking Lots &amp; Playgrounds'!$A$9:$N$33,I$2,0))+IF(ISNA(VLOOKUP($B181,Vehicles!$B$9:$O$50,I$2,0)),0,VLOOKUP($B181,Vehicles!$B$9:$O$50,I$2,0))</f>
        <v>98655</v>
      </c>
      <c r="J181" s="8">
        <f>IF(ISNA(VLOOKUP($B181,'Other Capital Needs'!$C$51:$P$95,J$2,0)),0,VLOOKUP($B181,'Other Capital Needs'!$C$51:$P$95,J$2,0))+IF(ISNA(VLOOKUP('Project Details by Yr - MASTER'!$B181,'Public Grounds'!$A$11:$N$49,J$2,0)),0,VLOOKUP('Project Details by Yr - MASTER'!$B181,'Public Grounds'!$A$11:$N$49,J$2,0))+IF(ISNA(VLOOKUP('Project Details by Yr - MASTER'!$B181,'Public Buildings'!$A$10:$N$96,J$2,0)),0,VLOOKUP('Project Details by Yr - MASTER'!$B181,'Public Buildings'!$A$10:$N$96,J$2,0))+IF(ISNA(VLOOKUP('Project Details by Yr - MASTER'!$B181,Bridges!$A$9:$N$24,J$2,0)),0,VLOOKUP('Project Details by Yr - MASTER'!$B181,Bridges!$A$9:$N$24,J$2,0))+IF(ISNA(VLOOKUP('Project Details by Yr - MASTER'!$B181,'Parking Lots &amp; Playgrounds'!$A$9:$N$33,J$2,0)),0,VLOOKUP('Project Details by Yr - MASTER'!$B181,'Parking Lots &amp; Playgrounds'!$A$9:$N$33,J$2,0))+IF(ISNA(VLOOKUP($B181,Vehicles!$B$9:$O$50,J$2,0)),0,VLOOKUP($B181,Vehicles!$B$9:$O$50,J$2,0))</f>
        <v>41718</v>
      </c>
      <c r="K181" s="8">
        <f>IF(ISNA(VLOOKUP($B181,'Other Capital Needs'!$C$51:$P$95,K$2,0)),0,VLOOKUP($B181,'Other Capital Needs'!$C$51:$P$95,K$2,0))+IF(ISNA(VLOOKUP('Project Details by Yr - MASTER'!$B181,'Public Grounds'!$A$11:$N$49,K$2,0)),0,VLOOKUP('Project Details by Yr - MASTER'!$B181,'Public Grounds'!$A$11:$N$49,K$2,0))+IF(ISNA(VLOOKUP('Project Details by Yr - MASTER'!$B181,'Public Buildings'!$A$10:$N$96,K$2,0)),0,VLOOKUP('Project Details by Yr - MASTER'!$B181,'Public Buildings'!$A$10:$N$96,K$2,0))+IF(ISNA(VLOOKUP('Project Details by Yr - MASTER'!$B181,Bridges!$A$9:$N$24,K$2,0)),0,VLOOKUP('Project Details by Yr - MASTER'!$B181,Bridges!$A$9:$N$24,K$2,0))+IF(ISNA(VLOOKUP('Project Details by Yr - MASTER'!$B181,'Parking Lots &amp; Playgrounds'!$A$9:$N$33,K$2,0)),0,VLOOKUP('Project Details by Yr - MASTER'!$B181,'Parking Lots &amp; Playgrounds'!$A$9:$N$33,K$2,0))+IF(ISNA(VLOOKUP($B181,Vehicles!$B$9:$O$50,K$2,0)),0,VLOOKUP($B181,Vehicles!$B$9:$O$50,K$2,0))</f>
        <v>43604</v>
      </c>
    </row>
    <row r="182" spans="2:11" x14ac:dyDescent="0.25">
      <c r="B182" t="s">
        <v>140</v>
      </c>
      <c r="C182" t="s">
        <v>49</v>
      </c>
      <c r="D182" t="s">
        <v>272</v>
      </c>
      <c r="E182" s="1" t="s">
        <v>16</v>
      </c>
      <c r="G182" s="8">
        <f>IF(ISNA(VLOOKUP($B182,'Other Capital Needs'!$C$51:$P$95,G$2,0)),0,VLOOKUP($B182,'Other Capital Needs'!$C$51:$P$95,G$2,0))+IF(ISNA(VLOOKUP('Project Details by Yr - MASTER'!$B182,'Public Grounds'!$A$11:$N$49,G$2,0)),0,VLOOKUP('Project Details by Yr - MASTER'!$B182,'Public Grounds'!$A$11:$N$49,G$2,0))+IF(ISNA(VLOOKUP('Project Details by Yr - MASTER'!$B182,'Public Buildings'!$A$10:$N$96,G$2,0)),0,VLOOKUP('Project Details by Yr - MASTER'!$B182,'Public Buildings'!$A$10:$N$96,G$2,0))+IF(ISNA(VLOOKUP('Project Details by Yr - MASTER'!$B182,Bridges!$A$9:$N$24,G$2,0)),0,VLOOKUP('Project Details by Yr - MASTER'!$B182,Bridges!$A$9:$N$24,G$2,0))+IF(ISNA(VLOOKUP('Project Details by Yr - MASTER'!$B182,'Parking Lots &amp; Playgrounds'!$A$9:$N$33,G$2,0)),0,VLOOKUP('Project Details by Yr - MASTER'!$B182,'Parking Lots &amp; Playgrounds'!$A$9:$N$33,G$2,0))+IF(ISNA(VLOOKUP($B182,Vehicles!$B$9:$O$50,G$2,0)),0,VLOOKUP($B182,Vehicles!$B$9:$O$50,G$2,0))</f>
        <v>0</v>
      </c>
      <c r="H182" s="8">
        <f>IF(ISNA(VLOOKUP($B182,'Other Capital Needs'!$C$51:$P$95,H$2,0)),0,VLOOKUP($B182,'Other Capital Needs'!$C$51:$P$95,H$2,0))+IF(ISNA(VLOOKUP('Project Details by Yr - MASTER'!$B182,'Public Grounds'!$A$11:$N$49,H$2,0)),0,VLOOKUP('Project Details by Yr - MASTER'!$B182,'Public Grounds'!$A$11:$N$49,H$2,0))+IF(ISNA(VLOOKUP('Project Details by Yr - MASTER'!$B182,'Public Buildings'!$A$10:$N$96,H$2,0)),0,VLOOKUP('Project Details by Yr - MASTER'!$B182,'Public Buildings'!$A$10:$N$96,H$2,0))+IF(ISNA(VLOOKUP('Project Details by Yr - MASTER'!$B182,Bridges!$A$9:$N$24,H$2,0)),0,VLOOKUP('Project Details by Yr - MASTER'!$B182,Bridges!$A$9:$N$24,H$2,0))+IF(ISNA(VLOOKUP('Project Details by Yr - MASTER'!$B182,'Parking Lots &amp; Playgrounds'!$A$9:$N$33,H$2,0)),0,VLOOKUP('Project Details by Yr - MASTER'!$B182,'Parking Lots &amp; Playgrounds'!$A$9:$N$33,H$2,0))+IF(ISNA(VLOOKUP($B182,Vehicles!$B$9:$O$50,H$2,0)),0,VLOOKUP($B182,Vehicles!$B$9:$O$50,H$2,0))</f>
        <v>0</v>
      </c>
      <c r="I182" s="8">
        <f>IF(ISNA(VLOOKUP($B182,'Other Capital Needs'!$C$51:$P$95,I$2,0)),0,VLOOKUP($B182,'Other Capital Needs'!$C$51:$P$95,I$2,0))+IF(ISNA(VLOOKUP('Project Details by Yr - MASTER'!$B182,'Public Grounds'!$A$11:$N$49,I$2,0)),0,VLOOKUP('Project Details by Yr - MASTER'!$B182,'Public Grounds'!$A$11:$N$49,I$2,0))+IF(ISNA(VLOOKUP('Project Details by Yr - MASTER'!$B182,'Public Buildings'!$A$10:$N$96,I$2,0)),0,VLOOKUP('Project Details by Yr - MASTER'!$B182,'Public Buildings'!$A$10:$N$96,I$2,0))+IF(ISNA(VLOOKUP('Project Details by Yr - MASTER'!$B182,Bridges!$A$9:$N$24,I$2,0)),0,VLOOKUP('Project Details by Yr - MASTER'!$B182,Bridges!$A$9:$N$24,I$2,0))+IF(ISNA(VLOOKUP('Project Details by Yr - MASTER'!$B182,'Parking Lots &amp; Playgrounds'!$A$9:$N$33,I$2,0)),0,VLOOKUP('Project Details by Yr - MASTER'!$B182,'Parking Lots &amp; Playgrounds'!$A$9:$N$33,I$2,0))+IF(ISNA(VLOOKUP($B182,Vehicles!$B$9:$O$50,I$2,0)),0,VLOOKUP($B182,Vehicles!$B$9:$O$50,I$2,0))</f>
        <v>0</v>
      </c>
      <c r="J182" s="8">
        <f>IF(ISNA(VLOOKUP($B182,'Other Capital Needs'!$C$51:$P$95,J$2,0)),0,VLOOKUP($B182,'Other Capital Needs'!$C$51:$P$95,J$2,0))+IF(ISNA(VLOOKUP('Project Details by Yr - MASTER'!$B182,'Public Grounds'!$A$11:$N$49,J$2,0)),0,VLOOKUP('Project Details by Yr - MASTER'!$B182,'Public Grounds'!$A$11:$N$49,J$2,0))+IF(ISNA(VLOOKUP('Project Details by Yr - MASTER'!$B182,'Public Buildings'!$A$10:$N$96,J$2,0)),0,VLOOKUP('Project Details by Yr - MASTER'!$B182,'Public Buildings'!$A$10:$N$96,J$2,0))+IF(ISNA(VLOOKUP('Project Details by Yr - MASTER'!$B182,Bridges!$A$9:$N$24,J$2,0)),0,VLOOKUP('Project Details by Yr - MASTER'!$B182,Bridges!$A$9:$N$24,J$2,0))+IF(ISNA(VLOOKUP('Project Details by Yr - MASTER'!$B182,'Parking Lots &amp; Playgrounds'!$A$9:$N$33,J$2,0)),0,VLOOKUP('Project Details by Yr - MASTER'!$B182,'Parking Lots &amp; Playgrounds'!$A$9:$N$33,J$2,0))+IF(ISNA(VLOOKUP($B182,Vehicles!$B$9:$O$50,J$2,0)),0,VLOOKUP($B182,Vehicles!$B$9:$O$50,J$2,0))</f>
        <v>0</v>
      </c>
      <c r="K182" s="8">
        <f>IF(ISNA(VLOOKUP($B182,'Other Capital Needs'!$C$51:$P$95,K$2,0)),0,VLOOKUP($B182,'Other Capital Needs'!$C$51:$P$95,K$2,0))+IF(ISNA(VLOOKUP('Project Details by Yr - MASTER'!$B182,'Public Grounds'!$A$11:$N$49,K$2,0)),0,VLOOKUP('Project Details by Yr - MASTER'!$B182,'Public Grounds'!$A$11:$N$49,K$2,0))+IF(ISNA(VLOOKUP('Project Details by Yr - MASTER'!$B182,'Public Buildings'!$A$10:$N$96,K$2,0)),0,VLOOKUP('Project Details by Yr - MASTER'!$B182,'Public Buildings'!$A$10:$N$96,K$2,0))+IF(ISNA(VLOOKUP('Project Details by Yr - MASTER'!$B182,Bridges!$A$9:$N$24,K$2,0)),0,VLOOKUP('Project Details by Yr - MASTER'!$B182,Bridges!$A$9:$N$24,K$2,0))+IF(ISNA(VLOOKUP('Project Details by Yr - MASTER'!$B182,'Parking Lots &amp; Playgrounds'!$A$9:$N$33,K$2,0)),0,VLOOKUP('Project Details by Yr - MASTER'!$B182,'Parking Lots &amp; Playgrounds'!$A$9:$N$33,K$2,0))+IF(ISNA(VLOOKUP($B182,Vehicles!$B$9:$O$50,K$2,0)),0,VLOOKUP($B182,Vehicles!$B$9:$O$50,K$2,0))</f>
        <v>0</v>
      </c>
    </row>
    <row r="183" spans="2:11" x14ac:dyDescent="0.25">
      <c r="B183" t="s">
        <v>141</v>
      </c>
      <c r="C183" t="s">
        <v>49</v>
      </c>
      <c r="D183" t="s">
        <v>272</v>
      </c>
      <c r="E183" s="1" t="s">
        <v>16</v>
      </c>
      <c r="G183" s="8">
        <f>IF(ISNA(VLOOKUP($B183,'Other Capital Needs'!$C$51:$P$95,G$2,0)),0,VLOOKUP($B183,'Other Capital Needs'!$C$51:$P$95,G$2,0))+IF(ISNA(VLOOKUP('Project Details by Yr - MASTER'!$B183,'Public Grounds'!$A$11:$N$49,G$2,0)),0,VLOOKUP('Project Details by Yr - MASTER'!$B183,'Public Grounds'!$A$11:$N$49,G$2,0))+IF(ISNA(VLOOKUP('Project Details by Yr - MASTER'!$B183,'Public Buildings'!$A$10:$N$96,G$2,0)),0,VLOOKUP('Project Details by Yr - MASTER'!$B183,'Public Buildings'!$A$10:$N$96,G$2,0))+IF(ISNA(VLOOKUP('Project Details by Yr - MASTER'!$B183,Bridges!$A$9:$N$24,G$2,0)),0,VLOOKUP('Project Details by Yr - MASTER'!$B183,Bridges!$A$9:$N$24,G$2,0))+IF(ISNA(VLOOKUP('Project Details by Yr - MASTER'!$B183,'Parking Lots &amp; Playgrounds'!$A$9:$N$33,G$2,0)),0,VLOOKUP('Project Details by Yr - MASTER'!$B183,'Parking Lots &amp; Playgrounds'!$A$9:$N$33,G$2,0))+IF(ISNA(VLOOKUP($B183,Vehicles!$B$9:$O$50,G$2,0)),0,VLOOKUP($B183,Vehicles!$B$9:$O$50,G$2,0))</f>
        <v>0</v>
      </c>
      <c r="H183" s="8">
        <f>IF(ISNA(VLOOKUP($B183,'Other Capital Needs'!$C$51:$P$95,H$2,0)),0,VLOOKUP($B183,'Other Capital Needs'!$C$51:$P$95,H$2,0))+IF(ISNA(VLOOKUP('Project Details by Yr - MASTER'!$B183,'Public Grounds'!$A$11:$N$49,H$2,0)),0,VLOOKUP('Project Details by Yr - MASTER'!$B183,'Public Grounds'!$A$11:$N$49,H$2,0))+IF(ISNA(VLOOKUP('Project Details by Yr - MASTER'!$B183,'Public Buildings'!$A$10:$N$96,H$2,0)),0,VLOOKUP('Project Details by Yr - MASTER'!$B183,'Public Buildings'!$A$10:$N$96,H$2,0))+IF(ISNA(VLOOKUP('Project Details by Yr - MASTER'!$B183,Bridges!$A$9:$N$24,H$2,0)),0,VLOOKUP('Project Details by Yr - MASTER'!$B183,Bridges!$A$9:$N$24,H$2,0))+IF(ISNA(VLOOKUP('Project Details by Yr - MASTER'!$B183,'Parking Lots &amp; Playgrounds'!$A$9:$N$33,H$2,0)),0,VLOOKUP('Project Details by Yr - MASTER'!$B183,'Parking Lots &amp; Playgrounds'!$A$9:$N$33,H$2,0))+IF(ISNA(VLOOKUP($B183,Vehicles!$B$9:$O$50,H$2,0)),0,VLOOKUP($B183,Vehicles!$B$9:$O$50,H$2,0))</f>
        <v>0</v>
      </c>
      <c r="I183" s="8">
        <f>IF(ISNA(VLOOKUP($B183,'Other Capital Needs'!$C$51:$P$95,I$2,0)),0,VLOOKUP($B183,'Other Capital Needs'!$C$51:$P$95,I$2,0))+IF(ISNA(VLOOKUP('Project Details by Yr - MASTER'!$B183,'Public Grounds'!$A$11:$N$49,I$2,0)),0,VLOOKUP('Project Details by Yr - MASTER'!$B183,'Public Grounds'!$A$11:$N$49,I$2,0))+IF(ISNA(VLOOKUP('Project Details by Yr - MASTER'!$B183,'Public Buildings'!$A$10:$N$96,I$2,0)),0,VLOOKUP('Project Details by Yr - MASTER'!$B183,'Public Buildings'!$A$10:$N$96,I$2,0))+IF(ISNA(VLOOKUP('Project Details by Yr - MASTER'!$B183,Bridges!$A$9:$N$24,I$2,0)),0,VLOOKUP('Project Details by Yr - MASTER'!$B183,Bridges!$A$9:$N$24,I$2,0))+IF(ISNA(VLOOKUP('Project Details by Yr - MASTER'!$B183,'Parking Lots &amp; Playgrounds'!$A$9:$N$33,I$2,0)),0,VLOOKUP('Project Details by Yr - MASTER'!$B183,'Parking Lots &amp; Playgrounds'!$A$9:$N$33,I$2,0))+IF(ISNA(VLOOKUP($B183,Vehicles!$B$9:$O$50,I$2,0)),0,VLOOKUP($B183,Vehicles!$B$9:$O$50,I$2,0))</f>
        <v>0</v>
      </c>
      <c r="J183" s="8">
        <f>IF(ISNA(VLOOKUP($B183,'Other Capital Needs'!$C$51:$P$95,J$2,0)),0,VLOOKUP($B183,'Other Capital Needs'!$C$51:$P$95,J$2,0))+IF(ISNA(VLOOKUP('Project Details by Yr - MASTER'!$B183,'Public Grounds'!$A$11:$N$49,J$2,0)),0,VLOOKUP('Project Details by Yr - MASTER'!$B183,'Public Grounds'!$A$11:$N$49,J$2,0))+IF(ISNA(VLOOKUP('Project Details by Yr - MASTER'!$B183,'Public Buildings'!$A$10:$N$96,J$2,0)),0,VLOOKUP('Project Details by Yr - MASTER'!$B183,'Public Buildings'!$A$10:$N$96,J$2,0))+IF(ISNA(VLOOKUP('Project Details by Yr - MASTER'!$B183,Bridges!$A$9:$N$24,J$2,0)),0,VLOOKUP('Project Details by Yr - MASTER'!$B183,Bridges!$A$9:$N$24,J$2,0))+IF(ISNA(VLOOKUP('Project Details by Yr - MASTER'!$B183,'Parking Lots &amp; Playgrounds'!$A$9:$N$33,J$2,0)),0,VLOOKUP('Project Details by Yr - MASTER'!$B183,'Parking Lots &amp; Playgrounds'!$A$9:$N$33,J$2,0))+IF(ISNA(VLOOKUP($B183,Vehicles!$B$9:$O$50,J$2,0)),0,VLOOKUP($B183,Vehicles!$B$9:$O$50,J$2,0))</f>
        <v>0</v>
      </c>
      <c r="K183" s="8">
        <f>IF(ISNA(VLOOKUP($B183,'Other Capital Needs'!$C$51:$P$95,K$2,0)),0,VLOOKUP($B183,'Other Capital Needs'!$C$51:$P$95,K$2,0))+IF(ISNA(VLOOKUP('Project Details by Yr - MASTER'!$B183,'Public Grounds'!$A$11:$N$49,K$2,0)),0,VLOOKUP('Project Details by Yr - MASTER'!$B183,'Public Grounds'!$A$11:$N$49,K$2,0))+IF(ISNA(VLOOKUP('Project Details by Yr - MASTER'!$B183,'Public Buildings'!$A$10:$N$96,K$2,0)),0,VLOOKUP('Project Details by Yr - MASTER'!$B183,'Public Buildings'!$A$10:$N$96,K$2,0))+IF(ISNA(VLOOKUP('Project Details by Yr - MASTER'!$B183,Bridges!$A$9:$N$24,K$2,0)),0,VLOOKUP('Project Details by Yr - MASTER'!$B183,Bridges!$A$9:$N$24,K$2,0))+IF(ISNA(VLOOKUP('Project Details by Yr - MASTER'!$B183,'Parking Lots &amp; Playgrounds'!$A$9:$N$33,K$2,0)),0,VLOOKUP('Project Details by Yr - MASTER'!$B183,'Parking Lots &amp; Playgrounds'!$A$9:$N$33,K$2,0))+IF(ISNA(VLOOKUP($B183,Vehicles!$B$9:$O$50,K$2,0)),0,VLOOKUP($B183,Vehicles!$B$9:$O$50,K$2,0))</f>
        <v>0</v>
      </c>
    </row>
    <row r="184" spans="2:11" x14ac:dyDescent="0.25">
      <c r="E184" s="1"/>
      <c r="G184" s="8"/>
      <c r="H184" s="8"/>
      <c r="I184" s="8"/>
      <c r="J184" s="8"/>
      <c r="K184" s="8"/>
    </row>
    <row r="185" spans="2:11" x14ac:dyDescent="0.25">
      <c r="B185" s="33" t="s">
        <v>273</v>
      </c>
      <c r="C185" s="33" t="s">
        <v>250</v>
      </c>
      <c r="D185" s="33" t="s">
        <v>271</v>
      </c>
      <c r="E185" s="1" t="s">
        <v>16</v>
      </c>
      <c r="G185" s="8">
        <f>Summary!E38</f>
        <v>0</v>
      </c>
      <c r="H185" s="8">
        <f>Summary!F38</f>
        <v>0</v>
      </c>
      <c r="I185" s="8">
        <f>Summary!G38</f>
        <v>1500000</v>
      </c>
      <c r="J185" s="8">
        <f>Summary!H38</f>
        <v>1500000</v>
      </c>
      <c r="K185" s="8">
        <f>Summary!I38</f>
        <v>1500000</v>
      </c>
    </row>
    <row r="186" spans="2:11" x14ac:dyDescent="0.25">
      <c r="B186" s="33" t="s">
        <v>273</v>
      </c>
      <c r="C186" s="33" t="s">
        <v>250</v>
      </c>
      <c r="D186" s="33" t="s">
        <v>271</v>
      </c>
      <c r="E186" s="1" t="s">
        <v>19</v>
      </c>
      <c r="G186" s="8">
        <f>Summary!E41</f>
        <v>1500000</v>
      </c>
      <c r="H186" s="8">
        <f>Summary!F41</f>
        <v>1500000</v>
      </c>
      <c r="I186" s="8">
        <f>Summary!G41</f>
        <v>0</v>
      </c>
      <c r="J186" s="8">
        <f>Summary!H41</f>
        <v>0</v>
      </c>
      <c r="K186" s="8">
        <f>Summary!I41</f>
        <v>0</v>
      </c>
    </row>
    <row r="187" spans="2:11" x14ac:dyDescent="0.25">
      <c r="B187" t="s">
        <v>77</v>
      </c>
      <c r="C187" t="s">
        <v>48</v>
      </c>
      <c r="D187" t="s">
        <v>271</v>
      </c>
      <c r="E187" s="1" t="s">
        <v>19</v>
      </c>
      <c r="G187" s="8">
        <f>IF(ISNA(VLOOKUP($B187,'Other Capital Needs'!$C$51:$P$95,G$2,0)),0,VLOOKUP($B187,'Other Capital Needs'!$C$51:$P$95,G$2,0))+IF(ISNA(VLOOKUP('Project Details by Yr - MASTER'!$B187,'Public Grounds'!$A$11:$N$49,G$2,0)),0,VLOOKUP('Project Details by Yr - MASTER'!$B187,'Public Grounds'!$A$11:$N$49,G$2,0))+IF(ISNA(VLOOKUP('Project Details by Yr - MASTER'!$B187,'Public Buildings'!$A$10:$N$96,G$2,0)),0,VLOOKUP('Project Details by Yr - MASTER'!$B187,'Public Buildings'!$A$10:$N$96,G$2,0))+IF(ISNA(VLOOKUP('Project Details by Yr - MASTER'!$B187,Bridges!$A$9:$N$24,G$2,0)),0,VLOOKUP('Project Details by Yr - MASTER'!$B187,Bridges!$A$9:$N$24,G$2,0))+IF(ISNA(VLOOKUP('Project Details by Yr - MASTER'!$B187,'Parking Lots &amp; Playgrounds'!$A$9:$N$33,G$2,0)),0,VLOOKUP('Project Details by Yr - MASTER'!$B187,'Parking Lots &amp; Playgrounds'!$A$9:$N$33,G$2,0))+IF(ISNA(VLOOKUP($B187,Vehicles!$B$9:$O$50,G$2,0)),0,VLOOKUP($B187,Vehicles!$B$9:$O$50,G$2,0))</f>
        <v>0</v>
      </c>
      <c r="H187" s="8">
        <f>IF(ISNA(VLOOKUP($B187,'Other Capital Needs'!$C$51:$P$95,H$2,0)),0,VLOOKUP($B187,'Other Capital Needs'!$C$51:$P$95,H$2,0))+IF(ISNA(VLOOKUP('Project Details by Yr - MASTER'!$B187,'Public Grounds'!$A$11:$N$49,H$2,0)),0,VLOOKUP('Project Details by Yr - MASTER'!$B187,'Public Grounds'!$A$11:$N$49,H$2,0))+IF(ISNA(VLOOKUP('Project Details by Yr - MASTER'!$B187,'Public Buildings'!$A$10:$N$96,H$2,0)),0,VLOOKUP('Project Details by Yr - MASTER'!$B187,'Public Buildings'!$A$10:$N$96,H$2,0))+IF(ISNA(VLOOKUP('Project Details by Yr - MASTER'!$B187,Bridges!$A$9:$N$24,H$2,0)),0,VLOOKUP('Project Details by Yr - MASTER'!$B187,Bridges!$A$9:$N$24,H$2,0))+IF(ISNA(VLOOKUP('Project Details by Yr - MASTER'!$B187,'Parking Lots &amp; Playgrounds'!$A$9:$N$33,H$2,0)),0,VLOOKUP('Project Details by Yr - MASTER'!$B187,'Parking Lots &amp; Playgrounds'!$A$9:$N$33,H$2,0))+IF(ISNA(VLOOKUP($B187,Vehicles!$B$9:$O$50,H$2,0)),0,VLOOKUP($B187,Vehicles!$B$9:$O$50,H$2,0))</f>
        <v>0</v>
      </c>
      <c r="I187" s="8">
        <f>IF(ISNA(VLOOKUP($B187,'Other Capital Needs'!$C$51:$P$95,I$2,0)),0,VLOOKUP($B187,'Other Capital Needs'!$C$51:$P$95,I$2,0))+IF(ISNA(VLOOKUP('Project Details by Yr - MASTER'!$B187,'Public Grounds'!$A$11:$N$49,I$2,0)),0,VLOOKUP('Project Details by Yr - MASTER'!$B187,'Public Grounds'!$A$11:$N$49,I$2,0))+IF(ISNA(VLOOKUP('Project Details by Yr - MASTER'!$B187,'Public Buildings'!$A$10:$N$96,I$2,0)),0,VLOOKUP('Project Details by Yr - MASTER'!$B187,'Public Buildings'!$A$10:$N$96,I$2,0))+IF(ISNA(VLOOKUP('Project Details by Yr - MASTER'!$B187,Bridges!$A$9:$N$24,I$2,0)),0,VLOOKUP('Project Details by Yr - MASTER'!$B187,Bridges!$A$9:$N$24,I$2,0))+IF(ISNA(VLOOKUP('Project Details by Yr - MASTER'!$B187,'Parking Lots &amp; Playgrounds'!$A$9:$N$33,I$2,0)),0,VLOOKUP('Project Details by Yr - MASTER'!$B187,'Parking Lots &amp; Playgrounds'!$A$9:$N$33,I$2,0))+IF(ISNA(VLOOKUP($B187,Vehicles!$B$9:$O$50,I$2,0)),0,VLOOKUP($B187,Vehicles!$B$9:$O$50,I$2,0))</f>
        <v>0</v>
      </c>
      <c r="J187" s="8">
        <f>IF(ISNA(VLOOKUP($B187,'Other Capital Needs'!$C$51:$P$95,J$2,0)),0,VLOOKUP($B187,'Other Capital Needs'!$C$51:$P$95,J$2,0))+IF(ISNA(VLOOKUP('Project Details by Yr - MASTER'!$B187,'Public Grounds'!$A$11:$N$49,J$2,0)),0,VLOOKUP('Project Details by Yr - MASTER'!$B187,'Public Grounds'!$A$11:$N$49,J$2,0))+IF(ISNA(VLOOKUP('Project Details by Yr - MASTER'!$B187,'Public Buildings'!$A$10:$N$96,J$2,0)),0,VLOOKUP('Project Details by Yr - MASTER'!$B187,'Public Buildings'!$A$10:$N$96,J$2,0))+IF(ISNA(VLOOKUP('Project Details by Yr - MASTER'!$B187,Bridges!$A$9:$N$24,J$2,0)),0,VLOOKUP('Project Details by Yr - MASTER'!$B187,Bridges!$A$9:$N$24,J$2,0))+IF(ISNA(VLOOKUP('Project Details by Yr - MASTER'!$B187,'Parking Lots &amp; Playgrounds'!$A$9:$N$33,J$2,0)),0,VLOOKUP('Project Details by Yr - MASTER'!$B187,'Parking Lots &amp; Playgrounds'!$A$9:$N$33,J$2,0))+IF(ISNA(VLOOKUP($B187,Vehicles!$B$9:$O$50,J$2,0)),0,VLOOKUP($B187,Vehicles!$B$9:$O$50,J$2,0))</f>
        <v>0</v>
      </c>
      <c r="K187" s="8">
        <f>IF(ISNA(VLOOKUP($B187,'Other Capital Needs'!$C$51:$P$95,K$2,0)),0,VLOOKUP($B187,'Other Capital Needs'!$C$51:$P$95,K$2,0))+IF(ISNA(VLOOKUP('Project Details by Yr - MASTER'!$B187,'Public Grounds'!$A$11:$N$49,K$2,0)),0,VLOOKUP('Project Details by Yr - MASTER'!$B187,'Public Grounds'!$A$11:$N$49,K$2,0))+IF(ISNA(VLOOKUP('Project Details by Yr - MASTER'!$B187,'Public Buildings'!$A$10:$N$96,K$2,0)),0,VLOOKUP('Project Details by Yr - MASTER'!$B187,'Public Buildings'!$A$10:$N$96,K$2,0))+IF(ISNA(VLOOKUP('Project Details by Yr - MASTER'!$B187,Bridges!$A$9:$N$24,K$2,0)),0,VLOOKUP('Project Details by Yr - MASTER'!$B187,Bridges!$A$9:$N$24,K$2,0))+IF(ISNA(VLOOKUP('Project Details by Yr - MASTER'!$B187,'Parking Lots &amp; Playgrounds'!$A$9:$N$33,K$2,0)),0,VLOOKUP('Project Details by Yr - MASTER'!$B187,'Parking Lots &amp; Playgrounds'!$A$9:$N$33,K$2,0))+IF(ISNA(VLOOKUP($B187,Vehicles!$B$9:$O$50,K$2,0)),0,VLOOKUP($B187,Vehicles!$B$9:$O$50,K$2,0))</f>
        <v>0</v>
      </c>
    </row>
    <row r="188" spans="2:11" x14ac:dyDescent="0.25">
      <c r="B188" t="s">
        <v>99</v>
      </c>
      <c r="C188" t="s">
        <v>48</v>
      </c>
      <c r="D188" t="s">
        <v>271</v>
      </c>
      <c r="E188" s="1" t="s">
        <v>19</v>
      </c>
      <c r="G188" s="8">
        <f>IF(ISNA(VLOOKUP($B188,'Other Capital Needs'!$C$51:$P$95,G$2,0)),0,VLOOKUP($B188,'Other Capital Needs'!$C$51:$P$95,G$2,0))+IF(ISNA(VLOOKUP('Project Details by Yr - MASTER'!$B188,'Public Grounds'!$A$11:$N$49,G$2,0)),0,VLOOKUP('Project Details by Yr - MASTER'!$B188,'Public Grounds'!$A$11:$N$49,G$2,0))+IF(ISNA(VLOOKUP('Project Details by Yr - MASTER'!$B188,'Public Buildings'!$A$10:$N$96,G$2,0)),0,VLOOKUP('Project Details by Yr - MASTER'!$B188,'Public Buildings'!$A$10:$N$96,G$2,0))+IF(ISNA(VLOOKUP('Project Details by Yr - MASTER'!$B188,Bridges!$A$9:$N$24,G$2,0)),0,VLOOKUP('Project Details by Yr - MASTER'!$B188,Bridges!$A$9:$N$24,G$2,0))+IF(ISNA(VLOOKUP('Project Details by Yr - MASTER'!$B188,'Parking Lots &amp; Playgrounds'!$A$9:$N$33,G$2,0)),0,VLOOKUP('Project Details by Yr - MASTER'!$B188,'Parking Lots &amp; Playgrounds'!$A$9:$N$33,G$2,0))+IF(ISNA(VLOOKUP($B188,Vehicles!$B$9:$O$50,G$2,0)),0,VLOOKUP($B188,Vehicles!$B$9:$O$50,G$2,0))</f>
        <v>0</v>
      </c>
      <c r="H188" s="8">
        <f>IF(ISNA(VLOOKUP($B188,'Other Capital Needs'!$C$51:$P$95,H$2,0)),0,VLOOKUP($B188,'Other Capital Needs'!$C$51:$P$95,H$2,0))+IF(ISNA(VLOOKUP('Project Details by Yr - MASTER'!$B188,'Public Grounds'!$A$11:$N$49,H$2,0)),0,VLOOKUP('Project Details by Yr - MASTER'!$B188,'Public Grounds'!$A$11:$N$49,H$2,0))+IF(ISNA(VLOOKUP('Project Details by Yr - MASTER'!$B188,'Public Buildings'!$A$10:$N$96,H$2,0)),0,VLOOKUP('Project Details by Yr - MASTER'!$B188,'Public Buildings'!$A$10:$N$96,H$2,0))+IF(ISNA(VLOOKUP('Project Details by Yr - MASTER'!$B188,Bridges!$A$9:$N$24,H$2,0)),0,VLOOKUP('Project Details by Yr - MASTER'!$B188,Bridges!$A$9:$N$24,H$2,0))+IF(ISNA(VLOOKUP('Project Details by Yr - MASTER'!$B188,'Parking Lots &amp; Playgrounds'!$A$9:$N$33,H$2,0)),0,VLOOKUP('Project Details by Yr - MASTER'!$B188,'Parking Lots &amp; Playgrounds'!$A$9:$N$33,H$2,0))+IF(ISNA(VLOOKUP($B188,Vehicles!$B$9:$O$50,H$2,0)),0,VLOOKUP($B188,Vehicles!$B$9:$O$50,H$2,0))</f>
        <v>1000000</v>
      </c>
      <c r="I188" s="8">
        <f>IF(ISNA(VLOOKUP($B188,'Other Capital Needs'!$C$51:$P$95,I$2,0)),0,VLOOKUP($B188,'Other Capital Needs'!$C$51:$P$95,I$2,0))+IF(ISNA(VLOOKUP('Project Details by Yr - MASTER'!$B188,'Public Grounds'!$A$11:$N$49,I$2,0)),0,VLOOKUP('Project Details by Yr - MASTER'!$B188,'Public Grounds'!$A$11:$N$49,I$2,0))+IF(ISNA(VLOOKUP('Project Details by Yr - MASTER'!$B188,'Public Buildings'!$A$10:$N$96,I$2,0)),0,VLOOKUP('Project Details by Yr - MASTER'!$B188,'Public Buildings'!$A$10:$N$96,I$2,0))+IF(ISNA(VLOOKUP('Project Details by Yr - MASTER'!$B188,Bridges!$A$9:$N$24,I$2,0)),0,VLOOKUP('Project Details by Yr - MASTER'!$B188,Bridges!$A$9:$N$24,I$2,0))+IF(ISNA(VLOOKUP('Project Details by Yr - MASTER'!$B188,'Parking Lots &amp; Playgrounds'!$A$9:$N$33,I$2,0)),0,VLOOKUP('Project Details by Yr - MASTER'!$B188,'Parking Lots &amp; Playgrounds'!$A$9:$N$33,I$2,0))+IF(ISNA(VLOOKUP($B188,Vehicles!$B$9:$O$50,I$2,0)),0,VLOOKUP($B188,Vehicles!$B$9:$O$50,I$2,0))</f>
        <v>0</v>
      </c>
      <c r="J188" s="8">
        <f>IF(ISNA(VLOOKUP($B188,'Other Capital Needs'!$C$51:$P$95,J$2,0)),0,VLOOKUP($B188,'Other Capital Needs'!$C$51:$P$95,J$2,0))+IF(ISNA(VLOOKUP('Project Details by Yr - MASTER'!$B188,'Public Grounds'!$A$11:$N$49,J$2,0)),0,VLOOKUP('Project Details by Yr - MASTER'!$B188,'Public Grounds'!$A$11:$N$49,J$2,0))+IF(ISNA(VLOOKUP('Project Details by Yr - MASTER'!$B188,'Public Buildings'!$A$10:$N$96,J$2,0)),0,VLOOKUP('Project Details by Yr - MASTER'!$B188,'Public Buildings'!$A$10:$N$96,J$2,0))+IF(ISNA(VLOOKUP('Project Details by Yr - MASTER'!$B188,Bridges!$A$9:$N$24,J$2,0)),0,VLOOKUP('Project Details by Yr - MASTER'!$B188,Bridges!$A$9:$N$24,J$2,0))+IF(ISNA(VLOOKUP('Project Details by Yr - MASTER'!$B188,'Parking Lots &amp; Playgrounds'!$A$9:$N$33,J$2,0)),0,VLOOKUP('Project Details by Yr - MASTER'!$B188,'Parking Lots &amp; Playgrounds'!$A$9:$N$33,J$2,0))+IF(ISNA(VLOOKUP($B188,Vehicles!$B$9:$O$50,J$2,0)),0,VLOOKUP($B188,Vehicles!$B$9:$O$50,J$2,0))</f>
        <v>0</v>
      </c>
      <c r="K188" s="8">
        <f>IF(ISNA(VLOOKUP($B188,'Other Capital Needs'!$C$51:$P$95,K$2,0)),0,VLOOKUP($B188,'Other Capital Needs'!$C$51:$P$95,K$2,0))+IF(ISNA(VLOOKUP('Project Details by Yr - MASTER'!$B188,'Public Grounds'!$A$11:$N$49,K$2,0)),0,VLOOKUP('Project Details by Yr - MASTER'!$B188,'Public Grounds'!$A$11:$N$49,K$2,0))+IF(ISNA(VLOOKUP('Project Details by Yr - MASTER'!$B188,'Public Buildings'!$A$10:$N$96,K$2,0)),0,VLOOKUP('Project Details by Yr - MASTER'!$B188,'Public Buildings'!$A$10:$N$96,K$2,0))+IF(ISNA(VLOOKUP('Project Details by Yr - MASTER'!$B188,Bridges!$A$9:$N$24,K$2,0)),0,VLOOKUP('Project Details by Yr - MASTER'!$B188,Bridges!$A$9:$N$24,K$2,0))+IF(ISNA(VLOOKUP('Project Details by Yr - MASTER'!$B188,'Parking Lots &amp; Playgrounds'!$A$9:$N$33,K$2,0)),0,VLOOKUP('Project Details by Yr - MASTER'!$B188,'Parking Lots &amp; Playgrounds'!$A$9:$N$33,K$2,0))+IF(ISNA(VLOOKUP($B188,Vehicles!$B$9:$O$50,K$2,0)),0,VLOOKUP($B188,Vehicles!$B$9:$O$50,K$2,0))</f>
        <v>0</v>
      </c>
    </row>
    <row r="189" spans="2:11" x14ac:dyDescent="0.25">
      <c r="B189" t="s">
        <v>79</v>
      </c>
      <c r="C189" t="s">
        <v>48</v>
      </c>
      <c r="D189" t="s">
        <v>271</v>
      </c>
      <c r="E189" s="1" t="s">
        <v>19</v>
      </c>
      <c r="G189" s="8">
        <f>IF(ISNA(VLOOKUP($B189,'Other Capital Needs'!$C$51:$P$95,G$2,0)),0,VLOOKUP($B189,'Other Capital Needs'!$C$51:$P$95,G$2,0))+IF(ISNA(VLOOKUP('Project Details by Yr - MASTER'!$B189,'Public Grounds'!$A$11:$N$49,G$2,0)),0,VLOOKUP('Project Details by Yr - MASTER'!$B189,'Public Grounds'!$A$11:$N$49,G$2,0))+IF(ISNA(VLOOKUP('Project Details by Yr - MASTER'!$B189,'Public Buildings'!$A$10:$N$96,G$2,0)),0,VLOOKUP('Project Details by Yr - MASTER'!$B189,'Public Buildings'!$A$10:$N$96,G$2,0))+IF(ISNA(VLOOKUP('Project Details by Yr - MASTER'!$B189,Bridges!$A$9:$N$24,G$2,0)),0,VLOOKUP('Project Details by Yr - MASTER'!$B189,Bridges!$A$9:$N$24,G$2,0))+IF(ISNA(VLOOKUP('Project Details by Yr - MASTER'!$B189,'Parking Lots &amp; Playgrounds'!$A$9:$N$33,G$2,0)),0,VLOOKUP('Project Details by Yr - MASTER'!$B189,'Parking Lots &amp; Playgrounds'!$A$9:$N$33,G$2,0))+IF(ISNA(VLOOKUP($B189,Vehicles!$B$9:$O$50,G$2,0)),0,VLOOKUP($B189,Vehicles!$B$9:$O$50,G$2,0))</f>
        <v>0</v>
      </c>
      <c r="H189" s="8">
        <f>IF(ISNA(VLOOKUP($B189,'Other Capital Needs'!$C$51:$P$95,H$2,0)),0,VLOOKUP($B189,'Other Capital Needs'!$C$51:$P$95,H$2,0))+IF(ISNA(VLOOKUP('Project Details by Yr - MASTER'!$B189,'Public Grounds'!$A$11:$N$49,H$2,0)),0,VLOOKUP('Project Details by Yr - MASTER'!$B189,'Public Grounds'!$A$11:$N$49,H$2,0))+IF(ISNA(VLOOKUP('Project Details by Yr - MASTER'!$B189,'Public Buildings'!$A$10:$N$96,H$2,0)),0,VLOOKUP('Project Details by Yr - MASTER'!$B189,'Public Buildings'!$A$10:$N$96,H$2,0))+IF(ISNA(VLOOKUP('Project Details by Yr - MASTER'!$B189,Bridges!$A$9:$N$24,H$2,0)),0,VLOOKUP('Project Details by Yr - MASTER'!$B189,Bridges!$A$9:$N$24,H$2,0))+IF(ISNA(VLOOKUP('Project Details by Yr - MASTER'!$B189,'Parking Lots &amp; Playgrounds'!$A$9:$N$33,H$2,0)),0,VLOOKUP('Project Details by Yr - MASTER'!$B189,'Parking Lots &amp; Playgrounds'!$A$9:$N$33,H$2,0))+IF(ISNA(VLOOKUP($B189,Vehicles!$B$9:$O$50,H$2,0)),0,VLOOKUP($B189,Vehicles!$B$9:$O$50,H$2,0))</f>
        <v>0</v>
      </c>
      <c r="I189" s="8">
        <f>IF(ISNA(VLOOKUP($B189,'Other Capital Needs'!$C$51:$P$95,I$2,0)),0,VLOOKUP($B189,'Other Capital Needs'!$C$51:$P$95,I$2,0))+IF(ISNA(VLOOKUP('Project Details by Yr - MASTER'!$B189,'Public Grounds'!$A$11:$N$49,I$2,0)),0,VLOOKUP('Project Details by Yr - MASTER'!$B189,'Public Grounds'!$A$11:$N$49,I$2,0))+IF(ISNA(VLOOKUP('Project Details by Yr - MASTER'!$B189,'Public Buildings'!$A$10:$N$96,I$2,0)),0,VLOOKUP('Project Details by Yr - MASTER'!$B189,'Public Buildings'!$A$10:$N$96,I$2,0))+IF(ISNA(VLOOKUP('Project Details by Yr - MASTER'!$B189,Bridges!$A$9:$N$24,I$2,0)),0,VLOOKUP('Project Details by Yr - MASTER'!$B189,Bridges!$A$9:$N$24,I$2,0))+IF(ISNA(VLOOKUP('Project Details by Yr - MASTER'!$B189,'Parking Lots &amp; Playgrounds'!$A$9:$N$33,I$2,0)),0,VLOOKUP('Project Details by Yr - MASTER'!$B189,'Parking Lots &amp; Playgrounds'!$A$9:$N$33,I$2,0))+IF(ISNA(VLOOKUP($B189,Vehicles!$B$9:$O$50,I$2,0)),0,VLOOKUP($B189,Vehicles!$B$9:$O$50,I$2,0))</f>
        <v>0</v>
      </c>
      <c r="J189" s="8">
        <f>IF(ISNA(VLOOKUP($B189,'Other Capital Needs'!$C$51:$P$95,J$2,0)),0,VLOOKUP($B189,'Other Capital Needs'!$C$51:$P$95,J$2,0))+IF(ISNA(VLOOKUP('Project Details by Yr - MASTER'!$B189,'Public Grounds'!$A$11:$N$49,J$2,0)),0,VLOOKUP('Project Details by Yr - MASTER'!$B189,'Public Grounds'!$A$11:$N$49,J$2,0))+IF(ISNA(VLOOKUP('Project Details by Yr - MASTER'!$B189,'Public Buildings'!$A$10:$N$96,J$2,0)),0,VLOOKUP('Project Details by Yr - MASTER'!$B189,'Public Buildings'!$A$10:$N$96,J$2,0))+IF(ISNA(VLOOKUP('Project Details by Yr - MASTER'!$B189,Bridges!$A$9:$N$24,J$2,0)),0,VLOOKUP('Project Details by Yr - MASTER'!$B189,Bridges!$A$9:$N$24,J$2,0))+IF(ISNA(VLOOKUP('Project Details by Yr - MASTER'!$B189,'Parking Lots &amp; Playgrounds'!$A$9:$N$33,J$2,0)),0,VLOOKUP('Project Details by Yr - MASTER'!$B189,'Parking Lots &amp; Playgrounds'!$A$9:$N$33,J$2,0))+IF(ISNA(VLOOKUP($B189,Vehicles!$B$9:$O$50,J$2,0)),0,VLOOKUP($B189,Vehicles!$B$9:$O$50,J$2,0))</f>
        <v>0</v>
      </c>
      <c r="K189" s="8">
        <f>IF(ISNA(VLOOKUP($B189,'Other Capital Needs'!$C$51:$P$95,K$2,0)),0,VLOOKUP($B189,'Other Capital Needs'!$C$51:$P$95,K$2,0))+IF(ISNA(VLOOKUP('Project Details by Yr - MASTER'!$B189,'Public Grounds'!$A$11:$N$49,K$2,0)),0,VLOOKUP('Project Details by Yr - MASTER'!$B189,'Public Grounds'!$A$11:$N$49,K$2,0))+IF(ISNA(VLOOKUP('Project Details by Yr - MASTER'!$B189,'Public Buildings'!$A$10:$N$96,K$2,0)),0,VLOOKUP('Project Details by Yr - MASTER'!$B189,'Public Buildings'!$A$10:$N$96,K$2,0))+IF(ISNA(VLOOKUP('Project Details by Yr - MASTER'!$B189,Bridges!$A$9:$N$24,K$2,0)),0,VLOOKUP('Project Details by Yr - MASTER'!$B189,Bridges!$A$9:$N$24,K$2,0))+IF(ISNA(VLOOKUP('Project Details by Yr - MASTER'!$B189,'Parking Lots &amp; Playgrounds'!$A$9:$N$33,K$2,0)),0,VLOOKUP('Project Details by Yr - MASTER'!$B189,'Parking Lots &amp; Playgrounds'!$A$9:$N$33,K$2,0))+IF(ISNA(VLOOKUP($B189,Vehicles!$B$9:$O$50,K$2,0)),0,VLOOKUP($B189,Vehicles!$B$9:$O$50,K$2,0))</f>
        <v>0</v>
      </c>
    </row>
    <row r="190" spans="2:11" x14ac:dyDescent="0.25">
      <c r="B190" t="s">
        <v>78</v>
      </c>
      <c r="C190" t="s">
        <v>48</v>
      </c>
      <c r="D190" t="s">
        <v>271</v>
      </c>
      <c r="E190" s="1" t="s">
        <v>19</v>
      </c>
      <c r="G190" s="8">
        <f>IF(ISNA(VLOOKUP($B190,'Other Capital Needs'!$C$51:$P$95,G$2,0)),0,VLOOKUP($B190,'Other Capital Needs'!$C$51:$P$95,G$2,0))+IF(ISNA(VLOOKUP('Project Details by Yr - MASTER'!$B190,'Public Grounds'!$A$11:$N$49,G$2,0)),0,VLOOKUP('Project Details by Yr - MASTER'!$B190,'Public Grounds'!$A$11:$N$49,G$2,0))+IF(ISNA(VLOOKUP('Project Details by Yr - MASTER'!$B190,'Public Buildings'!$A$10:$N$96,G$2,0)),0,VLOOKUP('Project Details by Yr - MASTER'!$B190,'Public Buildings'!$A$10:$N$96,G$2,0))+IF(ISNA(VLOOKUP('Project Details by Yr - MASTER'!$B190,Bridges!$A$9:$N$24,G$2,0)),0,VLOOKUP('Project Details by Yr - MASTER'!$B190,Bridges!$A$9:$N$24,G$2,0))+IF(ISNA(VLOOKUP('Project Details by Yr - MASTER'!$B190,'Parking Lots &amp; Playgrounds'!$A$9:$N$33,G$2,0)),0,VLOOKUP('Project Details by Yr - MASTER'!$B190,'Parking Lots &amp; Playgrounds'!$A$9:$N$33,G$2,0))+IF(ISNA(VLOOKUP($B190,Vehicles!$B$9:$O$50,G$2,0)),0,VLOOKUP($B190,Vehicles!$B$9:$O$50,G$2,0))</f>
        <v>0</v>
      </c>
      <c r="H190" s="8">
        <f>IF(ISNA(VLOOKUP($B190,'Other Capital Needs'!$C$51:$P$95,H$2,0)),0,VLOOKUP($B190,'Other Capital Needs'!$C$51:$P$95,H$2,0))+IF(ISNA(VLOOKUP('Project Details by Yr - MASTER'!$B190,'Public Grounds'!$A$11:$N$49,H$2,0)),0,VLOOKUP('Project Details by Yr - MASTER'!$B190,'Public Grounds'!$A$11:$N$49,H$2,0))+IF(ISNA(VLOOKUP('Project Details by Yr - MASTER'!$B190,'Public Buildings'!$A$10:$N$96,H$2,0)),0,VLOOKUP('Project Details by Yr - MASTER'!$B190,'Public Buildings'!$A$10:$N$96,H$2,0))+IF(ISNA(VLOOKUP('Project Details by Yr - MASTER'!$B190,Bridges!$A$9:$N$24,H$2,0)),0,VLOOKUP('Project Details by Yr - MASTER'!$B190,Bridges!$A$9:$N$24,H$2,0))+IF(ISNA(VLOOKUP('Project Details by Yr - MASTER'!$B190,'Parking Lots &amp; Playgrounds'!$A$9:$N$33,H$2,0)),0,VLOOKUP('Project Details by Yr - MASTER'!$B190,'Parking Lots &amp; Playgrounds'!$A$9:$N$33,H$2,0))+IF(ISNA(VLOOKUP($B190,Vehicles!$B$9:$O$50,H$2,0)),0,VLOOKUP($B190,Vehicles!$B$9:$O$50,H$2,0))</f>
        <v>0</v>
      </c>
      <c r="I190" s="8">
        <f>IF(ISNA(VLOOKUP($B190,'Other Capital Needs'!$C$51:$P$95,I$2,0)),0,VLOOKUP($B190,'Other Capital Needs'!$C$51:$P$95,I$2,0))+IF(ISNA(VLOOKUP('Project Details by Yr - MASTER'!$B190,'Public Grounds'!$A$11:$N$49,I$2,0)),0,VLOOKUP('Project Details by Yr - MASTER'!$B190,'Public Grounds'!$A$11:$N$49,I$2,0))+IF(ISNA(VLOOKUP('Project Details by Yr - MASTER'!$B190,'Public Buildings'!$A$10:$N$96,I$2,0)),0,VLOOKUP('Project Details by Yr - MASTER'!$B190,'Public Buildings'!$A$10:$N$96,I$2,0))+IF(ISNA(VLOOKUP('Project Details by Yr - MASTER'!$B190,Bridges!$A$9:$N$24,I$2,0)),0,VLOOKUP('Project Details by Yr - MASTER'!$B190,Bridges!$A$9:$N$24,I$2,0))+IF(ISNA(VLOOKUP('Project Details by Yr - MASTER'!$B190,'Parking Lots &amp; Playgrounds'!$A$9:$N$33,I$2,0)),0,VLOOKUP('Project Details by Yr - MASTER'!$B190,'Parking Lots &amp; Playgrounds'!$A$9:$N$33,I$2,0))+IF(ISNA(VLOOKUP($B190,Vehicles!$B$9:$O$50,I$2,0)),0,VLOOKUP($B190,Vehicles!$B$9:$O$50,I$2,0))</f>
        <v>0</v>
      </c>
      <c r="J190" s="8">
        <f>IF(ISNA(VLOOKUP($B190,'Other Capital Needs'!$C$51:$P$95,J$2,0)),0,VLOOKUP($B190,'Other Capital Needs'!$C$51:$P$95,J$2,0))+IF(ISNA(VLOOKUP('Project Details by Yr - MASTER'!$B190,'Public Grounds'!$A$11:$N$49,J$2,0)),0,VLOOKUP('Project Details by Yr - MASTER'!$B190,'Public Grounds'!$A$11:$N$49,J$2,0))+IF(ISNA(VLOOKUP('Project Details by Yr - MASTER'!$B190,'Public Buildings'!$A$10:$N$96,J$2,0)),0,VLOOKUP('Project Details by Yr - MASTER'!$B190,'Public Buildings'!$A$10:$N$96,J$2,0))+IF(ISNA(VLOOKUP('Project Details by Yr - MASTER'!$B190,Bridges!$A$9:$N$24,J$2,0)),0,VLOOKUP('Project Details by Yr - MASTER'!$B190,Bridges!$A$9:$N$24,J$2,0))+IF(ISNA(VLOOKUP('Project Details by Yr - MASTER'!$B190,'Parking Lots &amp; Playgrounds'!$A$9:$N$33,J$2,0)),0,VLOOKUP('Project Details by Yr - MASTER'!$B190,'Parking Lots &amp; Playgrounds'!$A$9:$N$33,J$2,0))+IF(ISNA(VLOOKUP($B190,Vehicles!$B$9:$O$50,J$2,0)),0,VLOOKUP($B190,Vehicles!$B$9:$O$50,J$2,0))</f>
        <v>0</v>
      </c>
      <c r="K190" s="8">
        <f>IF(ISNA(VLOOKUP($B190,'Other Capital Needs'!$C$51:$P$95,K$2,0)),0,VLOOKUP($B190,'Other Capital Needs'!$C$51:$P$95,K$2,0))+IF(ISNA(VLOOKUP('Project Details by Yr - MASTER'!$B190,'Public Grounds'!$A$11:$N$49,K$2,0)),0,VLOOKUP('Project Details by Yr - MASTER'!$B190,'Public Grounds'!$A$11:$N$49,K$2,0))+IF(ISNA(VLOOKUP('Project Details by Yr - MASTER'!$B190,'Public Buildings'!$A$10:$N$96,K$2,0)),0,VLOOKUP('Project Details by Yr - MASTER'!$B190,'Public Buildings'!$A$10:$N$96,K$2,0))+IF(ISNA(VLOOKUP('Project Details by Yr - MASTER'!$B190,Bridges!$A$9:$N$24,K$2,0)),0,VLOOKUP('Project Details by Yr - MASTER'!$B190,Bridges!$A$9:$N$24,K$2,0))+IF(ISNA(VLOOKUP('Project Details by Yr - MASTER'!$B190,'Parking Lots &amp; Playgrounds'!$A$9:$N$33,K$2,0)),0,VLOOKUP('Project Details by Yr - MASTER'!$B190,'Parking Lots &amp; Playgrounds'!$A$9:$N$33,K$2,0))+IF(ISNA(VLOOKUP($B190,Vehicles!$B$9:$O$50,K$2,0)),0,VLOOKUP($B190,Vehicles!$B$9:$O$50,K$2,0))</f>
        <v>0</v>
      </c>
    </row>
    <row r="191" spans="2:11" x14ac:dyDescent="0.25">
      <c r="B191" t="s">
        <v>205</v>
      </c>
      <c r="C191" t="s">
        <v>48</v>
      </c>
      <c r="D191" t="s">
        <v>271</v>
      </c>
      <c r="E191" s="1" t="s">
        <v>16</v>
      </c>
      <c r="G191" s="8">
        <f>IF(ISNA(VLOOKUP($B191,'Other Capital Needs'!$C$51:$P$95,G$2,0)),0,VLOOKUP($B191,'Other Capital Needs'!$C$51:$P$95,G$2,0))+IF(ISNA(VLOOKUP('Project Details by Yr - MASTER'!$B191,'Public Grounds'!$A$11:$N$49,G$2,0)),0,VLOOKUP('Project Details by Yr - MASTER'!$B191,'Public Grounds'!$A$11:$N$49,G$2,0))+IF(ISNA(VLOOKUP('Project Details by Yr - MASTER'!$B191,'Public Buildings'!$A$10:$N$96,G$2,0)),0,VLOOKUP('Project Details by Yr - MASTER'!$B191,'Public Buildings'!$A$10:$N$96,G$2,0))+IF(ISNA(VLOOKUP('Project Details by Yr - MASTER'!$B191,Bridges!$A$9:$N$24,G$2,0)),0,VLOOKUP('Project Details by Yr - MASTER'!$B191,Bridges!$A$9:$N$24,G$2,0))+IF(ISNA(VLOOKUP('Project Details by Yr - MASTER'!$B191,'Parking Lots &amp; Playgrounds'!$A$9:$N$33,G$2,0)),0,VLOOKUP('Project Details by Yr - MASTER'!$B191,'Parking Lots &amp; Playgrounds'!$A$9:$N$33,G$2,0))+IF(ISNA(VLOOKUP($B191,Vehicles!$B$9:$O$50,G$2,0)),0,VLOOKUP($B191,Vehicles!$B$9:$O$50,G$2,0))</f>
        <v>0</v>
      </c>
      <c r="H191" s="8">
        <f>IF(ISNA(VLOOKUP($B191,'Other Capital Needs'!$C$51:$P$95,H$2,0)),0,VLOOKUP($B191,'Other Capital Needs'!$C$51:$P$95,H$2,0))+IF(ISNA(VLOOKUP('Project Details by Yr - MASTER'!$B191,'Public Grounds'!$A$11:$N$49,H$2,0)),0,VLOOKUP('Project Details by Yr - MASTER'!$B191,'Public Grounds'!$A$11:$N$49,H$2,0))+IF(ISNA(VLOOKUP('Project Details by Yr - MASTER'!$B191,'Public Buildings'!$A$10:$N$96,H$2,0)),0,VLOOKUP('Project Details by Yr - MASTER'!$B191,'Public Buildings'!$A$10:$N$96,H$2,0))+IF(ISNA(VLOOKUP('Project Details by Yr - MASTER'!$B191,Bridges!$A$9:$N$24,H$2,0)),0,VLOOKUP('Project Details by Yr - MASTER'!$B191,Bridges!$A$9:$N$24,H$2,0))+IF(ISNA(VLOOKUP('Project Details by Yr - MASTER'!$B191,'Parking Lots &amp; Playgrounds'!$A$9:$N$33,H$2,0)),0,VLOOKUP('Project Details by Yr - MASTER'!$B191,'Parking Lots &amp; Playgrounds'!$A$9:$N$33,H$2,0))+IF(ISNA(VLOOKUP($B191,Vehicles!$B$9:$O$50,H$2,0)),0,VLOOKUP($B191,Vehicles!$B$9:$O$50,H$2,0))</f>
        <v>500000</v>
      </c>
      <c r="I191" s="8">
        <f>IF(ISNA(VLOOKUP($B191,'Other Capital Needs'!$C$51:$P$95,I$2,0)),0,VLOOKUP($B191,'Other Capital Needs'!$C$51:$P$95,I$2,0))+IF(ISNA(VLOOKUP('Project Details by Yr - MASTER'!$B191,'Public Grounds'!$A$11:$N$49,I$2,0)),0,VLOOKUP('Project Details by Yr - MASTER'!$B191,'Public Grounds'!$A$11:$N$49,I$2,0))+IF(ISNA(VLOOKUP('Project Details by Yr - MASTER'!$B191,'Public Buildings'!$A$10:$N$96,I$2,0)),0,VLOOKUP('Project Details by Yr - MASTER'!$B191,'Public Buildings'!$A$10:$N$96,I$2,0))+IF(ISNA(VLOOKUP('Project Details by Yr - MASTER'!$B191,Bridges!$A$9:$N$24,I$2,0)),0,VLOOKUP('Project Details by Yr - MASTER'!$B191,Bridges!$A$9:$N$24,I$2,0))+IF(ISNA(VLOOKUP('Project Details by Yr - MASTER'!$B191,'Parking Lots &amp; Playgrounds'!$A$9:$N$33,I$2,0)),0,VLOOKUP('Project Details by Yr - MASTER'!$B191,'Parking Lots &amp; Playgrounds'!$A$9:$N$33,I$2,0))+IF(ISNA(VLOOKUP($B191,Vehicles!$B$9:$O$50,I$2,0)),0,VLOOKUP($B191,Vehicles!$B$9:$O$50,I$2,0))</f>
        <v>500000</v>
      </c>
      <c r="J191" s="8">
        <f>IF(ISNA(VLOOKUP($B191,'Other Capital Needs'!$C$51:$P$95,J$2,0)),0,VLOOKUP($B191,'Other Capital Needs'!$C$51:$P$95,J$2,0))+IF(ISNA(VLOOKUP('Project Details by Yr - MASTER'!$B191,'Public Grounds'!$A$11:$N$49,J$2,0)),0,VLOOKUP('Project Details by Yr - MASTER'!$B191,'Public Grounds'!$A$11:$N$49,J$2,0))+IF(ISNA(VLOOKUP('Project Details by Yr - MASTER'!$B191,'Public Buildings'!$A$10:$N$96,J$2,0)),0,VLOOKUP('Project Details by Yr - MASTER'!$B191,'Public Buildings'!$A$10:$N$96,J$2,0))+IF(ISNA(VLOOKUP('Project Details by Yr - MASTER'!$B191,Bridges!$A$9:$N$24,J$2,0)),0,VLOOKUP('Project Details by Yr - MASTER'!$B191,Bridges!$A$9:$N$24,J$2,0))+IF(ISNA(VLOOKUP('Project Details by Yr - MASTER'!$B191,'Parking Lots &amp; Playgrounds'!$A$9:$N$33,J$2,0)),0,VLOOKUP('Project Details by Yr - MASTER'!$B191,'Parking Lots &amp; Playgrounds'!$A$9:$N$33,J$2,0))+IF(ISNA(VLOOKUP($B191,Vehicles!$B$9:$O$50,J$2,0)),0,VLOOKUP($B191,Vehicles!$B$9:$O$50,J$2,0))</f>
        <v>250000</v>
      </c>
      <c r="K191" s="8">
        <f>IF(ISNA(VLOOKUP($B191,'Other Capital Needs'!$C$51:$P$95,K$2,0)),0,VLOOKUP($B191,'Other Capital Needs'!$C$51:$P$95,K$2,0))+IF(ISNA(VLOOKUP('Project Details by Yr - MASTER'!$B191,'Public Grounds'!$A$11:$N$49,K$2,0)),0,VLOOKUP('Project Details by Yr - MASTER'!$B191,'Public Grounds'!$A$11:$N$49,K$2,0))+IF(ISNA(VLOOKUP('Project Details by Yr - MASTER'!$B191,'Public Buildings'!$A$10:$N$96,K$2,0)),0,VLOOKUP('Project Details by Yr - MASTER'!$B191,'Public Buildings'!$A$10:$N$96,K$2,0))+IF(ISNA(VLOOKUP('Project Details by Yr - MASTER'!$B191,Bridges!$A$9:$N$24,K$2,0)),0,VLOOKUP('Project Details by Yr - MASTER'!$B191,Bridges!$A$9:$N$24,K$2,0))+IF(ISNA(VLOOKUP('Project Details by Yr - MASTER'!$B191,'Parking Lots &amp; Playgrounds'!$A$9:$N$33,K$2,0)),0,VLOOKUP('Project Details by Yr - MASTER'!$B191,'Parking Lots &amp; Playgrounds'!$A$9:$N$33,K$2,0))+IF(ISNA(VLOOKUP($B191,Vehicles!$B$9:$O$50,K$2,0)),0,VLOOKUP($B191,Vehicles!$B$9:$O$50,K$2,0))</f>
        <v>250000</v>
      </c>
    </row>
    <row r="192" spans="2:11" x14ac:dyDescent="0.25">
      <c r="E192" s="1"/>
      <c r="G192" s="8"/>
      <c r="H192" s="8"/>
      <c r="I192" s="8"/>
      <c r="J192" s="8"/>
      <c r="K192" s="8"/>
    </row>
    <row r="193" spans="1:11" ht="15.75" thickBot="1" x14ac:dyDescent="0.3">
      <c r="G193" s="36">
        <f>SUM(G5:G192)</f>
        <v>5931628</v>
      </c>
      <c r="H193" s="36">
        <f>SUM(H5:H192)</f>
        <v>6996921</v>
      </c>
      <c r="I193" s="36">
        <f>SUM(I5:I192)</f>
        <v>6921116</v>
      </c>
      <c r="J193" s="36">
        <f>SUM(J5:J192)</f>
        <v>8664024</v>
      </c>
      <c r="K193" s="36">
        <f>SUM(K5:K192)</f>
        <v>6361771</v>
      </c>
    </row>
    <row r="194" spans="1:11" ht="15.75" thickTop="1" x14ac:dyDescent="0.25">
      <c r="G194" s="35" t="e">
        <f>G193-Summary!E96</f>
        <v>#REF!</v>
      </c>
      <c r="H194" s="35" t="e">
        <f>H193-Summary!F96</f>
        <v>#REF!</v>
      </c>
      <c r="I194" s="35" t="e">
        <f>I193-Summary!G96</f>
        <v>#REF!</v>
      </c>
      <c r="J194" s="35" t="e">
        <f>J193-Summary!H96</f>
        <v>#REF!</v>
      </c>
      <c r="K194" s="35" t="e">
        <f>K193-Summary!I96</f>
        <v>#REF!</v>
      </c>
    </row>
    <row r="196" spans="1:11" x14ac:dyDescent="0.25">
      <c r="B196" s="5" t="s">
        <v>276</v>
      </c>
    </row>
    <row r="197" spans="1:11" x14ac:dyDescent="0.25">
      <c r="A197" s="32">
        <v>44</v>
      </c>
      <c r="B197" s="22" t="s">
        <v>251</v>
      </c>
      <c r="C197" s="22" t="s">
        <v>101</v>
      </c>
      <c r="D197" s="22" t="s">
        <v>271</v>
      </c>
      <c r="E197" s="32" t="s">
        <v>278</v>
      </c>
      <c r="F197" s="26"/>
      <c r="G197" s="38"/>
      <c r="H197" s="38"/>
      <c r="I197" s="38"/>
      <c r="J197" s="38"/>
      <c r="K197" s="38"/>
    </row>
    <row r="198" spans="1:11" x14ac:dyDescent="0.25">
      <c r="A198" s="32" t="s">
        <v>242</v>
      </c>
      <c r="B198" s="22" t="s">
        <v>111</v>
      </c>
      <c r="C198" s="22" t="s">
        <v>101</v>
      </c>
      <c r="D198" s="22" t="s">
        <v>271</v>
      </c>
      <c r="E198" s="32" t="s">
        <v>278</v>
      </c>
      <c r="F198" s="26"/>
      <c r="G198" s="38"/>
      <c r="H198" s="38"/>
      <c r="I198" s="38"/>
      <c r="J198" s="38"/>
      <c r="K198" s="38"/>
    </row>
    <row r="199" spans="1:11" x14ac:dyDescent="0.25">
      <c r="A199" s="32">
        <v>38</v>
      </c>
      <c r="B199" s="22" t="s">
        <v>181</v>
      </c>
      <c r="C199" s="22" t="s">
        <v>101</v>
      </c>
      <c r="D199" s="22" t="s">
        <v>271</v>
      </c>
      <c r="E199" s="32" t="s">
        <v>278</v>
      </c>
      <c r="F199" s="26"/>
      <c r="G199" s="38"/>
      <c r="H199" s="38"/>
      <c r="I199" s="38"/>
      <c r="J199" s="38"/>
      <c r="K199" s="38"/>
    </row>
    <row r="200" spans="1:11" x14ac:dyDescent="0.25">
      <c r="A200" s="32">
        <v>32</v>
      </c>
      <c r="B200" s="22" t="s">
        <v>277</v>
      </c>
      <c r="C200" s="22" t="s">
        <v>101</v>
      </c>
      <c r="D200" s="22" t="s">
        <v>271</v>
      </c>
      <c r="E200" s="32" t="s">
        <v>278</v>
      </c>
      <c r="F200" s="26"/>
      <c r="G200" s="38"/>
      <c r="H200" s="38"/>
      <c r="I200" s="38"/>
      <c r="J200" s="38"/>
      <c r="K200" s="38"/>
    </row>
    <row r="201" spans="1:11" x14ac:dyDescent="0.25">
      <c r="A201" s="32" t="s">
        <v>242</v>
      </c>
      <c r="B201" s="22" t="s">
        <v>147</v>
      </c>
      <c r="C201" s="22" t="s">
        <v>101</v>
      </c>
      <c r="D201" s="22" t="s">
        <v>271</v>
      </c>
      <c r="E201" s="32" t="s">
        <v>278</v>
      </c>
      <c r="F201" s="26"/>
      <c r="G201" s="38"/>
      <c r="H201" s="38"/>
      <c r="I201" s="38"/>
      <c r="J201" s="38"/>
      <c r="K201" s="38"/>
    </row>
  </sheetData>
  <customSheetViews>
    <customSheetView guid="{BB410D8C-36DE-400F-AB69-DB51CF9CA663}" state="hidden">
      <selection activeCell="E131" sqref="E131"/>
      <pageMargins left="0.7" right="0.7" top="0.75" bottom="0.75" header="0.3" footer="0.3"/>
      <pageSetup orientation="portrait" verticalDpi="0" r:id="rId1"/>
    </customSheetView>
  </customSheetView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B482"/>
  <sheetViews>
    <sheetView showGridLines="0" tabSelected="1" zoomScale="120" zoomScaleNormal="120" workbookViewId="0">
      <pane xSplit="9" ySplit="9" topLeftCell="J10" activePane="bottomRight" state="frozen"/>
      <selection activeCell="L10" sqref="L10"/>
      <selection pane="topRight" activeCell="L10" sqref="L10"/>
      <selection pane="bottomLeft" activeCell="L10" sqref="L10"/>
      <selection pane="bottomRight" activeCell="J10" sqref="J10"/>
    </sheetView>
  </sheetViews>
  <sheetFormatPr defaultColWidth="9.140625" defaultRowHeight="15" outlineLevelRow="1" outlineLevelCol="2" x14ac:dyDescent="0.25"/>
  <cols>
    <col min="1" max="1" width="9.140625" style="114" hidden="1" customWidth="1" outlineLevel="1"/>
    <col min="2" max="2" width="35.5703125" style="11" hidden="1" customWidth="1" outlineLevel="1"/>
    <col min="3" max="3" width="8.7109375" style="114" customWidth="1" collapsed="1"/>
    <col min="4" max="4" width="22.42578125" style="11" bestFit="1" customWidth="1"/>
    <col min="5" max="5" width="2.7109375" style="114" customWidth="1"/>
    <col min="6" max="6" width="54.85546875" style="197" customWidth="1"/>
    <col min="7" max="7" width="13.7109375" style="11" bestFit="1" customWidth="1"/>
    <col min="8" max="9" width="16" style="11" hidden="1" customWidth="1" outlineLevel="2"/>
    <col min="10" max="10" width="2.7109375" style="114" customWidth="1" collapsed="1"/>
    <col min="11" max="11" width="12.7109375" style="114" customWidth="1"/>
    <col min="12" max="12" width="12.7109375" style="164" customWidth="1"/>
    <col min="13" max="13" width="12.7109375" style="114" customWidth="1"/>
    <col min="14" max="14" width="3.7109375" style="164" customWidth="1"/>
    <col min="15" max="15" width="12.7109375" style="114" customWidth="1"/>
    <col min="16" max="16" width="13.85546875" style="114" customWidth="1"/>
    <col min="17" max="20" width="12.7109375" style="114" customWidth="1"/>
    <col min="21" max="25" width="12.7109375" style="114" hidden="1" customWidth="1" outlineLevel="1"/>
    <col min="26" max="26" width="9.140625" style="114" collapsed="1"/>
    <col min="27" max="16384" width="9.140625" style="114"/>
  </cols>
  <sheetData>
    <row r="1" spans="1:25" ht="18.75" x14ac:dyDescent="0.25">
      <c r="C1" s="205" t="s">
        <v>62</v>
      </c>
      <c r="D1" s="206"/>
      <c r="E1" s="207"/>
      <c r="F1" s="198"/>
      <c r="G1" s="206"/>
      <c r="H1" s="206"/>
      <c r="I1" s="206"/>
      <c r="J1" s="207"/>
      <c r="K1" s="208"/>
      <c r="L1" s="209"/>
      <c r="M1" s="209"/>
      <c r="N1" s="209"/>
      <c r="O1" s="209"/>
      <c r="P1" s="209"/>
      <c r="Q1" s="209"/>
      <c r="R1" s="209"/>
      <c r="S1" s="209"/>
      <c r="T1" s="209"/>
      <c r="U1" s="209"/>
      <c r="V1" s="209"/>
      <c r="W1" s="209"/>
      <c r="X1" s="209"/>
      <c r="Y1" s="209"/>
    </row>
    <row r="2" spans="1:25" ht="18.75" x14ac:dyDescent="0.25">
      <c r="C2" s="205" t="s">
        <v>1115</v>
      </c>
      <c r="D2" s="206"/>
      <c r="E2" s="207"/>
      <c r="F2" s="198"/>
      <c r="G2" s="206"/>
      <c r="H2" s="206"/>
      <c r="I2" s="206"/>
      <c r="J2" s="207"/>
      <c r="K2" s="130"/>
      <c r="L2" s="209"/>
      <c r="M2" s="209"/>
      <c r="N2" s="209"/>
      <c r="O2" s="208"/>
      <c r="P2" s="209"/>
      <c r="Q2" s="209"/>
      <c r="R2" s="209"/>
      <c r="S2" s="209"/>
      <c r="T2" s="209"/>
      <c r="U2" s="209"/>
      <c r="V2" s="209"/>
      <c r="W2" s="209"/>
      <c r="X2" s="209"/>
      <c r="Y2" s="209"/>
    </row>
    <row r="3" spans="1:25" ht="18.75" x14ac:dyDescent="0.25">
      <c r="C3" s="205" t="s">
        <v>1114</v>
      </c>
      <c r="D3" s="206"/>
      <c r="E3" s="207"/>
      <c r="F3" s="198"/>
      <c r="G3" s="206"/>
      <c r="H3" s="206"/>
      <c r="I3" s="206"/>
      <c r="J3" s="207"/>
      <c r="K3" s="210"/>
      <c r="L3" s="211"/>
      <c r="M3" s="210"/>
      <c r="N3" s="211"/>
      <c r="O3" s="210"/>
      <c r="P3" s="207"/>
      <c r="Q3" s="207"/>
      <c r="R3" s="207"/>
      <c r="S3" s="207"/>
      <c r="T3" s="207"/>
      <c r="U3" s="207"/>
      <c r="V3" s="207"/>
      <c r="W3" s="207"/>
      <c r="X3" s="207"/>
      <c r="Y3" s="207"/>
    </row>
    <row r="4" spans="1:25" ht="18.75" x14ac:dyDescent="0.25">
      <c r="C4" s="212" t="s">
        <v>478</v>
      </c>
      <c r="D4" s="206"/>
      <c r="E4" s="207"/>
      <c r="F4" s="198"/>
      <c r="G4" s="206"/>
      <c r="H4" s="206"/>
      <c r="I4" s="206"/>
      <c r="J4" s="207"/>
      <c r="K4" s="207"/>
      <c r="L4" s="207"/>
      <c r="M4" s="207"/>
      <c r="N4" s="207"/>
      <c r="O4" s="207"/>
      <c r="P4" s="207"/>
      <c r="Q4" s="207"/>
      <c r="R4" s="207"/>
      <c r="S4" s="207"/>
      <c r="T4" s="207"/>
      <c r="U4" s="207"/>
      <c r="V4" s="207"/>
      <c r="W4" s="207"/>
      <c r="X4" s="207"/>
      <c r="Y4" s="207"/>
    </row>
    <row r="5" spans="1:25" ht="18.75" x14ac:dyDescent="0.25">
      <c r="C5" s="212"/>
      <c r="D5" s="206"/>
      <c r="E5" s="207"/>
      <c r="F5" s="198"/>
      <c r="G5" s="206"/>
      <c r="H5" s="206"/>
      <c r="I5" s="206"/>
      <c r="J5" s="207"/>
      <c r="K5" s="207"/>
      <c r="L5" s="207"/>
      <c r="M5" s="207"/>
      <c r="N5" s="207"/>
      <c r="O5" s="207"/>
      <c r="P5" s="207"/>
      <c r="Q5" s="207"/>
      <c r="R5" s="207"/>
      <c r="S5" s="207"/>
      <c r="T5" s="207"/>
      <c r="U5" s="207"/>
      <c r="V5" s="207"/>
      <c r="W5" s="207"/>
      <c r="X5" s="207"/>
      <c r="Y5" s="207"/>
    </row>
    <row r="6" spans="1:25" ht="18.75" x14ac:dyDescent="0.25">
      <c r="C6" s="212"/>
      <c r="D6" s="206"/>
      <c r="E6" s="207"/>
      <c r="F6" s="198"/>
      <c r="G6" s="206"/>
      <c r="H6" s="206"/>
      <c r="I6" s="206"/>
      <c r="J6" s="207"/>
      <c r="K6" s="207"/>
      <c r="L6" s="207"/>
      <c r="M6" s="207"/>
      <c r="N6" s="207"/>
      <c r="O6" s="207"/>
      <c r="P6" s="207"/>
      <c r="Q6" s="207"/>
      <c r="R6" s="207"/>
      <c r="S6" s="207"/>
      <c r="T6" s="207"/>
      <c r="U6" s="207"/>
      <c r="V6" s="207"/>
      <c r="W6" s="207"/>
      <c r="X6" s="207"/>
      <c r="Y6" s="207"/>
    </row>
    <row r="7" spans="1:25" ht="18.75" x14ac:dyDescent="0.25">
      <c r="C7" s="207"/>
      <c r="D7" s="206"/>
      <c r="E7" s="207"/>
      <c r="F7" s="198"/>
      <c r="G7" s="206"/>
      <c r="J7" s="207"/>
      <c r="K7" s="207"/>
      <c r="L7" s="207"/>
      <c r="M7" s="207"/>
      <c r="N7" s="207"/>
      <c r="O7" s="207"/>
      <c r="P7" s="207"/>
      <c r="Q7" s="207"/>
      <c r="R7" s="207"/>
      <c r="S7" s="207"/>
      <c r="T7" s="207"/>
      <c r="U7" s="207"/>
      <c r="V7" s="207"/>
      <c r="W7" s="207"/>
      <c r="X7" s="207"/>
      <c r="Y7" s="207"/>
    </row>
    <row r="8" spans="1:25" ht="18.75" x14ac:dyDescent="0.25">
      <c r="B8" s="165" t="s">
        <v>433</v>
      </c>
      <c r="C8" s="213" t="s">
        <v>502</v>
      </c>
      <c r="D8" s="213" t="s">
        <v>206</v>
      </c>
      <c r="E8" s="207"/>
      <c r="F8" s="199" t="s">
        <v>434</v>
      </c>
      <c r="G8" s="213" t="s">
        <v>270</v>
      </c>
      <c r="H8" s="214" t="s">
        <v>530</v>
      </c>
      <c r="I8" s="214" t="s">
        <v>536</v>
      </c>
      <c r="J8" s="207"/>
      <c r="K8" s="213" t="s">
        <v>2</v>
      </c>
      <c r="L8" s="213" t="s">
        <v>3</v>
      </c>
      <c r="M8" s="213" t="s">
        <v>4</v>
      </c>
      <c r="N8" s="215"/>
      <c r="O8" s="213" t="s">
        <v>5</v>
      </c>
      <c r="P8" s="213" t="s">
        <v>6</v>
      </c>
      <c r="Q8" s="213" t="s">
        <v>7</v>
      </c>
      <c r="R8" s="213" t="s">
        <v>8</v>
      </c>
      <c r="S8" s="213" t="s">
        <v>9</v>
      </c>
      <c r="T8" s="213" t="s">
        <v>1111</v>
      </c>
      <c r="U8" s="213" t="s">
        <v>10</v>
      </c>
      <c r="V8" s="213" t="s">
        <v>11</v>
      </c>
      <c r="W8" s="213" t="s">
        <v>45</v>
      </c>
      <c r="X8" s="213" t="s">
        <v>622</v>
      </c>
      <c r="Y8" s="213" t="s">
        <v>868</v>
      </c>
    </row>
    <row r="9" spans="1:25" outlineLevel="1" x14ac:dyDescent="0.25">
      <c r="C9" s="11"/>
      <c r="K9" s="115"/>
      <c r="L9" s="115"/>
      <c r="M9" s="115"/>
      <c r="N9" s="172"/>
      <c r="O9" s="115"/>
      <c r="P9" s="115"/>
      <c r="Q9" s="115"/>
      <c r="R9" s="115"/>
      <c r="S9" s="115"/>
      <c r="T9" s="115"/>
      <c r="U9" s="115"/>
      <c r="V9" s="115"/>
    </row>
    <row r="10" spans="1:25" ht="30" outlineLevel="1" x14ac:dyDescent="0.25">
      <c r="A10" s="114" t="str">
        <f t="shared" ref="A10:A16" si="0">B10&amp;D10&amp;F10&amp;G10</f>
        <v>Community DevelopmentEconomic DevelopmentPurchase/Remediate 861 Farmington Ave &amp; Rail Spur propertyGrants</v>
      </c>
      <c r="B10" s="11" t="s">
        <v>316</v>
      </c>
      <c r="C10" s="11">
        <v>17</v>
      </c>
      <c r="D10" s="11" t="s">
        <v>440</v>
      </c>
      <c r="F10" s="197" t="s">
        <v>441</v>
      </c>
      <c r="G10" s="11" t="s">
        <v>38</v>
      </c>
      <c r="H10" s="11" t="s">
        <v>531</v>
      </c>
      <c r="K10" s="169"/>
      <c r="L10" s="169">
        <v>537000</v>
      </c>
      <c r="M10" s="169"/>
      <c r="N10" s="172"/>
      <c r="O10" s="169"/>
      <c r="P10" s="169"/>
      <c r="Q10" s="169"/>
      <c r="R10" s="169"/>
      <c r="S10" s="169"/>
      <c r="T10" s="169">
        <f>SUM(U10:Y10)</f>
        <v>0</v>
      </c>
      <c r="U10" s="169"/>
      <c r="V10" s="169"/>
      <c r="W10" s="124"/>
      <c r="X10" s="124"/>
      <c r="Y10" s="124"/>
    </row>
    <row r="11" spans="1:25" outlineLevel="1" x14ac:dyDescent="0.25">
      <c r="A11" s="114" t="str">
        <f t="shared" si="0"/>
        <v>Community DevelopmentEconomic Development889 Remediation (EPA/CRCOG Grant)Grants</v>
      </c>
      <c r="B11" s="11" t="s">
        <v>316</v>
      </c>
      <c r="C11" s="11">
        <v>17</v>
      </c>
      <c r="D11" s="11" t="s">
        <v>440</v>
      </c>
      <c r="F11" s="231" t="s">
        <v>813</v>
      </c>
      <c r="G11" s="11" t="s">
        <v>38</v>
      </c>
      <c r="H11" s="11" t="s">
        <v>531</v>
      </c>
      <c r="K11" s="169"/>
      <c r="L11" s="169"/>
      <c r="M11" s="169">
        <v>200000</v>
      </c>
      <c r="N11" s="172"/>
      <c r="O11" s="169"/>
      <c r="P11" s="169"/>
      <c r="Q11" s="169"/>
      <c r="R11" s="169"/>
      <c r="S11" s="169"/>
      <c r="T11" s="169">
        <f t="shared" ref="T11:T17" si="1">SUM(U11:Y11)</f>
        <v>0</v>
      </c>
      <c r="U11" s="169"/>
      <c r="V11" s="169"/>
      <c r="W11" s="124"/>
      <c r="X11" s="124"/>
      <c r="Y11" s="124"/>
    </row>
    <row r="12" spans="1:25" outlineLevel="1" x14ac:dyDescent="0.25">
      <c r="A12" s="114" t="str">
        <f t="shared" si="0"/>
        <v>Community DevelopmentEconomic Development889 Remediation (EPA/CRCOG Grant)Capital</v>
      </c>
      <c r="B12" s="11" t="s">
        <v>316</v>
      </c>
      <c r="C12" s="11">
        <v>17</v>
      </c>
      <c r="D12" s="11" t="s">
        <v>440</v>
      </c>
      <c r="F12" s="231" t="s">
        <v>813</v>
      </c>
      <c r="G12" s="11" t="s">
        <v>533</v>
      </c>
      <c r="H12" s="11" t="s">
        <v>531</v>
      </c>
      <c r="K12" s="169"/>
      <c r="L12" s="169">
        <v>100000</v>
      </c>
      <c r="M12" s="169"/>
      <c r="N12" s="172"/>
      <c r="O12" s="169"/>
      <c r="P12" s="169"/>
      <c r="Q12" s="169"/>
      <c r="R12" s="169"/>
      <c r="S12" s="169"/>
      <c r="T12" s="169">
        <f t="shared" si="1"/>
        <v>0</v>
      </c>
      <c r="U12" s="169"/>
      <c r="V12" s="169"/>
      <c r="W12" s="124"/>
      <c r="X12" s="124"/>
      <c r="Y12" s="124"/>
    </row>
    <row r="13" spans="1:25" ht="30" outlineLevel="1" x14ac:dyDescent="0.25">
      <c r="A13" s="114" t="str">
        <f t="shared" si="0"/>
        <v>Community DevelopmentEconomic Development889 Remediation (Regional &amp; Municipal Brownfields Grants)Grants</v>
      </c>
      <c r="B13" s="11" t="s">
        <v>316</v>
      </c>
      <c r="C13" s="11">
        <v>17</v>
      </c>
      <c r="D13" s="11" t="s">
        <v>440</v>
      </c>
      <c r="F13" s="231" t="s">
        <v>812</v>
      </c>
      <c r="G13" s="11" t="s">
        <v>38</v>
      </c>
      <c r="H13" s="11" t="s">
        <v>531</v>
      </c>
      <c r="K13" s="169"/>
      <c r="L13" s="169"/>
      <c r="M13" s="169">
        <v>985967</v>
      </c>
      <c r="N13" s="172"/>
      <c r="O13" s="169"/>
      <c r="P13" s="169"/>
      <c r="Q13" s="169"/>
      <c r="R13" s="169"/>
      <c r="S13" s="169"/>
      <c r="T13" s="169">
        <f t="shared" si="1"/>
        <v>0</v>
      </c>
      <c r="U13" s="169"/>
      <c r="V13" s="169"/>
      <c r="W13" s="124"/>
      <c r="X13" s="124"/>
      <c r="Y13" s="124"/>
    </row>
    <row r="14" spans="1:25" outlineLevel="1" x14ac:dyDescent="0.25">
      <c r="A14" s="114" t="str">
        <f t="shared" si="0"/>
        <v>Community DevelopmentEconomic DevelopmentPistol Creek Trail ImprovementsGrants</v>
      </c>
      <c r="B14" s="11" t="s">
        <v>316</v>
      </c>
      <c r="C14" s="11">
        <v>17</v>
      </c>
      <c r="D14" s="11" t="s">
        <v>440</v>
      </c>
      <c r="F14" s="197" t="s">
        <v>532</v>
      </c>
      <c r="G14" s="11" t="s">
        <v>38</v>
      </c>
      <c r="H14" s="11" t="s">
        <v>531</v>
      </c>
      <c r="K14" s="169"/>
      <c r="L14" s="169">
        <v>125580</v>
      </c>
      <c r="M14" s="169"/>
      <c r="N14" s="172"/>
      <c r="O14" s="169"/>
      <c r="P14" s="169"/>
      <c r="Q14" s="169"/>
      <c r="R14" s="169"/>
      <c r="S14" s="169"/>
      <c r="T14" s="169">
        <f t="shared" si="1"/>
        <v>0</v>
      </c>
      <c r="U14" s="169"/>
      <c r="V14" s="169"/>
      <c r="W14" s="124"/>
      <c r="X14" s="124"/>
      <c r="Y14" s="124"/>
    </row>
    <row r="15" spans="1:25" outlineLevel="1" x14ac:dyDescent="0.25">
      <c r="A15" s="114" t="str">
        <f t="shared" si="0"/>
        <v>Community DevelopmentEconomic DevelopmentPistol Creek Trail ImprovementsCapital</v>
      </c>
      <c r="B15" s="11" t="s">
        <v>316</v>
      </c>
      <c r="C15" s="11">
        <v>17</v>
      </c>
      <c r="D15" s="11" t="s">
        <v>440</v>
      </c>
      <c r="F15" s="197" t="s">
        <v>532</v>
      </c>
      <c r="G15" s="11" t="s">
        <v>533</v>
      </c>
      <c r="H15" s="11" t="s">
        <v>531</v>
      </c>
      <c r="K15" s="169"/>
      <c r="L15" s="169">
        <v>31395</v>
      </c>
      <c r="M15" s="169"/>
      <c r="N15" s="172"/>
      <c r="O15" s="169"/>
      <c r="P15" s="169"/>
      <c r="Q15" s="169"/>
      <c r="R15" s="169"/>
      <c r="S15" s="169"/>
      <c r="T15" s="169">
        <f t="shared" si="1"/>
        <v>0</v>
      </c>
      <c r="U15" s="169"/>
      <c r="V15" s="169"/>
      <c r="W15" s="124"/>
      <c r="X15" s="124"/>
      <c r="Y15" s="124"/>
    </row>
    <row r="16" spans="1:25" outlineLevel="1" x14ac:dyDescent="0.25">
      <c r="A16" s="114" t="str">
        <f t="shared" si="0"/>
        <v>Community DevelopmentEconomic DevelopmentBoulevard to Train Station (STEAP Grant)Grants</v>
      </c>
      <c r="B16" s="11" t="s">
        <v>316</v>
      </c>
      <c r="C16" s="11">
        <v>17</v>
      </c>
      <c r="D16" s="11" t="s">
        <v>440</v>
      </c>
      <c r="F16" s="231" t="s">
        <v>814</v>
      </c>
      <c r="G16" s="11" t="s">
        <v>38</v>
      </c>
      <c r="H16" s="11" t="s">
        <v>531</v>
      </c>
      <c r="K16" s="169"/>
      <c r="L16" s="169"/>
      <c r="M16" s="169">
        <v>500000</v>
      </c>
      <c r="N16" s="172"/>
      <c r="O16" s="169"/>
      <c r="P16" s="169"/>
      <c r="Q16" s="169"/>
      <c r="R16" s="169"/>
      <c r="S16" s="169"/>
      <c r="T16" s="169">
        <f t="shared" si="1"/>
        <v>0</v>
      </c>
      <c r="U16" s="169"/>
      <c r="V16" s="169"/>
      <c r="W16" s="124"/>
      <c r="X16" s="124"/>
      <c r="Y16" s="124"/>
    </row>
    <row r="17" spans="1:25" outlineLevel="1" x14ac:dyDescent="0.25">
      <c r="A17" s="114" t="str">
        <f t="shared" ref="A17" si="2">B17&amp;D17&amp;F17&amp;G17</f>
        <v>Community DevelopmentEconomic DevelopmentBoulevard to Train Station (supplement STEAP grant)GF</v>
      </c>
      <c r="B17" s="11" t="s">
        <v>316</v>
      </c>
      <c r="C17" s="11">
        <v>17</v>
      </c>
      <c r="D17" s="11" t="s">
        <v>440</v>
      </c>
      <c r="F17" s="272" t="s">
        <v>890</v>
      </c>
      <c r="G17" s="11" t="s">
        <v>16</v>
      </c>
      <c r="H17" s="11" t="s">
        <v>531</v>
      </c>
      <c r="K17" s="169"/>
      <c r="L17" s="169"/>
      <c r="M17" s="169"/>
      <c r="N17" s="172"/>
      <c r="O17" s="169">
        <v>0</v>
      </c>
      <c r="P17" s="169"/>
      <c r="Q17" s="169"/>
      <c r="R17" s="169"/>
      <c r="S17" s="169"/>
      <c r="T17" s="169">
        <f t="shared" si="1"/>
        <v>0</v>
      </c>
      <c r="U17" s="169"/>
      <c r="V17" s="169"/>
      <c r="W17" s="124"/>
      <c r="X17" s="124"/>
      <c r="Y17" s="124"/>
    </row>
    <row r="18" spans="1:25" ht="15.75" outlineLevel="1" thickBot="1" x14ac:dyDescent="0.3">
      <c r="C18" s="11"/>
      <c r="K18" s="168">
        <f>SUM(K10:K17)</f>
        <v>0</v>
      </c>
      <c r="L18" s="168">
        <f>SUM(L10:L17)</f>
        <v>793975</v>
      </c>
      <c r="M18" s="168">
        <f>SUM(M10:M17)</f>
        <v>1685967</v>
      </c>
      <c r="N18" s="171"/>
      <c r="O18" s="168">
        <f t="shared" ref="O18:Y18" si="3">SUM(O10:O17)</f>
        <v>0</v>
      </c>
      <c r="P18" s="168">
        <f t="shared" si="3"/>
        <v>0</v>
      </c>
      <c r="Q18" s="168">
        <f t="shared" si="3"/>
        <v>0</v>
      </c>
      <c r="R18" s="168">
        <f t="shared" si="3"/>
        <v>0</v>
      </c>
      <c r="S18" s="168">
        <f t="shared" si="3"/>
        <v>0</v>
      </c>
      <c r="T18" s="168">
        <f t="shared" si="3"/>
        <v>0</v>
      </c>
      <c r="U18" s="168">
        <f t="shared" si="3"/>
        <v>0</v>
      </c>
      <c r="V18" s="168">
        <f t="shared" si="3"/>
        <v>0</v>
      </c>
      <c r="W18" s="168">
        <f t="shared" si="3"/>
        <v>0</v>
      </c>
      <c r="X18" s="168">
        <f t="shared" si="3"/>
        <v>0</v>
      </c>
      <c r="Y18" s="168">
        <f t="shared" si="3"/>
        <v>0</v>
      </c>
    </row>
    <row r="19" spans="1:25" ht="15.75" outlineLevel="1" thickTop="1" x14ac:dyDescent="0.25">
      <c r="C19" s="11"/>
      <c r="K19" s="169"/>
      <c r="L19" s="169"/>
      <c r="M19" s="169"/>
      <c r="N19" s="172"/>
      <c r="O19" s="169"/>
      <c r="P19" s="169"/>
      <c r="Q19" s="169"/>
      <c r="R19" s="169"/>
      <c r="S19" s="169"/>
      <c r="T19" s="169"/>
      <c r="U19" s="169"/>
      <c r="V19" s="169"/>
      <c r="W19" s="124"/>
      <c r="X19" s="124"/>
      <c r="Y19" s="124"/>
    </row>
    <row r="20" spans="1:25" ht="30" outlineLevel="1" x14ac:dyDescent="0.25">
      <c r="A20" s="114" t="str">
        <f t="shared" ref="A20:A38" si="4">B20&amp;D20&amp;F20&amp;G20</f>
        <v>Public SafetyFire DepartmentOff Road UTV - purchase in FY18 with remaining fire vehicle bond proceedsBond - E</v>
      </c>
      <c r="B20" s="11" t="s">
        <v>315</v>
      </c>
      <c r="C20" s="11">
        <v>31</v>
      </c>
      <c r="D20" s="11" t="s">
        <v>248</v>
      </c>
      <c r="F20" s="197" t="s">
        <v>543</v>
      </c>
      <c r="G20" s="11" t="s">
        <v>243</v>
      </c>
      <c r="H20" s="11" t="s">
        <v>531</v>
      </c>
      <c r="K20" s="169"/>
      <c r="L20" s="169">
        <v>32000</v>
      </c>
      <c r="M20" s="169"/>
      <c r="N20" s="172"/>
      <c r="O20" s="169"/>
      <c r="P20" s="169"/>
      <c r="Q20" s="169"/>
      <c r="R20" s="169"/>
      <c r="S20" s="169"/>
      <c r="T20" s="169">
        <f t="shared" ref="T20:T38" si="5">SUM(U20:Y20)</f>
        <v>0</v>
      </c>
      <c r="U20" s="169"/>
      <c r="V20" s="169"/>
      <c r="W20" s="124"/>
      <c r="X20" s="124"/>
      <c r="Y20" s="124"/>
    </row>
    <row r="21" spans="1:25" ht="30" outlineLevel="1" x14ac:dyDescent="0.25">
      <c r="A21" s="114" t="str">
        <f t="shared" si="4"/>
        <v>Public SafetyFire DepartmentInterstate Stabilization System - purchase in FY18 with remaining fire vehicle bond proceedsBond - E</v>
      </c>
      <c r="B21" s="11" t="s">
        <v>315</v>
      </c>
      <c r="C21" s="11">
        <v>31</v>
      </c>
      <c r="D21" s="11" t="s">
        <v>248</v>
      </c>
      <c r="F21" s="197" t="s">
        <v>544</v>
      </c>
      <c r="G21" s="11" t="s">
        <v>243</v>
      </c>
      <c r="H21" s="11" t="s">
        <v>531</v>
      </c>
      <c r="K21" s="169"/>
      <c r="L21" s="169">
        <v>29000</v>
      </c>
      <c r="M21" s="169"/>
      <c r="N21" s="172"/>
      <c r="O21" s="169"/>
      <c r="P21" s="169"/>
      <c r="Q21" s="169"/>
      <c r="R21" s="169"/>
      <c r="S21" s="169"/>
      <c r="T21" s="169">
        <f t="shared" si="5"/>
        <v>0</v>
      </c>
      <c r="U21" s="169"/>
      <c r="V21" s="169"/>
      <c r="W21" s="124"/>
      <c r="X21" s="124"/>
      <c r="Y21" s="124"/>
    </row>
    <row r="22" spans="1:25" ht="30" outlineLevel="1" x14ac:dyDescent="0.25">
      <c r="A22" s="114" t="str">
        <f t="shared" si="4"/>
        <v>Public SafetyFire DepartmentBoat &amp; Motor - purchase in FY18 with remaining fire vehicle bond proceedsBond - E</v>
      </c>
      <c r="B22" s="11" t="s">
        <v>315</v>
      </c>
      <c r="C22" s="11">
        <v>31</v>
      </c>
      <c r="D22" s="11" t="s">
        <v>248</v>
      </c>
      <c r="F22" s="197" t="s">
        <v>621</v>
      </c>
      <c r="G22" s="11" t="s">
        <v>243</v>
      </c>
      <c r="H22" s="11" t="s">
        <v>531</v>
      </c>
      <c r="K22" s="169"/>
      <c r="L22" s="169">
        <v>15000</v>
      </c>
      <c r="M22" s="169"/>
      <c r="N22" s="172"/>
      <c r="O22" s="169"/>
      <c r="P22" s="169"/>
      <c r="Q22" s="169"/>
      <c r="R22" s="169"/>
      <c r="S22" s="169"/>
      <c r="T22" s="169">
        <f t="shared" si="5"/>
        <v>0</v>
      </c>
      <c r="U22" s="169"/>
      <c r="V22" s="169"/>
      <c r="W22" s="124"/>
      <c r="X22" s="124"/>
      <c r="Y22" s="124"/>
    </row>
    <row r="23" spans="1:25" outlineLevel="1" x14ac:dyDescent="0.25">
      <c r="A23" s="114" t="str">
        <f t="shared" ref="A23" si="6">B23&amp;D23&amp;F23&amp;G23</f>
        <v>Public SafetyFire DepartmentSquad UnitsBond</v>
      </c>
      <c r="B23" s="11" t="s">
        <v>315</v>
      </c>
      <c r="C23" s="11">
        <v>31</v>
      </c>
      <c r="D23" s="11" t="s">
        <v>248</v>
      </c>
      <c r="F23" s="197" t="s">
        <v>623</v>
      </c>
      <c r="G23" s="11" t="s">
        <v>19</v>
      </c>
      <c r="H23" s="11" t="s">
        <v>531</v>
      </c>
      <c r="I23" s="123" t="s">
        <v>538</v>
      </c>
      <c r="K23" s="169"/>
      <c r="L23" s="169"/>
      <c r="M23" s="169"/>
      <c r="N23" s="172"/>
      <c r="O23" s="169"/>
      <c r="P23" s="169"/>
      <c r="Q23" s="169"/>
      <c r="R23" s="169"/>
      <c r="S23" s="169"/>
      <c r="T23" s="169">
        <f t="shared" si="5"/>
        <v>0</v>
      </c>
      <c r="U23" s="169"/>
      <c r="V23" s="169"/>
      <c r="W23" s="124"/>
      <c r="X23" s="124"/>
      <c r="Y23" s="124"/>
    </row>
    <row r="24" spans="1:25" outlineLevel="1" x14ac:dyDescent="0.25">
      <c r="A24" s="114" t="str">
        <f t="shared" si="4"/>
        <v>Public SafetyFire DepartmentEngine/TankerBond</v>
      </c>
      <c r="B24" s="11" t="s">
        <v>315</v>
      </c>
      <c r="C24" s="11">
        <v>31</v>
      </c>
      <c r="D24" s="11" t="s">
        <v>248</v>
      </c>
      <c r="F24" s="197" t="s">
        <v>624</v>
      </c>
      <c r="G24" s="11" t="s">
        <v>19</v>
      </c>
      <c r="H24" s="11" t="s">
        <v>531</v>
      </c>
      <c r="I24" s="123" t="s">
        <v>625</v>
      </c>
      <c r="K24" s="169"/>
      <c r="L24" s="169"/>
      <c r="M24" s="169"/>
      <c r="N24" s="172"/>
      <c r="O24" s="169"/>
      <c r="P24" s="169">
        <v>400000</v>
      </c>
      <c r="Q24" s="169">
        <v>400000</v>
      </c>
      <c r="R24" s="169">
        <f>800000</f>
        <v>800000</v>
      </c>
      <c r="S24" s="169"/>
      <c r="T24" s="169">
        <f t="shared" si="5"/>
        <v>0</v>
      </c>
      <c r="U24" s="169"/>
      <c r="V24" s="169"/>
      <c r="W24" s="169"/>
      <c r="X24" s="169"/>
      <c r="Y24" s="169"/>
    </row>
    <row r="25" spans="1:25" outlineLevel="1" x14ac:dyDescent="0.25">
      <c r="A25" s="114" t="str">
        <f t="shared" ref="A25" si="7">B25&amp;D25&amp;F25&amp;G25</f>
        <v>Public SafetyFire DepartmentPumpersBond</v>
      </c>
      <c r="B25" s="11" t="s">
        <v>315</v>
      </c>
      <c r="C25" s="11">
        <v>31</v>
      </c>
      <c r="D25" s="11" t="s">
        <v>248</v>
      </c>
      <c r="F25" s="197" t="s">
        <v>626</v>
      </c>
      <c r="G25" s="11" t="s">
        <v>19</v>
      </c>
      <c r="H25" s="11" t="s">
        <v>531</v>
      </c>
      <c r="I25" s="123" t="s">
        <v>538</v>
      </c>
      <c r="K25" s="169"/>
      <c r="L25" s="169"/>
      <c r="M25" s="169"/>
      <c r="N25" s="172"/>
      <c r="O25" s="169">
        <v>400000</v>
      </c>
      <c r="P25" s="169">
        <v>800000</v>
      </c>
      <c r="Q25" s="169">
        <v>400000</v>
      </c>
      <c r="R25" s="169"/>
      <c r="S25" s="169"/>
      <c r="T25" s="169">
        <f t="shared" si="5"/>
        <v>1600000</v>
      </c>
      <c r="U25" s="169"/>
      <c r="V25" s="169"/>
      <c r="W25" s="169">
        <v>800000</v>
      </c>
      <c r="X25" s="169">
        <v>800000</v>
      </c>
      <c r="Y25" s="169"/>
    </row>
    <row r="26" spans="1:25" outlineLevel="1" x14ac:dyDescent="0.25">
      <c r="A26" s="114" t="str">
        <f t="shared" si="4"/>
        <v>Public SafetyFire DepartmentSpecialty UnitsBond</v>
      </c>
      <c r="B26" s="11" t="s">
        <v>315</v>
      </c>
      <c r="C26" s="11">
        <v>31</v>
      </c>
      <c r="D26" s="11" t="s">
        <v>248</v>
      </c>
      <c r="F26" s="197" t="s">
        <v>470</v>
      </c>
      <c r="G26" s="11" t="s">
        <v>19</v>
      </c>
      <c r="H26" s="11" t="s">
        <v>531</v>
      </c>
      <c r="I26" s="123" t="s">
        <v>538</v>
      </c>
      <c r="K26" s="169"/>
      <c r="L26" s="169"/>
      <c r="M26" s="169"/>
      <c r="N26" s="172"/>
      <c r="O26" s="169"/>
      <c r="P26" s="169"/>
      <c r="Q26" s="169"/>
      <c r="R26" s="169"/>
      <c r="S26" s="169"/>
      <c r="T26" s="169">
        <f t="shared" si="5"/>
        <v>0</v>
      </c>
      <c r="U26" s="169"/>
      <c r="V26" s="169"/>
      <c r="W26" s="169"/>
      <c r="X26" s="169"/>
      <c r="Y26" s="169"/>
    </row>
    <row r="27" spans="1:25" outlineLevel="1" x14ac:dyDescent="0.25">
      <c r="A27" s="114" t="str">
        <f t="shared" ref="A27" si="8">B27&amp;D27&amp;F27&amp;G27</f>
        <v>Public SafetyFire DepartmentRescue TrucksBond</v>
      </c>
      <c r="B27" s="11" t="s">
        <v>315</v>
      </c>
      <c r="C27" s="11">
        <v>31</v>
      </c>
      <c r="D27" s="11" t="s">
        <v>248</v>
      </c>
      <c r="F27" s="197" t="s">
        <v>627</v>
      </c>
      <c r="G27" s="11" t="s">
        <v>19</v>
      </c>
      <c r="H27" s="11" t="s">
        <v>531</v>
      </c>
      <c r="I27" s="123" t="s">
        <v>538</v>
      </c>
      <c r="K27" s="169"/>
      <c r="L27" s="169"/>
      <c r="M27" s="169"/>
      <c r="N27" s="172"/>
      <c r="O27" s="169"/>
      <c r="P27" s="169"/>
      <c r="Q27" s="169"/>
      <c r="R27" s="169"/>
      <c r="S27" s="169"/>
      <c r="T27" s="169">
        <f t="shared" si="5"/>
        <v>1000000</v>
      </c>
      <c r="U27" s="169"/>
      <c r="V27" s="169"/>
      <c r="W27" s="169">
        <v>1000000</v>
      </c>
      <c r="X27" s="169"/>
      <c r="Y27" s="169"/>
    </row>
    <row r="28" spans="1:25" outlineLevel="1" x14ac:dyDescent="0.25">
      <c r="A28" s="114" t="str">
        <f t="shared" si="4"/>
        <v>Public SafetyFire DepartmentRescue ToolsGF</v>
      </c>
      <c r="B28" s="11" t="s">
        <v>315</v>
      </c>
      <c r="C28" s="11">
        <v>31</v>
      </c>
      <c r="D28" s="11" t="s">
        <v>248</v>
      </c>
      <c r="F28" s="197" t="s">
        <v>154</v>
      </c>
      <c r="G28" s="11" t="s">
        <v>16</v>
      </c>
      <c r="H28" s="11" t="s">
        <v>531</v>
      </c>
      <c r="K28" s="169"/>
      <c r="L28" s="169"/>
      <c r="M28" s="169"/>
      <c r="N28" s="172"/>
      <c r="O28" s="169"/>
      <c r="P28" s="169">
        <f>50000*0</f>
        <v>0</v>
      </c>
      <c r="Q28" s="169">
        <v>50000</v>
      </c>
      <c r="R28" s="169"/>
      <c r="S28" s="169"/>
      <c r="T28" s="169">
        <f t="shared" si="5"/>
        <v>0</v>
      </c>
      <c r="U28" s="169"/>
      <c r="V28" s="169"/>
      <c r="W28" s="124"/>
      <c r="X28" s="124"/>
      <c r="Y28" s="124"/>
    </row>
    <row r="29" spans="1:25" outlineLevel="1" x14ac:dyDescent="0.25">
      <c r="A29" s="114" t="str">
        <f t="shared" si="4"/>
        <v>Public SafetyFire DepartmentPump simulatorGF</v>
      </c>
      <c r="B29" s="11" t="s">
        <v>315</v>
      </c>
      <c r="C29" s="11">
        <v>31</v>
      </c>
      <c r="D29" s="11" t="s">
        <v>248</v>
      </c>
      <c r="F29" s="197" t="s">
        <v>151</v>
      </c>
      <c r="G29" s="11" t="s">
        <v>16</v>
      </c>
      <c r="H29" s="11" t="s">
        <v>531</v>
      </c>
      <c r="K29" s="169"/>
      <c r="L29" s="169"/>
      <c r="M29" s="169">
        <f>85000*0</f>
        <v>0</v>
      </c>
      <c r="N29" s="172"/>
      <c r="O29" s="169"/>
      <c r="P29" s="169"/>
      <c r="Q29" s="169"/>
      <c r="R29" s="169"/>
      <c r="S29" s="169"/>
      <c r="T29" s="169">
        <f t="shared" si="5"/>
        <v>0</v>
      </c>
      <c r="U29" s="169"/>
      <c r="V29" s="169"/>
      <c r="W29" s="124"/>
      <c r="X29" s="124"/>
      <c r="Y29" s="124"/>
    </row>
    <row r="30" spans="1:25" outlineLevel="1" x14ac:dyDescent="0.25">
      <c r="A30" s="114" t="str">
        <f t="shared" si="4"/>
        <v>Public SafetyFire DepartmentFire - Complete Radio System (incl. Microwave Systems)Bond</v>
      </c>
      <c r="B30" s="11" t="s">
        <v>315</v>
      </c>
      <c r="C30" s="11">
        <v>31</v>
      </c>
      <c r="D30" s="11" t="s">
        <v>248</v>
      </c>
      <c r="F30" s="197" t="s">
        <v>311</v>
      </c>
      <c r="G30" s="11" t="s">
        <v>19</v>
      </c>
      <c r="H30" s="11" t="s">
        <v>531</v>
      </c>
      <c r="K30" s="169"/>
      <c r="L30" s="169"/>
      <c r="M30" s="169">
        <v>1200000</v>
      </c>
      <c r="N30" s="172"/>
      <c r="O30" s="169">
        <v>50000</v>
      </c>
      <c r="P30" s="169"/>
      <c r="Q30" s="169"/>
      <c r="R30" s="169"/>
      <c r="S30" s="169"/>
      <c r="T30" s="169">
        <f t="shared" si="5"/>
        <v>0</v>
      </c>
      <c r="U30" s="169"/>
      <c r="V30" s="169"/>
      <c r="W30" s="169"/>
      <c r="X30" s="169"/>
      <c r="Y30" s="169"/>
    </row>
    <row r="31" spans="1:25" outlineLevel="1" x14ac:dyDescent="0.25">
      <c r="A31" s="114" t="str">
        <f t="shared" si="4"/>
        <v>Public SafetyFire DepartmentTraining TowerGF</v>
      </c>
      <c r="B31" s="11" t="s">
        <v>315</v>
      </c>
      <c r="C31" s="11">
        <v>31</v>
      </c>
      <c r="D31" s="11" t="s">
        <v>248</v>
      </c>
      <c r="F31" s="197" t="s">
        <v>152</v>
      </c>
      <c r="G31" s="11" t="s">
        <v>16</v>
      </c>
      <c r="H31" s="11" t="s">
        <v>531</v>
      </c>
      <c r="K31" s="169"/>
      <c r="L31" s="169"/>
      <c r="M31" s="169"/>
      <c r="N31" s="172"/>
      <c r="O31" s="169"/>
      <c r="P31" s="169"/>
      <c r="Q31" s="169"/>
      <c r="R31" s="169"/>
      <c r="S31" s="169"/>
      <c r="T31" s="169">
        <f t="shared" si="5"/>
        <v>300000</v>
      </c>
      <c r="U31" s="169">
        <f>300000</f>
        <v>300000</v>
      </c>
      <c r="V31" s="169"/>
      <c r="W31" s="124"/>
      <c r="X31" s="124"/>
      <c r="Y31" s="124"/>
    </row>
    <row r="32" spans="1:25" outlineLevel="1" x14ac:dyDescent="0.25">
      <c r="A32" s="114" t="str">
        <f t="shared" si="4"/>
        <v>Public SafetyFire DepartmentStand By GeneratorsGF</v>
      </c>
      <c r="B32" s="11" t="s">
        <v>315</v>
      </c>
      <c r="C32" s="11">
        <v>31</v>
      </c>
      <c r="D32" s="11" t="s">
        <v>248</v>
      </c>
      <c r="F32" s="197" t="s">
        <v>472</v>
      </c>
      <c r="G32" s="11" t="s">
        <v>16</v>
      </c>
      <c r="H32" s="11" t="s">
        <v>531</v>
      </c>
      <c r="K32" s="169"/>
      <c r="L32" s="169"/>
      <c r="M32" s="169"/>
      <c r="N32" s="172"/>
      <c r="O32" s="169"/>
      <c r="P32" s="169"/>
      <c r="Q32" s="169"/>
      <c r="R32" s="169"/>
      <c r="S32" s="169"/>
      <c r="T32" s="169">
        <f t="shared" si="5"/>
        <v>150000</v>
      </c>
      <c r="U32" s="169"/>
      <c r="V32" s="169"/>
      <c r="W32" s="169">
        <v>75000</v>
      </c>
      <c r="X32" s="169">
        <v>75000</v>
      </c>
      <c r="Y32" s="169"/>
    </row>
    <row r="33" spans="1:25" outlineLevel="1" x14ac:dyDescent="0.25">
      <c r="A33" s="114" t="str">
        <f t="shared" si="4"/>
        <v>Public SafetyFire DepartmentCamerasGF</v>
      </c>
      <c r="B33" s="11" t="s">
        <v>315</v>
      </c>
      <c r="C33" s="11">
        <v>31</v>
      </c>
      <c r="D33" s="11" t="s">
        <v>248</v>
      </c>
      <c r="F33" s="197" t="s">
        <v>312</v>
      </c>
      <c r="G33" s="11" t="s">
        <v>16</v>
      </c>
      <c r="H33" s="11" t="s">
        <v>531</v>
      </c>
      <c r="K33" s="169"/>
      <c r="L33" s="169"/>
      <c r="M33" s="169"/>
      <c r="N33" s="172"/>
      <c r="O33" s="169"/>
      <c r="P33" s="169">
        <f>75000*0</f>
        <v>0</v>
      </c>
      <c r="Q33" s="169">
        <f>75000*0</f>
        <v>0</v>
      </c>
      <c r="R33" s="169">
        <v>75000</v>
      </c>
      <c r="S33" s="169">
        <v>75000</v>
      </c>
      <c r="T33" s="169">
        <f t="shared" si="5"/>
        <v>0</v>
      </c>
      <c r="U33" s="169"/>
      <c r="V33" s="169"/>
      <c r="W33" s="124"/>
      <c r="X33" s="124"/>
      <c r="Y33" s="124"/>
    </row>
    <row r="34" spans="1:25" outlineLevel="1" x14ac:dyDescent="0.25">
      <c r="A34" s="114" t="str">
        <f t="shared" si="4"/>
        <v>Public SafetyFire DepartmentMetersGF</v>
      </c>
      <c r="B34" s="11" t="s">
        <v>315</v>
      </c>
      <c r="C34" s="11">
        <v>31</v>
      </c>
      <c r="D34" s="11" t="s">
        <v>248</v>
      </c>
      <c r="F34" s="197" t="s">
        <v>313</v>
      </c>
      <c r="G34" s="11" t="s">
        <v>16</v>
      </c>
      <c r="H34" s="11" t="s">
        <v>531</v>
      </c>
      <c r="K34" s="169"/>
      <c r="L34" s="169"/>
      <c r="M34" s="169"/>
      <c r="N34" s="172"/>
      <c r="O34" s="169"/>
      <c r="P34" s="169"/>
      <c r="Q34" s="169"/>
      <c r="R34" s="169"/>
      <c r="S34" s="169"/>
      <c r="T34" s="169">
        <f t="shared" si="5"/>
        <v>0</v>
      </c>
      <c r="U34" s="169"/>
      <c r="V34" s="169"/>
      <c r="W34" s="124"/>
      <c r="X34" s="124"/>
      <c r="Y34" s="124"/>
    </row>
    <row r="35" spans="1:25" outlineLevel="1" x14ac:dyDescent="0.25">
      <c r="A35" s="114" t="str">
        <f t="shared" si="4"/>
        <v>Public SafetyFire DepartmentOff Road UTVGF</v>
      </c>
      <c r="B35" s="11" t="s">
        <v>315</v>
      </c>
      <c r="C35" s="11">
        <v>31</v>
      </c>
      <c r="D35" s="11" t="s">
        <v>248</v>
      </c>
      <c r="F35" s="197" t="s">
        <v>153</v>
      </c>
      <c r="G35" s="11" t="s">
        <v>16</v>
      </c>
      <c r="H35" s="11" t="s">
        <v>531</v>
      </c>
      <c r="K35" s="169"/>
      <c r="L35" s="169"/>
      <c r="M35" s="169"/>
      <c r="N35" s="172"/>
      <c r="O35" s="169"/>
      <c r="P35" s="169"/>
      <c r="Q35" s="169"/>
      <c r="R35" s="169"/>
      <c r="S35" s="169"/>
      <c r="T35" s="169">
        <f t="shared" si="5"/>
        <v>0</v>
      </c>
      <c r="U35" s="169"/>
      <c r="V35" s="169"/>
      <c r="W35" s="124"/>
      <c r="X35" s="124"/>
      <c r="Y35" s="124"/>
    </row>
    <row r="36" spans="1:25" outlineLevel="1" x14ac:dyDescent="0.25">
      <c r="A36" s="114" t="str">
        <f t="shared" si="4"/>
        <v>Public SafetyFire DepartmentUtility VehiclesGF</v>
      </c>
      <c r="B36" s="11" t="s">
        <v>315</v>
      </c>
      <c r="C36" s="11">
        <v>31</v>
      </c>
      <c r="D36" s="11" t="s">
        <v>248</v>
      </c>
      <c r="F36" s="197" t="s">
        <v>471</v>
      </c>
      <c r="G36" s="11" t="s">
        <v>16</v>
      </c>
      <c r="H36" s="11" t="s">
        <v>531</v>
      </c>
      <c r="I36" s="123" t="s">
        <v>537</v>
      </c>
      <c r="K36" s="169"/>
      <c r="L36" s="169"/>
      <c r="M36" s="169"/>
      <c r="N36" s="172"/>
      <c r="O36" s="169"/>
      <c r="P36" s="169"/>
      <c r="Q36" s="169"/>
      <c r="R36" s="169"/>
      <c r="S36" s="169"/>
      <c r="T36" s="169">
        <f t="shared" si="5"/>
        <v>240000</v>
      </c>
      <c r="U36" s="169">
        <v>80000</v>
      </c>
      <c r="V36" s="169">
        <v>80000</v>
      </c>
      <c r="W36" s="169">
        <v>80000</v>
      </c>
      <c r="X36" s="169"/>
      <c r="Y36" s="169"/>
    </row>
    <row r="37" spans="1:25" outlineLevel="1" x14ac:dyDescent="0.25">
      <c r="A37" s="114" t="str">
        <f t="shared" si="4"/>
        <v>Public SafetyFire DepartmentBrush EnginesGF</v>
      </c>
      <c r="B37" s="11" t="s">
        <v>315</v>
      </c>
      <c r="C37" s="11">
        <v>31</v>
      </c>
      <c r="D37" s="11" t="s">
        <v>248</v>
      </c>
      <c r="F37" s="197" t="s">
        <v>469</v>
      </c>
      <c r="G37" s="11" t="s">
        <v>16</v>
      </c>
      <c r="H37" s="11" t="s">
        <v>531</v>
      </c>
      <c r="I37" s="123" t="s">
        <v>538</v>
      </c>
      <c r="K37" s="169"/>
      <c r="L37" s="169"/>
      <c r="M37" s="169"/>
      <c r="N37" s="172"/>
      <c r="O37" s="169"/>
      <c r="P37" s="169"/>
      <c r="Q37" s="169"/>
      <c r="R37" s="169"/>
      <c r="S37" s="169"/>
      <c r="T37" s="169">
        <f t="shared" si="5"/>
        <v>0</v>
      </c>
      <c r="U37" s="169"/>
      <c r="V37" s="169"/>
      <c r="W37" s="169"/>
      <c r="X37" s="169"/>
      <c r="Y37" s="169"/>
    </row>
    <row r="38" spans="1:25" outlineLevel="1" x14ac:dyDescent="0.25">
      <c r="A38" s="114" t="str">
        <f t="shared" si="4"/>
        <v>Public SafetyFire DepartmentFire - SCBA EquipmentBond</v>
      </c>
      <c r="B38" s="11" t="s">
        <v>315</v>
      </c>
      <c r="C38" s="11">
        <v>31</v>
      </c>
      <c r="D38" s="11" t="s">
        <v>248</v>
      </c>
      <c r="F38" s="197" t="s">
        <v>102</v>
      </c>
      <c r="G38" s="11" t="s">
        <v>19</v>
      </c>
      <c r="H38" s="11" t="s">
        <v>531</v>
      </c>
      <c r="K38" s="169">
        <v>500000</v>
      </c>
      <c r="L38" s="169"/>
      <c r="M38" s="169"/>
      <c r="N38" s="172"/>
      <c r="O38" s="169"/>
      <c r="P38" s="169"/>
      <c r="Q38" s="169"/>
      <c r="R38" s="169"/>
      <c r="S38" s="169"/>
      <c r="T38" s="169">
        <f t="shared" si="5"/>
        <v>0</v>
      </c>
      <c r="U38" s="169"/>
      <c r="V38" s="169"/>
      <c r="W38" s="169"/>
      <c r="X38" s="169"/>
      <c r="Y38" s="169"/>
    </row>
    <row r="39" spans="1:25" ht="15.75" outlineLevel="1" thickBot="1" x14ac:dyDescent="0.3">
      <c r="C39" s="11"/>
      <c r="K39" s="168">
        <f>SUM(K20:K38)</f>
        <v>500000</v>
      </c>
      <c r="L39" s="168">
        <f>SUM(L20:L38)</f>
        <v>76000</v>
      </c>
      <c r="M39" s="168">
        <f>SUM(M20:M38)</f>
        <v>1200000</v>
      </c>
      <c r="N39" s="171"/>
      <c r="O39" s="168">
        <f t="shared" ref="O39:Y39" si="9">SUM(O20:O38)</f>
        <v>450000</v>
      </c>
      <c r="P39" s="168">
        <f t="shared" si="9"/>
        <v>1200000</v>
      </c>
      <c r="Q39" s="168">
        <f t="shared" si="9"/>
        <v>850000</v>
      </c>
      <c r="R39" s="168">
        <f t="shared" si="9"/>
        <v>875000</v>
      </c>
      <c r="S39" s="168">
        <f t="shared" si="9"/>
        <v>75000</v>
      </c>
      <c r="T39" s="168">
        <f t="shared" si="9"/>
        <v>3290000</v>
      </c>
      <c r="U39" s="168">
        <f t="shared" si="9"/>
        <v>380000</v>
      </c>
      <c r="V39" s="168">
        <f t="shared" si="9"/>
        <v>80000</v>
      </c>
      <c r="W39" s="168">
        <f t="shared" si="9"/>
        <v>1955000</v>
      </c>
      <c r="X39" s="168">
        <f t="shared" si="9"/>
        <v>875000</v>
      </c>
      <c r="Y39" s="168">
        <f t="shared" si="9"/>
        <v>0</v>
      </c>
    </row>
    <row r="40" spans="1:25" ht="15.75" outlineLevel="1" thickTop="1" x14ac:dyDescent="0.25">
      <c r="C40" s="11"/>
      <c r="K40" s="169"/>
      <c r="L40" s="216"/>
      <c r="M40" s="169"/>
      <c r="N40" s="217"/>
      <c r="O40" s="169"/>
      <c r="P40" s="169"/>
      <c r="Q40" s="169"/>
      <c r="R40" s="169"/>
      <c r="S40" s="169"/>
      <c r="T40" s="169"/>
      <c r="U40" s="169"/>
      <c r="V40" s="169"/>
      <c r="W40" s="169"/>
      <c r="X40" s="169"/>
      <c r="Y40" s="169"/>
    </row>
    <row r="41" spans="1:25" ht="19.5" customHeight="1" outlineLevel="1" x14ac:dyDescent="0.25">
      <c r="A41" s="114" t="str">
        <f t="shared" ref="A41:A57" si="10">B41&amp;D41&amp;F41&amp;G41</f>
        <v>Public SafetyPolice DepartmentVehicle - Patrol Units - ($50k/car w/equip; 5% incr. in out yrs)GF</v>
      </c>
      <c r="B41" s="11" t="s">
        <v>315</v>
      </c>
      <c r="C41" s="11">
        <v>32</v>
      </c>
      <c r="D41" s="11" t="s">
        <v>249</v>
      </c>
      <c r="F41" s="197" t="s">
        <v>1108</v>
      </c>
      <c r="G41" s="11" t="s">
        <v>16</v>
      </c>
      <c r="H41" s="11" t="s">
        <v>522</v>
      </c>
      <c r="I41" s="11" t="s">
        <v>640</v>
      </c>
      <c r="K41" s="169"/>
      <c r="L41" s="169">
        <f>58000+30000+30000+80000</f>
        <v>198000</v>
      </c>
      <c r="M41" s="169">
        <f>36500*4*0.5</f>
        <v>73000</v>
      </c>
      <c r="N41" s="172"/>
      <c r="O41" s="169">
        <f>50000*4*0</f>
        <v>0</v>
      </c>
      <c r="P41" s="169">
        <f>O41*1.05</f>
        <v>0</v>
      </c>
      <c r="Q41" s="169">
        <f t="shared" ref="Q41:Y41" si="11">P41*1.05</f>
        <v>0</v>
      </c>
      <c r="R41" s="169">
        <f t="shared" si="11"/>
        <v>0</v>
      </c>
      <c r="S41" s="169">
        <f t="shared" si="11"/>
        <v>0</v>
      </c>
      <c r="T41" s="169">
        <f t="shared" ref="T41:T59" si="12">SUM(U41:Y41)</f>
        <v>0</v>
      </c>
      <c r="U41" s="169">
        <f>S41*1.05</f>
        <v>0</v>
      </c>
      <c r="V41" s="169">
        <f t="shared" si="11"/>
        <v>0</v>
      </c>
      <c r="W41" s="169">
        <f t="shared" si="11"/>
        <v>0</v>
      </c>
      <c r="X41" s="169">
        <f t="shared" si="11"/>
        <v>0</v>
      </c>
      <c r="Y41" s="169">
        <f t="shared" si="11"/>
        <v>0</v>
      </c>
    </row>
    <row r="42" spans="1:25" ht="19.5" customHeight="1" outlineLevel="1" x14ac:dyDescent="0.25">
      <c r="A42" s="114" t="str">
        <f t="shared" ref="A42" si="13">B42&amp;D42&amp;F42&amp;G42</f>
        <v>Public SafetyPolice DepartmentVehicle - Patrol Units - ($50k/car w/equip; 5% incr. in out yrs)Surplus</v>
      </c>
      <c r="B42" s="11" t="s">
        <v>315</v>
      </c>
      <c r="C42" s="11">
        <v>32</v>
      </c>
      <c r="D42" s="11" t="s">
        <v>249</v>
      </c>
      <c r="F42" s="389" t="s">
        <v>1108</v>
      </c>
      <c r="G42" s="11" t="s">
        <v>1036</v>
      </c>
      <c r="K42" s="169"/>
      <c r="L42" s="169"/>
      <c r="M42" s="169"/>
      <c r="N42" s="172"/>
      <c r="O42" s="169">
        <f>50000*2</f>
        <v>100000</v>
      </c>
      <c r="P42" s="169">
        <f>O42*1.05</f>
        <v>105000</v>
      </c>
      <c r="Q42" s="169">
        <f t="shared" ref="Q42" si="14">P42*1.05</f>
        <v>110250</v>
      </c>
      <c r="R42" s="169">
        <f t="shared" ref="R42" si="15">Q42*1.05</f>
        <v>115762.5</v>
      </c>
      <c r="S42" s="169">
        <f t="shared" ref="S42" si="16">R42*1.05</f>
        <v>121550.625</v>
      </c>
      <c r="T42" s="169">
        <f t="shared" si="12"/>
        <v>705226.12855488283</v>
      </c>
      <c r="U42" s="169">
        <f>S42*1.05</f>
        <v>127628.15625</v>
      </c>
      <c r="V42" s="169">
        <f t="shared" ref="V42" si="17">U42*1.05</f>
        <v>134009.56406249999</v>
      </c>
      <c r="W42" s="169">
        <f t="shared" ref="W42" si="18">V42*1.05</f>
        <v>140710.042265625</v>
      </c>
      <c r="X42" s="169">
        <f t="shared" ref="X42" si="19">W42*1.05</f>
        <v>147745.54437890626</v>
      </c>
      <c r="Y42" s="169">
        <f t="shared" ref="Y42" si="20">X42*1.05</f>
        <v>155132.82159785158</v>
      </c>
    </row>
    <row r="43" spans="1:25" outlineLevel="1" x14ac:dyDescent="0.25">
      <c r="A43" s="114" t="str">
        <f t="shared" si="10"/>
        <v>Public SafetyPolice DepartmentVehicle - Supervisor SUVSurplus</v>
      </c>
      <c r="B43" s="11" t="s">
        <v>315</v>
      </c>
      <c r="C43" s="11">
        <v>32</v>
      </c>
      <c r="D43" s="11" t="s">
        <v>249</v>
      </c>
      <c r="F43" s="197" t="s">
        <v>513</v>
      </c>
      <c r="G43" s="11" t="s">
        <v>1036</v>
      </c>
      <c r="H43" s="11" t="s">
        <v>522</v>
      </c>
      <c r="I43" s="123" t="s">
        <v>537</v>
      </c>
      <c r="K43" s="169"/>
      <c r="L43" s="169"/>
      <c r="M43" s="169">
        <f>(32000+6500)*0</f>
        <v>0</v>
      </c>
      <c r="N43" s="172"/>
      <c r="O43" s="169"/>
      <c r="P43" s="169">
        <f>33500+6500</f>
        <v>40000</v>
      </c>
      <c r="Q43" s="169"/>
      <c r="R43" s="169">
        <f>33500+6500</f>
        <v>40000</v>
      </c>
      <c r="S43" s="169"/>
      <c r="T43" s="169">
        <f t="shared" si="12"/>
        <v>120000</v>
      </c>
      <c r="U43" s="169">
        <f>33500+6500</f>
        <v>40000</v>
      </c>
      <c r="V43" s="169"/>
      <c r="W43" s="169">
        <f>33500+6500</f>
        <v>40000</v>
      </c>
      <c r="X43" s="169"/>
      <c r="Y43" s="169">
        <f>33500+6500</f>
        <v>40000</v>
      </c>
    </row>
    <row r="44" spans="1:25" outlineLevel="1" x14ac:dyDescent="0.25">
      <c r="A44" s="114" t="str">
        <f t="shared" ref="A44" si="21">B44&amp;D44&amp;F44&amp;G44</f>
        <v>Public SafetyPolice DepartmentVehicle - K-9 UnitsSurplus</v>
      </c>
      <c r="B44" s="11" t="s">
        <v>315</v>
      </c>
      <c r="C44" s="11">
        <v>32</v>
      </c>
      <c r="D44" s="11" t="s">
        <v>249</v>
      </c>
      <c r="F44" s="197" t="s">
        <v>635</v>
      </c>
      <c r="G44" s="11" t="s">
        <v>1036</v>
      </c>
      <c r="H44" s="11" t="s">
        <v>522</v>
      </c>
      <c r="I44" s="11" t="s">
        <v>639</v>
      </c>
      <c r="K44" s="169"/>
      <c r="L44" s="169"/>
      <c r="M44" s="169"/>
      <c r="N44" s="172"/>
      <c r="O44" s="169"/>
      <c r="P44" s="169"/>
      <c r="Q44" s="169"/>
      <c r="R44" s="169"/>
      <c r="S44" s="169"/>
      <c r="T44" s="169">
        <f t="shared" si="12"/>
        <v>120000</v>
      </c>
      <c r="U44" s="169"/>
      <c r="V44" s="169"/>
      <c r="W44" s="169">
        <v>120000</v>
      </c>
      <c r="X44" s="169"/>
      <c r="Y44" s="169"/>
    </row>
    <row r="45" spans="1:25" outlineLevel="1" x14ac:dyDescent="0.25">
      <c r="A45" s="114" t="str">
        <f t="shared" si="10"/>
        <v>Public SafetyPolice DepartmentVehicle - Unmarked/AdminSurplus</v>
      </c>
      <c r="B45" s="11" t="s">
        <v>315</v>
      </c>
      <c r="C45" s="11">
        <v>32</v>
      </c>
      <c r="D45" s="11" t="s">
        <v>249</v>
      </c>
      <c r="F45" s="197" t="s">
        <v>514</v>
      </c>
      <c r="G45" s="11" t="s">
        <v>1036</v>
      </c>
      <c r="H45" s="11" t="s">
        <v>522</v>
      </c>
      <c r="K45" s="169"/>
      <c r="L45" s="169"/>
      <c r="M45" s="169">
        <f>30000*0</f>
        <v>0</v>
      </c>
      <c r="N45" s="172"/>
      <c r="O45" s="169"/>
      <c r="P45" s="169">
        <v>35000</v>
      </c>
      <c r="Q45" s="169">
        <v>35000</v>
      </c>
      <c r="R45" s="169">
        <v>35000</v>
      </c>
      <c r="S45" s="169">
        <v>35000</v>
      </c>
      <c r="T45" s="169">
        <f t="shared" si="12"/>
        <v>175000</v>
      </c>
      <c r="U45" s="169">
        <v>35000</v>
      </c>
      <c r="V45" s="169">
        <v>35000</v>
      </c>
      <c r="W45" s="169">
        <v>35000</v>
      </c>
      <c r="X45" s="169">
        <v>35000</v>
      </c>
      <c r="Y45" s="169">
        <v>35000</v>
      </c>
    </row>
    <row r="46" spans="1:25" outlineLevel="1" x14ac:dyDescent="0.25">
      <c r="A46" s="114" t="str">
        <f t="shared" si="10"/>
        <v>Public SafetyPolice DepartmentVehicle - DARE Pickup TruckSurplus</v>
      </c>
      <c r="B46" s="11" t="s">
        <v>315</v>
      </c>
      <c r="C46" s="11">
        <v>32</v>
      </c>
      <c r="D46" s="11" t="s">
        <v>249</v>
      </c>
      <c r="F46" s="197" t="s">
        <v>637</v>
      </c>
      <c r="G46" s="11" t="s">
        <v>1036</v>
      </c>
      <c r="H46" s="11" t="s">
        <v>522</v>
      </c>
      <c r="I46" s="123" t="s">
        <v>537</v>
      </c>
      <c r="K46" s="169"/>
      <c r="L46" s="169"/>
      <c r="M46" s="169"/>
      <c r="N46" s="172"/>
      <c r="O46" s="169"/>
      <c r="P46" s="169"/>
      <c r="Q46" s="169"/>
      <c r="R46" s="169">
        <v>32500</v>
      </c>
      <c r="S46" s="169"/>
      <c r="T46" s="169">
        <f t="shared" si="12"/>
        <v>0</v>
      </c>
      <c r="U46" s="169"/>
      <c r="V46" s="169"/>
      <c r="W46" s="169"/>
      <c r="X46" s="169"/>
      <c r="Y46" s="169"/>
    </row>
    <row r="47" spans="1:25" outlineLevel="1" x14ac:dyDescent="0.25">
      <c r="A47" s="114" t="str">
        <f t="shared" ref="A47" si="22">B47&amp;D47&amp;F47&amp;G47</f>
        <v>Public SafetyPolice DepartmentVehicle - ATVSurplus</v>
      </c>
      <c r="B47" s="11" t="s">
        <v>315</v>
      </c>
      <c r="C47" s="11">
        <v>32</v>
      </c>
      <c r="D47" s="11" t="s">
        <v>249</v>
      </c>
      <c r="F47" s="197" t="s">
        <v>638</v>
      </c>
      <c r="G47" s="11" t="s">
        <v>1036</v>
      </c>
      <c r="H47" s="11" t="s">
        <v>522</v>
      </c>
      <c r="I47" s="123" t="s">
        <v>537</v>
      </c>
      <c r="K47" s="169"/>
      <c r="L47" s="169"/>
      <c r="M47" s="169"/>
      <c r="N47" s="172"/>
      <c r="O47" s="169"/>
      <c r="P47" s="169"/>
      <c r="Q47" s="169"/>
      <c r="R47" s="169">
        <v>30000</v>
      </c>
      <c r="S47" s="169"/>
      <c r="T47" s="169">
        <f t="shared" si="12"/>
        <v>0</v>
      </c>
      <c r="U47" s="169"/>
      <c r="V47" s="169"/>
      <c r="W47" s="169"/>
      <c r="X47" s="169"/>
      <c r="Y47" s="169"/>
    </row>
    <row r="48" spans="1:25" outlineLevel="1" x14ac:dyDescent="0.25">
      <c r="A48" s="114" t="str">
        <f t="shared" ref="A48" si="23">B48&amp;D48&amp;F48&amp;G48</f>
        <v>Public SafetyPolice DepartmentVehicle - MotorcycleSurplus</v>
      </c>
      <c r="B48" s="11" t="s">
        <v>315</v>
      </c>
      <c r="C48" s="11">
        <v>32</v>
      </c>
      <c r="D48" s="11" t="s">
        <v>249</v>
      </c>
      <c r="F48" s="197" t="s">
        <v>636</v>
      </c>
      <c r="G48" s="11" t="s">
        <v>1036</v>
      </c>
      <c r="H48" s="11" t="s">
        <v>522</v>
      </c>
      <c r="I48" s="123" t="s">
        <v>537</v>
      </c>
      <c r="K48" s="169"/>
      <c r="L48" s="169"/>
      <c r="M48" s="169"/>
      <c r="N48" s="172"/>
      <c r="O48" s="169"/>
      <c r="P48" s="169"/>
      <c r="Q48" s="169"/>
      <c r="R48" s="169"/>
      <c r="S48" s="169"/>
      <c r="T48" s="169">
        <f t="shared" si="12"/>
        <v>25000</v>
      </c>
      <c r="U48" s="169">
        <v>25000</v>
      </c>
      <c r="V48" s="169"/>
      <c r="W48" s="169"/>
      <c r="X48" s="169"/>
      <c r="Y48" s="169"/>
    </row>
    <row r="49" spans="1:25" outlineLevel="1" x14ac:dyDescent="0.25">
      <c r="A49" s="114" t="str">
        <f t="shared" si="10"/>
        <v>Public SafetyPolice DepartmentPolice Station Remodel (existing) - Jail Cell ReplacementCapital</v>
      </c>
      <c r="B49" s="11" t="s">
        <v>315</v>
      </c>
      <c r="C49" s="11">
        <v>32</v>
      </c>
      <c r="D49" s="11" t="s">
        <v>249</v>
      </c>
      <c r="E49" s="124"/>
      <c r="F49" s="200" t="s">
        <v>534</v>
      </c>
      <c r="G49" s="123" t="s">
        <v>533</v>
      </c>
      <c r="H49" s="11" t="s">
        <v>531</v>
      </c>
      <c r="J49" s="124"/>
      <c r="K49" s="169"/>
      <c r="L49" s="169">
        <v>400000</v>
      </c>
      <c r="M49" s="169"/>
      <c r="N49" s="172"/>
      <c r="O49" s="169"/>
      <c r="P49" s="169"/>
      <c r="Q49" s="169"/>
      <c r="R49" s="169"/>
      <c r="S49" s="169"/>
      <c r="T49" s="169">
        <f t="shared" si="12"/>
        <v>0</v>
      </c>
      <c r="U49" s="169"/>
      <c r="V49" s="169"/>
      <c r="W49" s="169"/>
      <c r="X49" s="169"/>
      <c r="Y49" s="169"/>
    </row>
    <row r="50" spans="1:25" ht="30" outlineLevel="1" x14ac:dyDescent="0.25">
      <c r="A50" s="114" t="str">
        <f t="shared" si="10"/>
        <v>Public SafetyPolice DepartmentPolice Station Remodel (existing) - Various (interview rooms, locker rooms, ADA bathroom, etc.)GF</v>
      </c>
      <c r="B50" s="11" t="s">
        <v>315</v>
      </c>
      <c r="C50" s="11">
        <v>32</v>
      </c>
      <c r="D50" s="11" t="s">
        <v>249</v>
      </c>
      <c r="E50" s="124"/>
      <c r="F50" s="200" t="s">
        <v>535</v>
      </c>
      <c r="G50" s="123" t="s">
        <v>16</v>
      </c>
      <c r="H50" s="11" t="s">
        <v>531</v>
      </c>
      <c r="J50" s="124"/>
      <c r="K50" s="169"/>
      <c r="L50" s="169"/>
      <c r="M50" s="169">
        <f>300000*0</f>
        <v>0</v>
      </c>
      <c r="N50" s="172"/>
      <c r="O50" s="169">
        <f>200000*0</f>
        <v>0</v>
      </c>
      <c r="P50" s="169">
        <f>200000*0</f>
        <v>0</v>
      </c>
      <c r="Q50" s="169"/>
      <c r="R50" s="169"/>
      <c r="S50" s="169"/>
      <c r="T50" s="169">
        <f t="shared" si="12"/>
        <v>0</v>
      </c>
      <c r="U50" s="169"/>
      <c r="V50" s="169"/>
      <c r="W50" s="169"/>
      <c r="X50" s="169"/>
      <c r="Y50" s="169"/>
    </row>
    <row r="51" spans="1:25" outlineLevel="1" x14ac:dyDescent="0.25">
      <c r="A51" s="114" t="str">
        <f t="shared" si="10"/>
        <v>Public SafetyPolice DepartmentAFIS Livescan ReplacementGF</v>
      </c>
      <c r="B51" s="11" t="s">
        <v>315</v>
      </c>
      <c r="C51" s="11">
        <v>32</v>
      </c>
      <c r="D51" s="11" t="s">
        <v>249</v>
      </c>
      <c r="F51" s="197" t="s">
        <v>161</v>
      </c>
      <c r="G51" s="11" t="s">
        <v>16</v>
      </c>
      <c r="H51" s="11" t="s">
        <v>531</v>
      </c>
      <c r="K51" s="169"/>
      <c r="L51" s="169"/>
      <c r="M51" s="169"/>
      <c r="N51" s="172"/>
      <c r="O51" s="169"/>
      <c r="P51" s="169"/>
      <c r="Q51" s="169"/>
      <c r="R51" s="169"/>
      <c r="S51" s="169"/>
      <c r="T51" s="169">
        <f t="shared" si="12"/>
        <v>0</v>
      </c>
      <c r="U51" s="169"/>
      <c r="V51" s="169"/>
      <c r="W51" s="124"/>
      <c r="X51" s="124"/>
      <c r="Y51" s="124"/>
    </row>
    <row r="52" spans="1:25" outlineLevel="1" x14ac:dyDescent="0.25">
      <c r="A52" s="114" t="str">
        <f t="shared" si="10"/>
        <v>Public SafetyPolice DepartmentMessage Switch WarrantyGF</v>
      </c>
      <c r="B52" s="11" t="s">
        <v>315</v>
      </c>
      <c r="C52" s="123">
        <v>32</v>
      </c>
      <c r="D52" s="11" t="s">
        <v>249</v>
      </c>
      <c r="E52" s="124"/>
      <c r="F52" s="200" t="s">
        <v>174</v>
      </c>
      <c r="G52" s="123" t="s">
        <v>16</v>
      </c>
      <c r="H52" s="11" t="s">
        <v>531</v>
      </c>
      <c r="I52" s="11" t="s">
        <v>640</v>
      </c>
      <c r="J52" s="124"/>
      <c r="K52" s="169"/>
      <c r="L52" s="169"/>
      <c r="M52" s="169"/>
      <c r="N52" s="172"/>
      <c r="O52" s="169"/>
      <c r="P52" s="169"/>
      <c r="Q52" s="169">
        <v>25000</v>
      </c>
      <c r="R52" s="169"/>
      <c r="S52" s="169"/>
      <c r="T52" s="169">
        <f t="shared" si="12"/>
        <v>25000</v>
      </c>
      <c r="U52" s="169"/>
      <c r="V52" s="169">
        <v>25000</v>
      </c>
      <c r="W52" s="124"/>
      <c r="X52" s="124"/>
      <c r="Y52" s="124"/>
    </row>
    <row r="53" spans="1:25" outlineLevel="1" x14ac:dyDescent="0.25">
      <c r="A53" s="114" t="str">
        <f>B53&amp;D53&amp;F53&amp;G53</f>
        <v>Public SafetyPolice DepartmentServer/SAN/Switch ReplacementsGF</v>
      </c>
      <c r="B53" s="11" t="s">
        <v>315</v>
      </c>
      <c r="C53" s="123">
        <v>32</v>
      </c>
      <c r="D53" s="11" t="s">
        <v>249</v>
      </c>
      <c r="E53" s="124"/>
      <c r="F53" s="200" t="s">
        <v>173</v>
      </c>
      <c r="G53" s="123" t="s">
        <v>16</v>
      </c>
      <c r="H53" s="123" t="s">
        <v>531</v>
      </c>
      <c r="I53" s="123" t="s">
        <v>641</v>
      </c>
      <c r="J53" s="124"/>
      <c r="K53" s="169"/>
      <c r="L53" s="169">
        <v>138000</v>
      </c>
      <c r="M53" s="169"/>
      <c r="N53" s="172"/>
      <c r="O53" s="169"/>
      <c r="P53" s="169"/>
      <c r="Q53" s="169"/>
      <c r="R53" s="169"/>
      <c r="S53" s="169">
        <v>150000</v>
      </c>
      <c r="T53" s="169">
        <f t="shared" si="12"/>
        <v>0</v>
      </c>
      <c r="U53" s="169"/>
      <c r="V53" s="169"/>
      <c r="W53" s="169"/>
      <c r="X53" s="169"/>
      <c r="Y53" s="169"/>
    </row>
    <row r="54" spans="1:25" outlineLevel="1" x14ac:dyDescent="0.25">
      <c r="A54" s="114" t="str">
        <f t="shared" si="10"/>
        <v>Public SafetyPolice DepartmentCAD/RMS System ReplacementGF</v>
      </c>
      <c r="B54" s="11" t="s">
        <v>315</v>
      </c>
      <c r="C54" s="11">
        <v>32</v>
      </c>
      <c r="D54" s="11" t="s">
        <v>249</v>
      </c>
      <c r="F54" s="197" t="s">
        <v>162</v>
      </c>
      <c r="G54" s="11" t="s">
        <v>16</v>
      </c>
      <c r="H54" s="11" t="s">
        <v>531</v>
      </c>
      <c r="K54" s="169"/>
      <c r="L54" s="169"/>
      <c r="M54" s="169"/>
      <c r="N54" s="172"/>
      <c r="O54" s="169"/>
      <c r="P54" s="169"/>
      <c r="Q54" s="169"/>
      <c r="R54" s="169"/>
      <c r="S54" s="169"/>
      <c r="T54" s="169">
        <f t="shared" si="12"/>
        <v>0</v>
      </c>
      <c r="U54" s="169"/>
      <c r="V54" s="169"/>
      <c r="W54" s="124"/>
      <c r="X54" s="124"/>
      <c r="Y54" s="124"/>
    </row>
    <row r="55" spans="1:25" outlineLevel="1" x14ac:dyDescent="0.25">
      <c r="A55" s="114" t="str">
        <f t="shared" ref="A55" si="24">B55&amp;D55&amp;F55&amp;G55</f>
        <v>Public SafetyPolice DepartmentMobile Data Terminals (MDT)GF</v>
      </c>
      <c r="B55" s="11" t="s">
        <v>315</v>
      </c>
      <c r="C55" s="11">
        <v>32</v>
      </c>
      <c r="D55" s="11" t="s">
        <v>249</v>
      </c>
      <c r="F55" s="197" t="s">
        <v>966</v>
      </c>
      <c r="G55" s="11" t="s">
        <v>16</v>
      </c>
      <c r="H55" s="11" t="s">
        <v>531</v>
      </c>
      <c r="I55" s="123" t="s">
        <v>641</v>
      </c>
      <c r="K55" s="169"/>
      <c r="L55" s="169"/>
      <c r="M55" s="169"/>
      <c r="N55" s="172"/>
      <c r="O55" s="169"/>
      <c r="P55" s="169">
        <v>85000</v>
      </c>
      <c r="Q55" s="169"/>
      <c r="R55" s="169"/>
      <c r="S55" s="169"/>
      <c r="T55" s="169">
        <f t="shared" si="12"/>
        <v>95000</v>
      </c>
      <c r="U55" s="169"/>
      <c r="V55" s="169"/>
      <c r="W55" s="169">
        <v>95000</v>
      </c>
      <c r="X55" s="124"/>
      <c r="Y55" s="124"/>
    </row>
    <row r="56" spans="1:25" outlineLevel="1" x14ac:dyDescent="0.25">
      <c r="A56" s="114" t="str">
        <f t="shared" si="10"/>
        <v>Public SafetyPolice DepartmentPolice - Radio EquipmentBond</v>
      </c>
      <c r="B56" s="11" t="s">
        <v>315</v>
      </c>
      <c r="C56" s="11">
        <v>32</v>
      </c>
      <c r="D56" s="11" t="s">
        <v>249</v>
      </c>
      <c r="F56" s="197" t="s">
        <v>103</v>
      </c>
      <c r="G56" s="11" t="s">
        <v>19</v>
      </c>
      <c r="H56" s="11" t="s">
        <v>531</v>
      </c>
      <c r="K56" s="169">
        <v>1600000</v>
      </c>
      <c r="L56" s="169"/>
      <c r="M56" s="169"/>
      <c r="N56" s="172"/>
      <c r="O56" s="169"/>
      <c r="P56" s="169"/>
      <c r="Q56" s="169"/>
      <c r="R56" s="169"/>
      <c r="S56" s="169"/>
      <c r="T56" s="169">
        <f t="shared" si="12"/>
        <v>0</v>
      </c>
      <c r="U56" s="169"/>
      <c r="V56" s="169"/>
      <c r="W56" s="169"/>
      <c r="X56" s="169"/>
      <c r="Y56" s="169"/>
    </row>
    <row r="57" spans="1:25" outlineLevel="1" x14ac:dyDescent="0.25">
      <c r="A57" s="114" t="str">
        <f t="shared" si="10"/>
        <v>Public SafetyPolice DepartmentTaser ReplacementGrants</v>
      </c>
      <c r="B57" s="11" t="s">
        <v>315</v>
      </c>
      <c r="C57" s="11">
        <v>32</v>
      </c>
      <c r="D57" s="11" t="s">
        <v>249</v>
      </c>
      <c r="F57" s="197" t="s">
        <v>163</v>
      </c>
      <c r="G57" s="11" t="s">
        <v>38</v>
      </c>
      <c r="H57" s="11" t="s">
        <v>531</v>
      </c>
      <c r="K57" s="169">
        <v>6000</v>
      </c>
      <c r="L57" s="169"/>
      <c r="M57" s="169"/>
      <c r="N57" s="172"/>
      <c r="O57" s="169"/>
      <c r="P57" s="169"/>
      <c r="Q57" s="169"/>
      <c r="R57" s="169"/>
      <c r="S57" s="169"/>
      <c r="T57" s="169">
        <f t="shared" si="12"/>
        <v>0</v>
      </c>
      <c r="U57" s="169"/>
      <c r="V57" s="169"/>
      <c r="W57" s="169"/>
      <c r="X57" s="169"/>
      <c r="Y57" s="169"/>
    </row>
    <row r="58" spans="1:25" outlineLevel="1" x14ac:dyDescent="0.25">
      <c r="A58" s="114" t="str">
        <f t="shared" ref="A58" si="25">B58&amp;D58&amp;F58&amp;G58</f>
        <v>Public SafetyPolice DepartmentAED (Automatic External Defibrillator) replacementSurplus</v>
      </c>
      <c r="B58" s="11" t="s">
        <v>315</v>
      </c>
      <c r="C58" s="11">
        <v>32</v>
      </c>
      <c r="D58" s="11" t="s">
        <v>249</v>
      </c>
      <c r="F58" s="263" t="s">
        <v>891</v>
      </c>
      <c r="G58" s="11" t="s">
        <v>1036</v>
      </c>
      <c r="K58" s="169"/>
      <c r="L58" s="169"/>
      <c r="M58" s="169"/>
      <c r="N58" s="172"/>
      <c r="O58" s="169">
        <v>25000</v>
      </c>
      <c r="P58" s="169"/>
      <c r="Q58" s="169"/>
      <c r="R58" s="169"/>
      <c r="S58" s="169"/>
      <c r="T58" s="169">
        <f t="shared" si="12"/>
        <v>0</v>
      </c>
      <c r="U58" s="169"/>
      <c r="V58" s="169"/>
      <c r="W58" s="169"/>
      <c r="X58" s="169"/>
      <c r="Y58" s="169"/>
    </row>
    <row r="59" spans="1:25" outlineLevel="1" x14ac:dyDescent="0.25">
      <c r="A59" s="114" t="str">
        <f t="shared" ref="A59" si="26">B59&amp;D59&amp;F59&amp;G59</f>
        <v>Public SafetyPolice DepartmentIn-car audio/video replacement &amp; body camera integrationGF</v>
      </c>
      <c r="B59" s="11" t="s">
        <v>315</v>
      </c>
      <c r="C59" s="11">
        <v>32</v>
      </c>
      <c r="D59" s="11" t="s">
        <v>249</v>
      </c>
      <c r="F59" s="263" t="s">
        <v>892</v>
      </c>
      <c r="G59" s="11" t="s">
        <v>16</v>
      </c>
      <c r="K59" s="169"/>
      <c r="L59" s="169"/>
      <c r="M59" s="169"/>
      <c r="N59" s="172"/>
      <c r="O59" s="169"/>
      <c r="P59" s="169">
        <f>145000*0</f>
        <v>0</v>
      </c>
      <c r="Q59" s="169">
        <v>145000</v>
      </c>
      <c r="R59" s="169"/>
      <c r="S59" s="169"/>
      <c r="T59" s="169">
        <f t="shared" si="12"/>
        <v>0</v>
      </c>
      <c r="U59" s="169"/>
      <c r="V59" s="169"/>
      <c r="W59" s="169"/>
      <c r="X59" s="169"/>
      <c r="Y59" s="169"/>
    </row>
    <row r="60" spans="1:25" ht="15.75" outlineLevel="1" thickBot="1" x14ac:dyDescent="0.3">
      <c r="C60" s="11"/>
      <c r="K60" s="168">
        <f>SUM(K41:K59)</f>
        <v>1606000</v>
      </c>
      <c r="L60" s="168">
        <f>SUM(L41:L59)</f>
        <v>736000</v>
      </c>
      <c r="M60" s="168">
        <f>SUM(M41:M59)</f>
        <v>73000</v>
      </c>
      <c r="N60" s="171"/>
      <c r="O60" s="168">
        <f t="shared" ref="O60:Y60" si="27">SUM(O41:O59)</f>
        <v>125000</v>
      </c>
      <c r="P60" s="168">
        <f t="shared" si="27"/>
        <v>265000</v>
      </c>
      <c r="Q60" s="168">
        <f t="shared" si="27"/>
        <v>315250</v>
      </c>
      <c r="R60" s="168">
        <f t="shared" si="27"/>
        <v>253262.5</v>
      </c>
      <c r="S60" s="168">
        <f t="shared" si="27"/>
        <v>306550.625</v>
      </c>
      <c r="T60" s="168">
        <f t="shared" si="27"/>
        <v>1265226.1285548829</v>
      </c>
      <c r="U60" s="168">
        <f t="shared" si="27"/>
        <v>227628.15625</v>
      </c>
      <c r="V60" s="168">
        <f t="shared" si="27"/>
        <v>194009.56406249999</v>
      </c>
      <c r="W60" s="168">
        <f t="shared" si="27"/>
        <v>430710.04226562497</v>
      </c>
      <c r="X60" s="168">
        <f t="shared" si="27"/>
        <v>182745.54437890626</v>
      </c>
      <c r="Y60" s="168">
        <f t="shared" si="27"/>
        <v>230132.82159785158</v>
      </c>
    </row>
    <row r="61" spans="1:25" ht="15.75" outlineLevel="1" thickTop="1" x14ac:dyDescent="0.25">
      <c r="C61" s="11"/>
      <c r="K61" s="169"/>
      <c r="L61" s="169"/>
      <c r="M61" s="169"/>
      <c r="N61" s="172"/>
      <c r="O61" s="169"/>
      <c r="P61" s="169"/>
      <c r="Q61" s="169"/>
      <c r="R61" s="169"/>
      <c r="S61" s="169"/>
      <c r="T61" s="169"/>
      <c r="U61" s="169"/>
      <c r="V61" s="169"/>
      <c r="W61" s="169"/>
      <c r="X61" s="169"/>
      <c r="Y61" s="169"/>
    </row>
    <row r="62" spans="1:25" outlineLevel="1" x14ac:dyDescent="0.25">
      <c r="A62" s="114" t="str">
        <f>B62&amp;D62&amp;F62&amp;G62</f>
        <v>Public SafetyFire MarshallDeputy Fire Marshall VerhicleGrants</v>
      </c>
      <c r="B62" s="11" t="s">
        <v>315</v>
      </c>
      <c r="C62" s="11">
        <v>34</v>
      </c>
      <c r="D62" s="11" t="s">
        <v>496</v>
      </c>
      <c r="F62" s="197" t="s">
        <v>497</v>
      </c>
      <c r="G62" s="11" t="s">
        <v>38</v>
      </c>
      <c r="H62" s="11" t="s">
        <v>531</v>
      </c>
      <c r="K62" s="169">
        <v>30000</v>
      </c>
      <c r="L62" s="169"/>
      <c r="M62" s="169"/>
      <c r="N62" s="172"/>
      <c r="O62" s="169"/>
      <c r="P62" s="169"/>
      <c r="Q62" s="169"/>
      <c r="R62" s="169"/>
      <c r="S62" s="169"/>
      <c r="T62" s="169">
        <f t="shared" ref="T62:T63" si="28">SUM(U62:Y62)</f>
        <v>0</v>
      </c>
      <c r="U62" s="169"/>
      <c r="V62" s="169"/>
      <c r="W62" s="169"/>
      <c r="X62" s="169"/>
      <c r="Y62" s="169"/>
    </row>
    <row r="63" spans="1:25" outlineLevel="1" x14ac:dyDescent="0.25">
      <c r="A63" s="114" t="str">
        <f>B63&amp;D63&amp;F63&amp;G63</f>
        <v>Public SafetyFire MarshallSUVGF</v>
      </c>
      <c r="B63" s="11" t="s">
        <v>315</v>
      </c>
      <c r="C63" s="11">
        <v>34</v>
      </c>
      <c r="D63" s="11" t="s">
        <v>496</v>
      </c>
      <c r="F63" s="276" t="s">
        <v>953</v>
      </c>
      <c r="G63" s="11" t="s">
        <v>16</v>
      </c>
      <c r="H63" s="11" t="s">
        <v>531</v>
      </c>
      <c r="K63" s="169"/>
      <c r="L63" s="169"/>
      <c r="M63" s="169"/>
      <c r="N63" s="172"/>
      <c r="O63" s="169"/>
      <c r="P63" s="169"/>
      <c r="Q63" s="169"/>
      <c r="R63" s="169"/>
      <c r="S63" s="169"/>
      <c r="T63" s="169">
        <f t="shared" si="28"/>
        <v>30000</v>
      </c>
      <c r="U63" s="169"/>
      <c r="V63" s="169"/>
      <c r="W63" s="169">
        <v>30000</v>
      </c>
      <c r="X63" s="169"/>
      <c r="Y63" s="169"/>
    </row>
    <row r="64" spans="1:25" ht="15.75" outlineLevel="1" thickBot="1" x14ac:dyDescent="0.3">
      <c r="C64" s="11"/>
      <c r="K64" s="168">
        <f>SUM(K62:K63)</f>
        <v>30000</v>
      </c>
      <c r="L64" s="168">
        <f t="shared" ref="L64:M64" si="29">SUM(L62:L63)</f>
        <v>0</v>
      </c>
      <c r="M64" s="168">
        <f t="shared" si="29"/>
        <v>0</v>
      </c>
      <c r="N64" s="171"/>
      <c r="O64" s="168">
        <f t="shared" ref="O64" si="30">SUM(O62:O63)</f>
        <v>0</v>
      </c>
      <c r="P64" s="168">
        <f t="shared" ref="P64" si="31">SUM(P62:P63)</f>
        <v>0</v>
      </c>
      <c r="Q64" s="168">
        <f t="shared" ref="Q64" si="32">SUM(Q62:Q63)</f>
        <v>0</v>
      </c>
      <c r="R64" s="168">
        <f t="shared" ref="R64" si="33">SUM(R62:R63)</f>
        <v>0</v>
      </c>
      <c r="S64" s="168">
        <f t="shared" ref="S64:T64" si="34">SUM(S62:S63)</f>
        <v>0</v>
      </c>
      <c r="T64" s="168">
        <f t="shared" si="34"/>
        <v>30000</v>
      </c>
      <c r="U64" s="168">
        <f t="shared" ref="U64" si="35">SUM(U62:U63)</f>
        <v>0</v>
      </c>
      <c r="V64" s="168">
        <f t="shared" ref="V64" si="36">SUM(V62:V63)</f>
        <v>0</v>
      </c>
      <c r="W64" s="168">
        <f t="shared" ref="W64" si="37">SUM(W62:W63)</f>
        <v>30000</v>
      </c>
      <c r="X64" s="168">
        <f t="shared" ref="X64" si="38">SUM(X62:X63)</f>
        <v>0</v>
      </c>
      <c r="Y64" s="168">
        <f t="shared" ref="Y64" si="39">SUM(Y62:Y63)</f>
        <v>0</v>
      </c>
    </row>
    <row r="65" spans="1:25" ht="15.75" outlineLevel="1" thickTop="1" x14ac:dyDescent="0.25">
      <c r="C65" s="11"/>
      <c r="K65" s="218"/>
      <c r="L65" s="218"/>
      <c r="M65" s="218"/>
      <c r="N65" s="219"/>
      <c r="O65" s="218"/>
      <c r="P65" s="218"/>
      <c r="Q65" s="218"/>
      <c r="R65" s="218"/>
      <c r="S65" s="218"/>
      <c r="T65" s="218"/>
      <c r="U65" s="218"/>
      <c r="V65" s="218"/>
      <c r="W65" s="218"/>
      <c r="X65" s="218"/>
      <c r="Y65" s="218"/>
    </row>
    <row r="66" spans="1:25" outlineLevel="1" x14ac:dyDescent="0.25">
      <c r="A66" s="114" t="str">
        <f>B66&amp;D66&amp;F66&amp;G66</f>
        <v>Public SafetyAnimal ControlAnimal Control VanGF</v>
      </c>
      <c r="B66" s="11" t="s">
        <v>315</v>
      </c>
      <c r="C66" s="11">
        <v>30</v>
      </c>
      <c r="D66" s="11" t="s">
        <v>694</v>
      </c>
      <c r="F66" s="197" t="s">
        <v>695</v>
      </c>
      <c r="G66" s="11" t="s">
        <v>16</v>
      </c>
      <c r="H66" s="11" t="s">
        <v>531</v>
      </c>
      <c r="K66" s="169"/>
      <c r="L66" s="169"/>
      <c r="M66" s="169">
        <f>45000*0</f>
        <v>0</v>
      </c>
      <c r="N66" s="172"/>
      <c r="O66" s="169"/>
      <c r="P66" s="169">
        <f>45000*0</f>
        <v>0</v>
      </c>
      <c r="Q66" s="169"/>
      <c r="R66" s="169">
        <v>45000</v>
      </c>
      <c r="S66" s="169"/>
      <c r="T66" s="169">
        <f t="shared" ref="T66" si="40">SUM(U66:Y66)</f>
        <v>45000</v>
      </c>
      <c r="U66" s="169">
        <v>45000</v>
      </c>
      <c r="V66" s="169"/>
      <c r="W66" s="169"/>
      <c r="X66" s="169"/>
      <c r="Y66" s="169"/>
    </row>
    <row r="67" spans="1:25" ht="15.75" outlineLevel="1" thickBot="1" x14ac:dyDescent="0.3">
      <c r="C67" s="11"/>
      <c r="K67" s="168">
        <f>SUM(K66:K66)</f>
        <v>0</v>
      </c>
      <c r="L67" s="168">
        <f>SUM(L66:L66)</f>
        <v>0</v>
      </c>
      <c r="M67" s="168">
        <f>SUM(M66:M66)</f>
        <v>0</v>
      </c>
      <c r="N67" s="171"/>
      <c r="O67" s="168">
        <f t="shared" ref="O67:Y67" si="41">SUM(O66:O66)</f>
        <v>0</v>
      </c>
      <c r="P67" s="168">
        <f t="shared" si="41"/>
        <v>0</v>
      </c>
      <c r="Q67" s="168">
        <f t="shared" si="41"/>
        <v>0</v>
      </c>
      <c r="R67" s="168">
        <f t="shared" si="41"/>
        <v>45000</v>
      </c>
      <c r="S67" s="168">
        <f t="shared" si="41"/>
        <v>0</v>
      </c>
      <c r="T67" s="168">
        <f t="shared" si="41"/>
        <v>45000</v>
      </c>
      <c r="U67" s="168">
        <f t="shared" si="41"/>
        <v>45000</v>
      </c>
      <c r="V67" s="168">
        <f t="shared" si="41"/>
        <v>0</v>
      </c>
      <c r="W67" s="168">
        <f t="shared" si="41"/>
        <v>0</v>
      </c>
      <c r="X67" s="168">
        <f t="shared" si="41"/>
        <v>0</v>
      </c>
      <c r="Y67" s="168">
        <f t="shared" si="41"/>
        <v>0</v>
      </c>
    </row>
    <row r="68" spans="1:25" ht="15.75" thickTop="1" x14ac:dyDescent="0.25">
      <c r="C68" s="11"/>
      <c r="K68" s="169"/>
      <c r="L68" s="169"/>
      <c r="M68" s="169"/>
      <c r="N68" s="172"/>
      <c r="O68" s="169"/>
      <c r="P68" s="169"/>
      <c r="Q68" s="169"/>
      <c r="R68" s="169"/>
      <c r="S68" s="169"/>
      <c r="T68" s="169"/>
      <c r="U68" s="169"/>
      <c r="V68" s="169"/>
      <c r="W68" s="169"/>
      <c r="X68" s="169"/>
      <c r="Y68" s="169"/>
    </row>
    <row r="69" spans="1:25" outlineLevel="1" x14ac:dyDescent="0.25">
      <c r="A69" s="114" t="str">
        <f t="shared" ref="A69:A70" si="42">B69&amp;D69&amp;F69&amp;G69</f>
        <v>Physical ServicesMunicipal GarageGantry CraneGF</v>
      </c>
      <c r="B69" s="11" t="s">
        <v>365</v>
      </c>
      <c r="C69" s="123">
        <v>35</v>
      </c>
      <c r="D69" s="11" t="s">
        <v>436</v>
      </c>
      <c r="E69" s="124"/>
      <c r="F69" s="200" t="s">
        <v>318</v>
      </c>
      <c r="G69" s="123" t="s">
        <v>16</v>
      </c>
      <c r="H69" s="11" t="s">
        <v>531</v>
      </c>
      <c r="I69" s="11" t="s">
        <v>651</v>
      </c>
      <c r="J69" s="124"/>
      <c r="K69" s="169"/>
      <c r="L69" s="169"/>
      <c r="M69" s="169"/>
      <c r="N69" s="172"/>
      <c r="O69" s="169"/>
      <c r="P69" s="169">
        <f>25000*0</f>
        <v>0</v>
      </c>
      <c r="Q69" s="169"/>
      <c r="R69" s="169"/>
      <c r="S69" s="169"/>
      <c r="T69" s="169">
        <f t="shared" ref="T69:T84" si="43">SUM(U69:Y69)</f>
        <v>25000</v>
      </c>
      <c r="U69" s="169">
        <v>25000</v>
      </c>
      <c r="V69" s="169"/>
      <c r="W69" s="124"/>
      <c r="X69" s="124"/>
      <c r="Y69" s="124"/>
    </row>
    <row r="70" spans="1:25" outlineLevel="1" x14ac:dyDescent="0.25">
      <c r="A70" s="114" t="str">
        <f t="shared" si="42"/>
        <v>Physical ServicesMunicipal Garage4 Post 40 Ton Portable LiftGF</v>
      </c>
      <c r="B70" s="11" t="s">
        <v>365</v>
      </c>
      <c r="C70" s="123">
        <v>35</v>
      </c>
      <c r="D70" s="11" t="s">
        <v>436</v>
      </c>
      <c r="E70" s="124"/>
      <c r="F70" s="200" t="s">
        <v>642</v>
      </c>
      <c r="G70" s="123" t="s">
        <v>16</v>
      </c>
      <c r="H70" s="11" t="s">
        <v>531</v>
      </c>
      <c r="I70" s="11" t="s">
        <v>651</v>
      </c>
      <c r="J70" s="124"/>
      <c r="K70" s="169"/>
      <c r="L70" s="169"/>
      <c r="M70" s="169"/>
      <c r="N70" s="172"/>
      <c r="O70" s="169"/>
      <c r="P70" s="169"/>
      <c r="Q70" s="169"/>
      <c r="R70" s="169"/>
      <c r="S70" s="169"/>
      <c r="T70" s="169">
        <f t="shared" si="43"/>
        <v>0</v>
      </c>
      <c r="U70" s="169"/>
      <c r="V70" s="169"/>
      <c r="W70" s="124"/>
      <c r="X70" s="124"/>
      <c r="Y70" s="124"/>
    </row>
    <row r="71" spans="1:25" outlineLevel="1" x14ac:dyDescent="0.25">
      <c r="A71" s="114" t="str">
        <f t="shared" ref="A71:A79" si="44">B71&amp;D71&amp;F71&amp;G71</f>
        <v>Physical ServicesMunicipal Garage4 Post Vehicle LiftSurplus</v>
      </c>
      <c r="B71" s="11" t="s">
        <v>365</v>
      </c>
      <c r="C71" s="123">
        <v>35</v>
      </c>
      <c r="D71" s="11" t="s">
        <v>436</v>
      </c>
      <c r="E71" s="124"/>
      <c r="F71" s="200" t="s">
        <v>319</v>
      </c>
      <c r="G71" s="123" t="s">
        <v>1036</v>
      </c>
      <c r="H71" s="11" t="s">
        <v>531</v>
      </c>
      <c r="I71" s="11" t="s">
        <v>651</v>
      </c>
      <c r="J71" s="124"/>
      <c r="K71" s="169"/>
      <c r="L71" s="169"/>
      <c r="M71" s="169"/>
      <c r="N71" s="172"/>
      <c r="O71" s="169"/>
      <c r="P71" s="169">
        <v>45000</v>
      </c>
      <c r="Q71" s="169"/>
      <c r="R71" s="169"/>
      <c r="S71" s="169"/>
      <c r="T71" s="169">
        <f t="shared" si="43"/>
        <v>0</v>
      </c>
      <c r="U71" s="169"/>
      <c r="V71" s="169"/>
      <c r="W71" s="124"/>
      <c r="X71" s="124"/>
      <c r="Y71" s="124"/>
    </row>
    <row r="72" spans="1:25" outlineLevel="1" x14ac:dyDescent="0.25">
      <c r="A72" s="114" t="str">
        <f t="shared" si="44"/>
        <v>Physical ServicesMunicipal GarageInground LiftGF</v>
      </c>
      <c r="B72" s="11" t="s">
        <v>365</v>
      </c>
      <c r="C72" s="123">
        <v>35</v>
      </c>
      <c r="D72" s="11" t="s">
        <v>436</v>
      </c>
      <c r="E72" s="124"/>
      <c r="F72" s="200" t="s">
        <v>653</v>
      </c>
      <c r="G72" s="123" t="s">
        <v>16</v>
      </c>
      <c r="H72" s="11" t="s">
        <v>531</v>
      </c>
      <c r="I72" s="11" t="s">
        <v>648</v>
      </c>
      <c r="J72" s="124"/>
      <c r="K72" s="169"/>
      <c r="L72" s="169"/>
      <c r="M72" s="169"/>
      <c r="N72" s="172"/>
      <c r="O72" s="169"/>
      <c r="P72" s="169"/>
      <c r="Q72" s="169"/>
      <c r="R72" s="169"/>
      <c r="S72" s="169"/>
      <c r="T72" s="169">
        <f t="shared" si="43"/>
        <v>28000</v>
      </c>
      <c r="U72" s="169">
        <v>28000</v>
      </c>
      <c r="V72" s="169"/>
      <c r="W72" s="124"/>
      <c r="X72" s="124"/>
      <c r="Y72" s="124"/>
    </row>
    <row r="73" spans="1:25" outlineLevel="1" x14ac:dyDescent="0.25">
      <c r="A73" s="114" t="str">
        <f t="shared" si="44"/>
        <v>Physical ServicesMunicipal GarageAir compressorSurplus</v>
      </c>
      <c r="B73" s="11" t="s">
        <v>365</v>
      </c>
      <c r="C73" s="11">
        <v>35</v>
      </c>
      <c r="D73" s="11" t="s">
        <v>436</v>
      </c>
      <c r="F73" s="197" t="s">
        <v>650</v>
      </c>
      <c r="G73" s="11" t="s">
        <v>1036</v>
      </c>
      <c r="H73" s="11" t="s">
        <v>531</v>
      </c>
      <c r="I73" s="11" t="s">
        <v>651</v>
      </c>
      <c r="K73" s="169"/>
      <c r="L73" s="169"/>
      <c r="M73" s="169"/>
      <c r="N73" s="172"/>
      <c r="O73" s="169"/>
      <c r="P73" s="169"/>
      <c r="Q73" s="169"/>
      <c r="R73" s="169"/>
      <c r="S73" s="169">
        <v>25000</v>
      </c>
      <c r="T73" s="169">
        <f t="shared" si="43"/>
        <v>0</v>
      </c>
      <c r="U73" s="169"/>
      <c r="V73" s="169"/>
      <c r="W73" s="169"/>
      <c r="X73" s="169"/>
      <c r="Y73" s="169"/>
    </row>
    <row r="74" spans="1:25" outlineLevel="1" x14ac:dyDescent="0.25">
      <c r="A74" s="114" t="str">
        <f t="shared" si="44"/>
        <v>Physical ServicesMunicipal GarageMaintenance SoftwareGF</v>
      </c>
      <c r="B74" s="11" t="s">
        <v>365</v>
      </c>
      <c r="C74" s="11">
        <v>35</v>
      </c>
      <c r="D74" s="11" t="s">
        <v>436</v>
      </c>
      <c r="F74" s="197" t="s">
        <v>652</v>
      </c>
      <c r="G74" s="11" t="s">
        <v>16</v>
      </c>
      <c r="H74" s="11" t="s">
        <v>531</v>
      </c>
      <c r="I74" s="11" t="s">
        <v>651</v>
      </c>
      <c r="K74" s="169"/>
      <c r="L74" s="169"/>
      <c r="M74" s="169"/>
      <c r="N74" s="172"/>
      <c r="O74" s="169"/>
      <c r="P74" s="169">
        <v>30000</v>
      </c>
      <c r="Q74" s="169"/>
      <c r="R74" s="169"/>
      <c r="S74" s="169"/>
      <c r="T74" s="169">
        <f t="shared" si="43"/>
        <v>0</v>
      </c>
      <c r="U74" s="169"/>
      <c r="V74" s="169"/>
      <c r="W74" s="169"/>
      <c r="X74" s="169"/>
      <c r="Y74" s="169"/>
    </row>
    <row r="75" spans="1:25" outlineLevel="1" x14ac:dyDescent="0.25">
      <c r="A75" s="114" t="str">
        <f>B75&amp;D75&amp;F75&amp;G75</f>
        <v>Physical ServicesMunicipal GaragePick-up Truck w/ PlowSurplus</v>
      </c>
      <c r="B75" s="11" t="s">
        <v>365</v>
      </c>
      <c r="C75" s="11">
        <v>35</v>
      </c>
      <c r="D75" s="11" t="s">
        <v>436</v>
      </c>
      <c r="F75" s="197" t="s">
        <v>644</v>
      </c>
      <c r="G75" s="11" t="s">
        <v>1036</v>
      </c>
      <c r="H75" s="11" t="s">
        <v>531</v>
      </c>
      <c r="I75" s="11" t="s">
        <v>645</v>
      </c>
      <c r="K75" s="169"/>
      <c r="L75" s="169"/>
      <c r="M75" s="169"/>
      <c r="N75" s="172"/>
      <c r="O75" s="169"/>
      <c r="P75" s="169"/>
      <c r="Q75" s="169">
        <v>35000</v>
      </c>
      <c r="R75" s="169"/>
      <c r="S75" s="169"/>
      <c r="T75" s="169">
        <f t="shared" si="43"/>
        <v>0</v>
      </c>
      <c r="U75" s="169"/>
      <c r="V75" s="169"/>
      <c r="W75" s="169"/>
      <c r="X75" s="169"/>
      <c r="Y75" s="169"/>
    </row>
    <row r="76" spans="1:25" outlineLevel="1" x14ac:dyDescent="0.25">
      <c r="A76" s="114" t="str">
        <f>B76&amp;D76&amp;F76&amp;G76</f>
        <v>Physical ServicesMunicipal GarageService TruckGF</v>
      </c>
      <c r="B76" s="11" t="s">
        <v>365</v>
      </c>
      <c r="C76" s="11">
        <v>35</v>
      </c>
      <c r="D76" s="11" t="s">
        <v>436</v>
      </c>
      <c r="F76" s="197" t="s">
        <v>646</v>
      </c>
      <c r="G76" s="11" t="s">
        <v>16</v>
      </c>
      <c r="H76" s="11" t="s">
        <v>531</v>
      </c>
      <c r="I76" s="11" t="s">
        <v>645</v>
      </c>
      <c r="K76" s="169"/>
      <c r="L76" s="169"/>
      <c r="M76" s="169"/>
      <c r="N76" s="172"/>
      <c r="O76" s="169"/>
      <c r="P76" s="169"/>
      <c r="Q76" s="169"/>
      <c r="R76" s="169">
        <v>80000</v>
      </c>
      <c r="S76" s="169"/>
      <c r="T76" s="169">
        <f t="shared" si="43"/>
        <v>0</v>
      </c>
      <c r="U76" s="169"/>
      <c r="V76" s="169"/>
      <c r="W76" s="169"/>
      <c r="X76" s="169"/>
      <c r="Y76" s="169"/>
    </row>
    <row r="77" spans="1:25" outlineLevel="1" x14ac:dyDescent="0.25">
      <c r="A77" s="114" t="str">
        <f>B77&amp;D77&amp;F77&amp;G77</f>
        <v>Physical ServicesMunicipal GarageFork LiftSurplus</v>
      </c>
      <c r="B77" s="11" t="s">
        <v>365</v>
      </c>
      <c r="C77" s="11">
        <v>35</v>
      </c>
      <c r="D77" s="11" t="s">
        <v>436</v>
      </c>
      <c r="F77" s="197" t="s">
        <v>647</v>
      </c>
      <c r="G77" s="11" t="s">
        <v>1036</v>
      </c>
      <c r="H77" s="11" t="s">
        <v>531</v>
      </c>
      <c r="I77" s="11" t="s">
        <v>648</v>
      </c>
      <c r="K77" s="169"/>
      <c r="L77" s="169"/>
      <c r="M77" s="169"/>
      <c r="N77" s="172"/>
      <c r="O77" s="169"/>
      <c r="P77" s="169"/>
      <c r="Q77" s="169"/>
      <c r="R77" s="169">
        <v>45000</v>
      </c>
      <c r="S77" s="169"/>
      <c r="T77" s="169">
        <f t="shared" si="43"/>
        <v>0</v>
      </c>
      <c r="U77" s="169"/>
      <c r="V77" s="169"/>
      <c r="W77" s="169"/>
      <c r="X77" s="169"/>
      <c r="Y77" s="169"/>
    </row>
    <row r="78" spans="1:25" outlineLevel="1" x14ac:dyDescent="0.25">
      <c r="A78" s="114" t="str">
        <f>B78&amp;D78&amp;F78&amp;G78</f>
        <v>Physical ServicesMunicipal GarageFlatbedGF</v>
      </c>
      <c r="B78" s="11" t="s">
        <v>365</v>
      </c>
      <c r="C78" s="11">
        <v>35</v>
      </c>
      <c r="D78" s="11" t="s">
        <v>436</v>
      </c>
      <c r="F78" s="197" t="s">
        <v>649</v>
      </c>
      <c r="G78" s="11" t="s">
        <v>16</v>
      </c>
      <c r="H78" s="11" t="s">
        <v>531</v>
      </c>
      <c r="I78" s="11" t="s">
        <v>648</v>
      </c>
      <c r="K78" s="169"/>
      <c r="L78" s="169"/>
      <c r="M78" s="169"/>
      <c r="N78" s="172"/>
      <c r="O78" s="169"/>
      <c r="P78" s="169"/>
      <c r="Q78" s="169"/>
      <c r="R78" s="169"/>
      <c r="S78" s="169">
        <v>45000</v>
      </c>
      <c r="T78" s="169">
        <f t="shared" si="43"/>
        <v>0</v>
      </c>
      <c r="U78" s="169"/>
      <c r="V78" s="169"/>
      <c r="W78" s="169"/>
      <c r="X78" s="169"/>
      <c r="Y78" s="169"/>
    </row>
    <row r="79" spans="1:25" outlineLevel="1" x14ac:dyDescent="0.25">
      <c r="A79" s="114" t="str">
        <f t="shared" si="44"/>
        <v>Physical ServicesMunicipal GaragePool CarsSurplus</v>
      </c>
      <c r="B79" s="11" t="s">
        <v>365</v>
      </c>
      <c r="C79" s="11">
        <v>35</v>
      </c>
      <c r="D79" s="11" t="s">
        <v>436</v>
      </c>
      <c r="F79" s="197" t="s">
        <v>643</v>
      </c>
      <c r="G79" s="11" t="s">
        <v>1036</v>
      </c>
      <c r="H79" s="11" t="s">
        <v>531</v>
      </c>
      <c r="I79" s="11" t="s">
        <v>645</v>
      </c>
      <c r="K79" s="169"/>
      <c r="L79" s="169"/>
      <c r="M79" s="169"/>
      <c r="N79" s="172"/>
      <c r="O79" s="169"/>
      <c r="P79" s="169">
        <v>20000</v>
      </c>
      <c r="Q79" s="169">
        <f>P79</f>
        <v>20000</v>
      </c>
      <c r="R79" s="169">
        <f t="shared" ref="R79:Y79" si="45">Q79</f>
        <v>20000</v>
      </c>
      <c r="S79" s="169">
        <f t="shared" si="45"/>
        <v>20000</v>
      </c>
      <c r="T79" s="169">
        <f t="shared" si="43"/>
        <v>100000</v>
      </c>
      <c r="U79" s="169">
        <f>S79</f>
        <v>20000</v>
      </c>
      <c r="V79" s="169">
        <f t="shared" si="45"/>
        <v>20000</v>
      </c>
      <c r="W79" s="169">
        <f t="shared" si="45"/>
        <v>20000</v>
      </c>
      <c r="X79" s="169">
        <f t="shared" si="45"/>
        <v>20000</v>
      </c>
      <c r="Y79" s="169">
        <f t="shared" si="45"/>
        <v>20000</v>
      </c>
    </row>
    <row r="80" spans="1:25" outlineLevel="1" x14ac:dyDescent="0.25">
      <c r="A80" s="114" t="str">
        <f t="shared" ref="A80" si="46">B80&amp;D80&amp;F80&amp;G80</f>
        <v>Physical ServicesMunicipal GarageAssessor's CarGF</v>
      </c>
      <c r="B80" s="11" t="s">
        <v>365</v>
      </c>
      <c r="C80" s="11">
        <v>35</v>
      </c>
      <c r="D80" s="11" t="s">
        <v>436</v>
      </c>
      <c r="F80" s="273" t="s">
        <v>934</v>
      </c>
      <c r="G80" s="11" t="s">
        <v>16</v>
      </c>
      <c r="K80" s="169"/>
      <c r="L80" s="169"/>
      <c r="M80" s="169"/>
      <c r="N80" s="172"/>
      <c r="O80" s="169"/>
      <c r="P80" s="169"/>
      <c r="Q80" s="169"/>
      <c r="R80" s="169"/>
      <c r="S80" s="169"/>
      <c r="T80" s="169">
        <f t="shared" si="43"/>
        <v>20000</v>
      </c>
      <c r="U80" s="169"/>
      <c r="V80" s="169"/>
      <c r="W80" s="169">
        <v>20000</v>
      </c>
      <c r="X80" s="169"/>
      <c r="Y80" s="169"/>
    </row>
    <row r="81" spans="1:25" ht="14.25" customHeight="1" outlineLevel="1" x14ac:dyDescent="0.25">
      <c r="A81" s="114" t="str">
        <f t="shared" ref="A81:A82" si="47">B81&amp;D81&amp;F81&amp;G81</f>
        <v>Physical ServicesMunicipal GarageBuilding Inspector's CarGF</v>
      </c>
      <c r="B81" s="11" t="s">
        <v>365</v>
      </c>
      <c r="C81" s="11">
        <v>35</v>
      </c>
      <c r="D81" s="11" t="s">
        <v>436</v>
      </c>
      <c r="F81" s="273" t="s">
        <v>935</v>
      </c>
      <c r="G81" s="11" t="s">
        <v>16</v>
      </c>
      <c r="K81" s="169"/>
      <c r="L81" s="169"/>
      <c r="M81" s="169"/>
      <c r="N81" s="172"/>
      <c r="O81" s="169"/>
      <c r="P81" s="169"/>
      <c r="Q81" s="169"/>
      <c r="R81" s="169"/>
      <c r="S81" s="169"/>
      <c r="T81" s="169">
        <f t="shared" si="43"/>
        <v>20000</v>
      </c>
      <c r="U81" s="169">
        <v>20000</v>
      </c>
      <c r="V81" s="169"/>
      <c r="W81" s="169"/>
      <c r="X81" s="169"/>
      <c r="Y81" s="169"/>
    </row>
    <row r="82" spans="1:25" outlineLevel="1" x14ac:dyDescent="0.25">
      <c r="A82" s="114" t="str">
        <f t="shared" si="47"/>
        <v>Physical ServicesMunicipal GaragePublic Work's/Engineering - SUVGF</v>
      </c>
      <c r="B82" s="11" t="s">
        <v>365</v>
      </c>
      <c r="C82" s="11">
        <v>35</v>
      </c>
      <c r="D82" s="11" t="s">
        <v>436</v>
      </c>
      <c r="F82" s="273" t="s">
        <v>936</v>
      </c>
      <c r="G82" s="11" t="s">
        <v>16</v>
      </c>
      <c r="K82" s="169"/>
      <c r="L82" s="169"/>
      <c r="M82" s="169"/>
      <c r="N82" s="172"/>
      <c r="O82" s="169"/>
      <c r="P82" s="169"/>
      <c r="Q82" s="169"/>
      <c r="R82" s="169"/>
      <c r="S82" s="169"/>
      <c r="T82" s="169">
        <f t="shared" si="43"/>
        <v>30000</v>
      </c>
      <c r="U82" s="169"/>
      <c r="V82" s="169"/>
      <c r="W82" s="169">
        <v>30000</v>
      </c>
      <c r="X82" s="169"/>
      <c r="Y82" s="169"/>
    </row>
    <row r="83" spans="1:25" outlineLevel="1" x14ac:dyDescent="0.25">
      <c r="A83" s="114" t="str">
        <f t="shared" ref="A83" si="48">B83&amp;D83&amp;F83&amp;G83</f>
        <v>Physical ServicesMunicipal GaragePublic Work's/Engineering - Passenger CarGF</v>
      </c>
      <c r="B83" s="11" t="s">
        <v>365</v>
      </c>
      <c r="C83" s="11">
        <v>35</v>
      </c>
      <c r="D83" s="11" t="s">
        <v>436</v>
      </c>
      <c r="F83" s="273" t="s">
        <v>937</v>
      </c>
      <c r="G83" s="11" t="s">
        <v>16</v>
      </c>
      <c r="K83" s="169"/>
      <c r="L83" s="169"/>
      <c r="M83" s="169"/>
      <c r="N83" s="172"/>
      <c r="O83" s="169"/>
      <c r="P83" s="169"/>
      <c r="Q83" s="169"/>
      <c r="R83" s="169"/>
      <c r="S83" s="169"/>
      <c r="T83" s="169">
        <f t="shared" si="43"/>
        <v>30000</v>
      </c>
      <c r="U83" s="169">
        <v>30000</v>
      </c>
      <c r="V83" s="169"/>
      <c r="W83" s="169"/>
      <c r="X83" s="169"/>
      <c r="Y83" s="169"/>
    </row>
    <row r="84" spans="1:25" outlineLevel="1" x14ac:dyDescent="0.25">
      <c r="A84" s="114" t="str">
        <f t="shared" ref="A84" si="49">B84&amp;D84&amp;F84&amp;G84</f>
        <v>Physical ServicesMunicipal GarageNursing - Passenger CarsGF</v>
      </c>
      <c r="B84" s="11" t="s">
        <v>365</v>
      </c>
      <c r="C84" s="11">
        <v>35</v>
      </c>
      <c r="D84" s="11" t="s">
        <v>436</v>
      </c>
      <c r="F84" s="273" t="s">
        <v>941</v>
      </c>
      <c r="G84" s="11" t="s">
        <v>16</v>
      </c>
      <c r="K84" s="169"/>
      <c r="L84" s="169"/>
      <c r="M84" s="169"/>
      <c r="N84" s="172"/>
      <c r="O84" s="169"/>
      <c r="P84" s="169"/>
      <c r="Q84" s="169"/>
      <c r="R84" s="169"/>
      <c r="S84" s="169"/>
      <c r="T84" s="169">
        <f t="shared" si="43"/>
        <v>40000</v>
      </c>
      <c r="U84" s="169"/>
      <c r="V84" s="169"/>
      <c r="W84" s="169"/>
      <c r="X84" s="169">
        <v>20000</v>
      </c>
      <c r="Y84" s="169">
        <v>20000</v>
      </c>
    </row>
    <row r="85" spans="1:25" ht="15.75" outlineLevel="1" thickBot="1" x14ac:dyDescent="0.3">
      <c r="C85" s="11"/>
      <c r="K85" s="168">
        <f>SUM(K69:K84)</f>
        <v>0</v>
      </c>
      <c r="L85" s="168">
        <f>SUM(L69:L84)</f>
        <v>0</v>
      </c>
      <c r="M85" s="168">
        <f>SUM(M69:M84)</f>
        <v>0</v>
      </c>
      <c r="N85" s="171"/>
      <c r="O85" s="168">
        <f t="shared" ref="O85:Y85" si="50">SUM(O69:O84)</f>
        <v>0</v>
      </c>
      <c r="P85" s="168">
        <f t="shared" si="50"/>
        <v>95000</v>
      </c>
      <c r="Q85" s="168">
        <f t="shared" si="50"/>
        <v>55000</v>
      </c>
      <c r="R85" s="168">
        <f t="shared" si="50"/>
        <v>145000</v>
      </c>
      <c r="S85" s="168">
        <f t="shared" si="50"/>
        <v>90000</v>
      </c>
      <c r="T85" s="168">
        <f t="shared" si="50"/>
        <v>293000</v>
      </c>
      <c r="U85" s="168">
        <f t="shared" si="50"/>
        <v>123000</v>
      </c>
      <c r="V85" s="168">
        <f t="shared" si="50"/>
        <v>20000</v>
      </c>
      <c r="W85" s="168">
        <f t="shared" si="50"/>
        <v>70000</v>
      </c>
      <c r="X85" s="168">
        <f t="shared" si="50"/>
        <v>40000</v>
      </c>
      <c r="Y85" s="168">
        <f t="shared" si="50"/>
        <v>40000</v>
      </c>
    </row>
    <row r="86" spans="1:25" ht="15.75" outlineLevel="1" thickTop="1" x14ac:dyDescent="0.25">
      <c r="C86" s="11"/>
      <c r="K86" s="169"/>
      <c r="L86" s="169"/>
      <c r="M86" s="169"/>
      <c r="N86" s="172"/>
      <c r="O86" s="169"/>
      <c r="P86" s="169"/>
      <c r="Q86" s="169"/>
      <c r="R86" s="169"/>
      <c r="S86" s="169"/>
      <c r="T86" s="169"/>
      <c r="U86" s="169"/>
      <c r="V86" s="169"/>
      <c r="W86" s="169"/>
      <c r="X86" s="169"/>
      <c r="Y86" s="169"/>
    </row>
    <row r="87" spans="1:25" outlineLevel="1" x14ac:dyDescent="0.25">
      <c r="A87" s="114" t="str">
        <f t="shared" ref="A87:A118" si="51">B87&amp;D87&amp;F87&amp;G87</f>
        <v>Physical ServicesPublic WorksRailroad Pond DamBond</v>
      </c>
      <c r="B87" s="11" t="s">
        <v>365</v>
      </c>
      <c r="C87" s="123">
        <v>36</v>
      </c>
      <c r="D87" s="11" t="s">
        <v>250</v>
      </c>
      <c r="E87" s="124"/>
      <c r="F87" s="200" t="s">
        <v>628</v>
      </c>
      <c r="G87" s="123" t="s">
        <v>19</v>
      </c>
      <c r="H87" s="11" t="s">
        <v>531</v>
      </c>
      <c r="J87" s="124"/>
      <c r="K87" s="169"/>
      <c r="L87" s="169"/>
      <c r="M87" s="169">
        <v>500000</v>
      </c>
      <c r="N87" s="172"/>
      <c r="O87" s="169"/>
      <c r="P87" s="169"/>
      <c r="Q87" s="169"/>
      <c r="R87" s="169"/>
      <c r="S87" s="169"/>
      <c r="T87" s="169">
        <f t="shared" ref="T87:T118" si="52">SUM(U87:Y87)</f>
        <v>0</v>
      </c>
      <c r="U87" s="169"/>
      <c r="V87" s="169"/>
      <c r="W87" s="169"/>
      <c r="X87" s="169"/>
      <c r="Y87" s="169"/>
    </row>
    <row r="88" spans="1:25" outlineLevel="1" x14ac:dyDescent="0.25">
      <c r="A88" s="114" t="str">
        <f t="shared" ref="A88" si="53">B88&amp;D88&amp;F88&amp;G88</f>
        <v>Physical ServicesPublic WorksRailroad Pond DamBAN</v>
      </c>
      <c r="B88" s="11" t="s">
        <v>365</v>
      </c>
      <c r="C88" s="123">
        <v>36</v>
      </c>
      <c r="D88" s="11" t="s">
        <v>250</v>
      </c>
      <c r="E88" s="124"/>
      <c r="F88" s="200" t="s">
        <v>628</v>
      </c>
      <c r="G88" s="123" t="s">
        <v>13</v>
      </c>
      <c r="H88" s="11" t="s">
        <v>531</v>
      </c>
      <c r="J88" s="124"/>
      <c r="K88" s="169"/>
      <c r="L88" s="169">
        <v>1000000</v>
      </c>
      <c r="M88" s="169"/>
      <c r="N88" s="172"/>
      <c r="O88" s="169"/>
      <c r="P88" s="169"/>
      <c r="Q88" s="169"/>
      <c r="R88" s="169"/>
      <c r="S88" s="169"/>
      <c r="T88" s="169">
        <f t="shared" si="52"/>
        <v>0</v>
      </c>
      <c r="U88" s="169"/>
      <c r="V88" s="169"/>
      <c r="W88" s="169"/>
      <c r="X88" s="169"/>
      <c r="Y88" s="169"/>
    </row>
    <row r="89" spans="1:25" ht="30" outlineLevel="1" x14ac:dyDescent="0.25">
      <c r="A89" s="114" t="str">
        <f>B89&amp;D89&amp;F89&amp;G89</f>
        <v>Physical ServicesPublic WorksPaper Goods Pond Dam (consulting - not sure how much work needs to be done, so cost may increase)GF</v>
      </c>
      <c r="B89" s="11" t="s">
        <v>365</v>
      </c>
      <c r="C89" s="123">
        <v>36</v>
      </c>
      <c r="D89" s="11" t="s">
        <v>250</v>
      </c>
      <c r="E89" s="124"/>
      <c r="F89" s="200" t="s">
        <v>541</v>
      </c>
      <c r="G89" s="123" t="s">
        <v>16</v>
      </c>
      <c r="H89" s="11" t="s">
        <v>531</v>
      </c>
      <c r="J89" s="124"/>
      <c r="K89" s="169"/>
      <c r="L89" s="169"/>
      <c r="M89" s="169"/>
      <c r="N89" s="172"/>
      <c r="O89" s="169"/>
      <c r="P89" s="169"/>
      <c r="Q89" s="169"/>
      <c r="R89" s="169"/>
      <c r="S89" s="169"/>
      <c r="T89" s="169">
        <f t="shared" si="52"/>
        <v>100000</v>
      </c>
      <c r="U89" s="169">
        <f>100000</f>
        <v>100000</v>
      </c>
      <c r="V89" s="169"/>
      <c r="W89" s="169"/>
      <c r="X89" s="169"/>
      <c r="Y89" s="169"/>
    </row>
    <row r="90" spans="1:25" outlineLevel="1" x14ac:dyDescent="0.25">
      <c r="A90" s="114" t="str">
        <f>B90&amp;D90&amp;F90&amp;G90</f>
        <v>Physical ServicesPublic WorksFarmington Av (remainder paid from existing bond money)Bond</v>
      </c>
      <c r="B90" s="11" t="s">
        <v>365</v>
      </c>
      <c r="C90" s="11">
        <v>36</v>
      </c>
      <c r="D90" s="11" t="s">
        <v>250</v>
      </c>
      <c r="F90" s="200" t="s">
        <v>77</v>
      </c>
      <c r="G90" s="11" t="s">
        <v>19</v>
      </c>
      <c r="H90" s="11" t="s">
        <v>531</v>
      </c>
      <c r="K90" s="169"/>
      <c r="L90" s="169"/>
      <c r="M90" s="169"/>
      <c r="N90" s="172"/>
      <c r="O90" s="169"/>
      <c r="P90" s="169"/>
      <c r="Q90" s="169"/>
      <c r="R90" s="169"/>
      <c r="S90" s="169"/>
      <c r="T90" s="169">
        <f t="shared" si="52"/>
        <v>0</v>
      </c>
      <c r="U90" s="169"/>
      <c r="V90" s="169"/>
      <c r="W90" s="169"/>
      <c r="X90" s="169"/>
      <c r="Y90" s="169"/>
    </row>
    <row r="91" spans="1:25" outlineLevel="1" x14ac:dyDescent="0.25">
      <c r="A91" s="114" t="str">
        <f t="shared" si="51"/>
        <v>Physical ServicesPublic WorksHigh Road BridgeBond</v>
      </c>
      <c r="B91" s="11" t="s">
        <v>365</v>
      </c>
      <c r="C91" s="11">
        <v>36</v>
      </c>
      <c r="D91" s="11" t="s">
        <v>250</v>
      </c>
      <c r="F91" s="197" t="s">
        <v>498</v>
      </c>
      <c r="G91" s="11" t="s">
        <v>19</v>
      </c>
      <c r="H91" s="11" t="s">
        <v>531</v>
      </c>
      <c r="K91" s="169">
        <f>1000000</f>
        <v>1000000</v>
      </c>
      <c r="L91" s="169"/>
      <c r="M91" s="169"/>
      <c r="N91" s="172"/>
      <c r="O91" s="169"/>
      <c r="P91" s="169"/>
      <c r="Q91" s="169"/>
      <c r="R91" s="169"/>
      <c r="S91" s="169"/>
      <c r="T91" s="169">
        <f t="shared" si="52"/>
        <v>0</v>
      </c>
      <c r="U91" s="169"/>
      <c r="V91" s="169"/>
      <c r="W91" s="169"/>
      <c r="X91" s="169"/>
      <c r="Y91" s="169"/>
    </row>
    <row r="92" spans="1:25" outlineLevel="1" x14ac:dyDescent="0.25">
      <c r="A92" s="114" t="str">
        <f t="shared" ref="A92:A97" si="54">B92&amp;D92&amp;F92&amp;G92</f>
        <v>Physical ServicesPublic WorksBurnham Street BridgeBond</v>
      </c>
      <c r="B92" s="11" t="s">
        <v>365</v>
      </c>
      <c r="C92" s="11">
        <v>36</v>
      </c>
      <c r="D92" s="11" t="s">
        <v>250</v>
      </c>
      <c r="F92" s="197" t="s">
        <v>630</v>
      </c>
      <c r="G92" s="11" t="s">
        <v>19</v>
      </c>
      <c r="H92" s="11" t="s">
        <v>531</v>
      </c>
      <c r="K92" s="169"/>
      <c r="L92" s="169"/>
      <c r="M92" s="169">
        <v>1000000</v>
      </c>
      <c r="N92" s="172"/>
      <c r="O92" s="169"/>
      <c r="P92" s="169"/>
      <c r="Q92" s="169"/>
      <c r="R92" s="169"/>
      <c r="S92" s="169"/>
      <c r="T92" s="169">
        <f t="shared" si="52"/>
        <v>0</v>
      </c>
      <c r="U92" s="169"/>
      <c r="V92" s="169"/>
      <c r="W92" s="169"/>
      <c r="X92" s="169"/>
      <c r="Y92" s="169"/>
    </row>
    <row r="93" spans="1:25" outlineLevel="1" x14ac:dyDescent="0.25">
      <c r="A93" s="114" t="str">
        <f t="shared" si="54"/>
        <v>Physical ServicesPublic WorksSpruce Brook BridgeBond</v>
      </c>
      <c r="B93" s="11" t="s">
        <v>365</v>
      </c>
      <c r="C93" s="11">
        <v>36</v>
      </c>
      <c r="D93" s="11" t="s">
        <v>250</v>
      </c>
      <c r="F93" s="197" t="s">
        <v>631</v>
      </c>
      <c r="G93" s="11" t="s">
        <v>19</v>
      </c>
      <c r="H93" s="11" t="s">
        <v>531</v>
      </c>
      <c r="K93" s="169"/>
      <c r="L93" s="169"/>
      <c r="M93" s="169"/>
      <c r="N93" s="172"/>
      <c r="O93" s="169"/>
      <c r="P93" s="169">
        <v>500000</v>
      </c>
      <c r="Q93" s="169">
        <v>900000</v>
      </c>
      <c r="R93" s="169"/>
      <c r="S93" s="169"/>
      <c r="T93" s="169">
        <f t="shared" si="52"/>
        <v>0</v>
      </c>
      <c r="U93" s="169"/>
      <c r="V93" s="169"/>
      <c r="W93" s="169"/>
      <c r="X93" s="169"/>
      <c r="Y93" s="169"/>
    </row>
    <row r="94" spans="1:25" outlineLevel="1" x14ac:dyDescent="0.25">
      <c r="A94" s="114" t="str">
        <f t="shared" si="54"/>
        <v>Physical ServicesPublic WorksKensington Road BridgeCapital</v>
      </c>
      <c r="B94" s="11" t="s">
        <v>365</v>
      </c>
      <c r="C94" s="11">
        <v>36</v>
      </c>
      <c r="D94" s="11" t="s">
        <v>250</v>
      </c>
      <c r="F94" s="197" t="s">
        <v>632</v>
      </c>
      <c r="G94" s="11" t="s">
        <v>533</v>
      </c>
      <c r="H94" s="11" t="s">
        <v>531</v>
      </c>
      <c r="K94" s="169"/>
      <c r="L94" s="169"/>
      <c r="M94" s="169">
        <f>880800*0.5*0</f>
        <v>0</v>
      </c>
      <c r="N94" s="172"/>
      <c r="O94" s="169">
        <f>880800*0.5</f>
        <v>440400</v>
      </c>
      <c r="P94" s="169"/>
      <c r="Q94" s="169"/>
      <c r="R94" s="169"/>
      <c r="S94" s="169"/>
      <c r="T94" s="169">
        <f t="shared" si="52"/>
        <v>0</v>
      </c>
      <c r="U94" s="169"/>
      <c r="V94" s="169"/>
      <c r="W94" s="169"/>
      <c r="X94" s="169"/>
      <c r="Y94" s="169"/>
    </row>
    <row r="95" spans="1:25" outlineLevel="1" x14ac:dyDescent="0.25">
      <c r="A95" s="114" t="str">
        <f t="shared" si="54"/>
        <v>Physical ServicesPublic WorksKensington Road Bridge - verify grant amountGrants</v>
      </c>
      <c r="B95" s="11" t="s">
        <v>365</v>
      </c>
      <c r="C95" s="11">
        <v>36</v>
      </c>
      <c r="D95" s="11" t="s">
        <v>250</v>
      </c>
      <c r="F95" s="197" t="s">
        <v>919</v>
      </c>
      <c r="G95" s="11" t="s">
        <v>38</v>
      </c>
      <c r="H95" s="11" t="s">
        <v>531</v>
      </c>
      <c r="K95" s="169"/>
      <c r="L95" s="169"/>
      <c r="M95" s="169">
        <f>880800*0.5*0</f>
        <v>0</v>
      </c>
      <c r="N95" s="172"/>
      <c r="O95" s="169"/>
      <c r="P95" s="169">
        <v>2300000</v>
      </c>
      <c r="Q95" s="169"/>
      <c r="R95" s="169"/>
      <c r="S95" s="169"/>
      <c r="T95" s="169">
        <f t="shared" si="52"/>
        <v>0</v>
      </c>
      <c r="U95" s="169"/>
      <c r="V95" s="169"/>
      <c r="W95" s="169"/>
      <c r="X95" s="169"/>
      <c r="Y95" s="169"/>
    </row>
    <row r="96" spans="1:25" ht="30" outlineLevel="1" x14ac:dyDescent="0.25">
      <c r="A96" s="114" t="str">
        <f t="shared" ref="A96" si="55">B96&amp;D96&amp;F96&amp;G96</f>
        <v>Physical ServicesPublic WorksEdgewood Road Bridge (engineering in FY21; construction in FY24)Grants</v>
      </c>
      <c r="B96" s="11" t="s">
        <v>365</v>
      </c>
      <c r="C96" s="11">
        <v>36</v>
      </c>
      <c r="D96" s="11" t="s">
        <v>250</v>
      </c>
      <c r="F96" s="255" t="s">
        <v>1062</v>
      </c>
      <c r="G96" s="11" t="s">
        <v>38</v>
      </c>
      <c r="H96" s="11" t="s">
        <v>531</v>
      </c>
      <c r="K96" s="169"/>
      <c r="L96" s="169"/>
      <c r="M96" s="169">
        <v>200000</v>
      </c>
      <c r="N96" s="172"/>
      <c r="O96" s="169"/>
      <c r="P96" s="169"/>
      <c r="Q96" s="169"/>
      <c r="R96" s="169">
        <f>847550-O96</f>
        <v>847550</v>
      </c>
      <c r="S96" s="169"/>
      <c r="T96" s="169">
        <f t="shared" si="52"/>
        <v>0</v>
      </c>
      <c r="U96" s="169"/>
      <c r="V96" s="169"/>
      <c r="W96" s="169"/>
      <c r="X96" s="169"/>
      <c r="Y96" s="169"/>
    </row>
    <row r="97" spans="1:26" ht="30" outlineLevel="1" x14ac:dyDescent="0.25">
      <c r="A97" s="114" t="str">
        <f t="shared" si="54"/>
        <v>Physical ServicesPublic WorksEdgewood Road Bridge (engineering in FY21; construction in FY24)GF</v>
      </c>
      <c r="B97" s="11" t="s">
        <v>365</v>
      </c>
      <c r="C97" s="11">
        <v>36</v>
      </c>
      <c r="D97" s="11" t="s">
        <v>250</v>
      </c>
      <c r="F97" s="197" t="s">
        <v>1062</v>
      </c>
      <c r="G97" s="11" t="s">
        <v>16</v>
      </c>
      <c r="H97" s="11" t="s">
        <v>531</v>
      </c>
      <c r="K97" s="169"/>
      <c r="L97" s="169"/>
      <c r="M97" s="169"/>
      <c r="N97" s="172"/>
      <c r="O97" s="169"/>
      <c r="P97" s="169"/>
      <c r="Q97" s="169"/>
      <c r="R97" s="169">
        <f>1695100-200000-R96</f>
        <v>647550</v>
      </c>
      <c r="S97" s="169"/>
      <c r="T97" s="169">
        <f t="shared" si="52"/>
        <v>0</v>
      </c>
      <c r="U97" s="169"/>
      <c r="V97" s="169"/>
      <c r="W97" s="169"/>
      <c r="X97" s="169"/>
      <c r="Y97" s="169"/>
    </row>
    <row r="98" spans="1:26" ht="45" outlineLevel="1" x14ac:dyDescent="0.25">
      <c r="A98" s="114" t="str">
        <f t="shared" si="51"/>
        <v>Physical ServicesPublic WorksBridge Preservation Work (Worthington Ridge,  Berlin Street, Wildermere Road and Heritage Drive) - ReimbursableCapital</v>
      </c>
      <c r="B98" s="11" t="s">
        <v>365</v>
      </c>
      <c r="C98" s="11">
        <v>36</v>
      </c>
      <c r="D98" s="11" t="s">
        <v>250</v>
      </c>
      <c r="F98" s="197" t="s">
        <v>839</v>
      </c>
      <c r="G98" s="11" t="s">
        <v>533</v>
      </c>
      <c r="H98" s="11" t="s">
        <v>531</v>
      </c>
      <c r="K98" s="169"/>
      <c r="L98" s="169"/>
      <c r="M98" s="169">
        <v>432000</v>
      </c>
      <c r="N98" s="172"/>
      <c r="O98" s="169"/>
      <c r="P98" s="169"/>
      <c r="Q98" s="169"/>
      <c r="R98" s="169"/>
      <c r="S98" s="169"/>
      <c r="T98" s="169">
        <f t="shared" si="52"/>
        <v>0</v>
      </c>
      <c r="U98" s="169"/>
      <c r="V98" s="169"/>
      <c r="W98" s="169"/>
      <c r="X98" s="169"/>
      <c r="Y98" s="169"/>
    </row>
    <row r="99" spans="1:26" ht="45" outlineLevel="1" x14ac:dyDescent="0.25">
      <c r="A99" s="114" t="str">
        <f t="shared" ref="A99" si="56">B99&amp;D99&amp;F99&amp;G99</f>
        <v>Physical ServicesPublic WorksBridge Preservation Work (Worthington Ridge,  Berlin Street, Wildermere Road and Heritage Drive) - ReimbursableBond</v>
      </c>
      <c r="B99" s="11" t="s">
        <v>365</v>
      </c>
      <c r="C99" s="11">
        <v>36</v>
      </c>
      <c r="D99" s="11" t="s">
        <v>250</v>
      </c>
      <c r="F99" s="389" t="s">
        <v>839</v>
      </c>
      <c r="G99" s="11" t="s">
        <v>19</v>
      </c>
      <c r="K99" s="169"/>
      <c r="L99" s="169"/>
      <c r="M99" s="169"/>
      <c r="N99" s="172"/>
      <c r="O99" s="169">
        <f>2400000-O100</f>
        <v>1900000</v>
      </c>
      <c r="P99" s="169"/>
      <c r="Q99" s="169"/>
      <c r="R99" s="169"/>
      <c r="S99" s="169"/>
      <c r="T99" s="169">
        <f t="shared" si="52"/>
        <v>0</v>
      </c>
      <c r="U99" s="169"/>
      <c r="V99" s="169"/>
      <c r="W99" s="169"/>
      <c r="X99" s="169"/>
      <c r="Y99" s="169"/>
    </row>
    <row r="100" spans="1:26" outlineLevel="1" x14ac:dyDescent="0.25">
      <c r="A100" s="114" t="str">
        <f t="shared" ref="A100" si="57">B100&amp;D100&amp;F100&amp;G100</f>
        <v>Physical ServicesPublic WorksGlen Street Bridge - Option 1Bond</v>
      </c>
      <c r="B100" s="11" t="s">
        <v>365</v>
      </c>
      <c r="C100" s="11">
        <v>36</v>
      </c>
      <c r="D100" s="11" t="s">
        <v>250</v>
      </c>
      <c r="F100" s="273" t="s">
        <v>920</v>
      </c>
      <c r="G100" s="11" t="s">
        <v>19</v>
      </c>
      <c r="H100" s="11" t="s">
        <v>531</v>
      </c>
      <c r="K100" s="169"/>
      <c r="L100" s="169"/>
      <c r="M100" s="169"/>
      <c r="N100" s="172"/>
      <c r="O100" s="169">
        <v>500000</v>
      </c>
      <c r="P100" s="169"/>
      <c r="Q100" s="169"/>
      <c r="R100" s="169"/>
      <c r="S100" s="169"/>
      <c r="T100" s="169">
        <f t="shared" si="52"/>
        <v>0</v>
      </c>
      <c r="U100" s="169"/>
      <c r="V100" s="169"/>
      <c r="W100" s="169"/>
      <c r="X100" s="169"/>
      <c r="Y100" s="169"/>
    </row>
    <row r="101" spans="1:26" outlineLevel="1" x14ac:dyDescent="0.25">
      <c r="A101" s="114" t="str">
        <f t="shared" ref="A101:A102" si="58">B101&amp;D101&amp;F101&amp;G101</f>
        <v>Physical ServicesPublic WorksMain Street Streetscape II (STEAP Grant)Grants</v>
      </c>
      <c r="B101" s="11" t="s">
        <v>365</v>
      </c>
      <c r="C101" s="11">
        <v>36</v>
      </c>
      <c r="D101" s="11" t="s">
        <v>250</v>
      </c>
      <c r="F101" s="231" t="s">
        <v>815</v>
      </c>
      <c r="G101" s="11" t="s">
        <v>38</v>
      </c>
      <c r="H101" s="11" t="s">
        <v>531</v>
      </c>
      <c r="K101" s="169"/>
      <c r="L101" s="169"/>
      <c r="M101" s="169"/>
      <c r="N101" s="172"/>
      <c r="O101" s="169">
        <v>500000</v>
      </c>
      <c r="P101" s="169"/>
      <c r="Q101" s="169"/>
      <c r="R101" s="169"/>
      <c r="S101" s="169"/>
      <c r="T101" s="169">
        <f t="shared" si="52"/>
        <v>0</v>
      </c>
      <c r="U101" s="169"/>
      <c r="V101" s="169"/>
      <c r="W101" s="169"/>
      <c r="X101" s="169"/>
      <c r="Y101" s="169"/>
    </row>
    <row r="102" spans="1:26" outlineLevel="1" x14ac:dyDescent="0.25">
      <c r="A102" s="114" t="str">
        <f t="shared" si="58"/>
        <v>Physical ServicesPublic WorksCommunity Connectivity Grant (Sidewalk connections)Grants</v>
      </c>
      <c r="B102" s="11" t="s">
        <v>365</v>
      </c>
      <c r="C102" s="11">
        <v>36</v>
      </c>
      <c r="D102" s="11" t="s">
        <v>250</v>
      </c>
      <c r="F102" s="231" t="s">
        <v>816</v>
      </c>
      <c r="G102" s="11" t="s">
        <v>38</v>
      </c>
      <c r="H102" s="11" t="s">
        <v>531</v>
      </c>
      <c r="K102" s="169"/>
      <c r="L102" s="169"/>
      <c r="M102" s="169">
        <v>387000</v>
      </c>
      <c r="N102" s="172"/>
      <c r="O102" s="169"/>
      <c r="P102" s="169"/>
      <c r="Q102" s="169"/>
      <c r="R102" s="169"/>
      <c r="S102" s="169"/>
      <c r="T102" s="169">
        <f t="shared" si="52"/>
        <v>0</v>
      </c>
      <c r="U102" s="169"/>
      <c r="V102" s="169"/>
      <c r="W102" s="169"/>
      <c r="X102" s="169"/>
      <c r="Y102" s="169"/>
    </row>
    <row r="103" spans="1:26" outlineLevel="1" x14ac:dyDescent="0.25">
      <c r="A103" s="114" t="str">
        <f t="shared" ref="A103:A114" si="59">B103&amp;D103&amp;F103&amp;G103</f>
        <v>Physical ServicesPublic WorksAnnual Bridge MaintenanceGF</v>
      </c>
      <c r="B103" s="11" t="s">
        <v>365</v>
      </c>
      <c r="C103" s="11">
        <v>36</v>
      </c>
      <c r="D103" s="11" t="s">
        <v>250</v>
      </c>
      <c r="F103" s="197" t="s">
        <v>460</v>
      </c>
      <c r="G103" s="11" t="s">
        <v>16</v>
      </c>
      <c r="H103" s="11" t="s">
        <v>522</v>
      </c>
      <c r="K103" s="169"/>
      <c r="L103" s="169"/>
      <c r="M103" s="169"/>
      <c r="N103" s="172"/>
      <c r="O103" s="169">
        <v>0</v>
      </c>
      <c r="P103" s="169">
        <v>0</v>
      </c>
      <c r="Q103" s="169">
        <v>0</v>
      </c>
      <c r="R103" s="169">
        <v>250000</v>
      </c>
      <c r="S103" s="169">
        <v>250000</v>
      </c>
      <c r="T103" s="169">
        <f t="shared" si="52"/>
        <v>1250000</v>
      </c>
      <c r="U103" s="169">
        <v>250000</v>
      </c>
      <c r="V103" s="169">
        <v>250000</v>
      </c>
      <c r="W103" s="169">
        <v>250000</v>
      </c>
      <c r="X103" s="169">
        <v>250000</v>
      </c>
      <c r="Y103" s="169">
        <v>250000</v>
      </c>
    </row>
    <row r="104" spans="1:26" outlineLevel="1" x14ac:dyDescent="0.25">
      <c r="A104" s="114" t="str">
        <f t="shared" si="59"/>
        <v>Physical ServicesPublic WorksTownwide Sidewalks - TARTAR</v>
      </c>
      <c r="B104" s="11" t="s">
        <v>365</v>
      </c>
      <c r="C104" s="11">
        <v>36</v>
      </c>
      <c r="D104" s="11" t="s">
        <v>250</v>
      </c>
      <c r="F104" s="197" t="s">
        <v>654</v>
      </c>
      <c r="G104" s="11" t="s">
        <v>858</v>
      </c>
      <c r="H104" s="11" t="s">
        <v>522</v>
      </c>
      <c r="K104" s="169"/>
      <c r="L104" s="169"/>
      <c r="M104" s="169">
        <f>166000*2-M96-M274</f>
        <v>2000</v>
      </c>
      <c r="N104" s="172"/>
      <c r="O104" s="169">
        <v>100000</v>
      </c>
      <c r="P104" s="169">
        <v>100000</v>
      </c>
      <c r="Q104" s="169">
        <v>100000</v>
      </c>
      <c r="R104" s="169">
        <v>100000</v>
      </c>
      <c r="S104" s="169">
        <v>100000</v>
      </c>
      <c r="T104" s="169">
        <f t="shared" si="52"/>
        <v>500000</v>
      </c>
      <c r="U104" s="169">
        <v>100000</v>
      </c>
      <c r="V104" s="169">
        <v>100000</v>
      </c>
      <c r="W104" s="169">
        <v>100000</v>
      </c>
      <c r="X104" s="169">
        <v>100000</v>
      </c>
      <c r="Y104" s="169">
        <v>100000</v>
      </c>
    </row>
    <row r="105" spans="1:26" outlineLevel="1" x14ac:dyDescent="0.25">
      <c r="A105" s="114" t="str">
        <f t="shared" ref="A105" si="60">B105&amp;D105&amp;F105&amp;G105</f>
        <v>Physical ServicesPublic WorksMain Roads Project (Porter's Pass, Deming, Masserio)Grants</v>
      </c>
      <c r="B105" s="11" t="s">
        <v>365</v>
      </c>
      <c r="C105" s="11">
        <v>36</v>
      </c>
      <c r="D105" s="11" t="s">
        <v>250</v>
      </c>
      <c r="F105" s="239" t="s">
        <v>835</v>
      </c>
      <c r="G105" s="11" t="s">
        <v>38</v>
      </c>
      <c r="H105" s="11" t="s">
        <v>531</v>
      </c>
      <c r="K105" s="169"/>
      <c r="L105" s="169"/>
      <c r="M105" s="169">
        <f>2900000*0</f>
        <v>0</v>
      </c>
      <c r="N105" s="172"/>
      <c r="O105" s="169">
        <v>3558000</v>
      </c>
      <c r="P105" s="169"/>
      <c r="Q105" s="169"/>
      <c r="R105" s="169"/>
      <c r="S105" s="169"/>
      <c r="T105" s="169">
        <f t="shared" si="52"/>
        <v>0</v>
      </c>
      <c r="U105" s="169"/>
      <c r="V105" s="169"/>
      <c r="W105" s="169"/>
      <c r="X105" s="169"/>
      <c r="Y105" s="169"/>
    </row>
    <row r="106" spans="1:26" outlineLevel="1" x14ac:dyDescent="0.25">
      <c r="A106" s="114" t="str">
        <f t="shared" si="59"/>
        <v>Physical ServicesPublic WorksWorthington Ridge Playground Parking LotTAR</v>
      </c>
      <c r="B106" s="11" t="s">
        <v>365</v>
      </c>
      <c r="C106" s="11">
        <v>36</v>
      </c>
      <c r="D106" s="11" t="s">
        <v>250</v>
      </c>
      <c r="F106" s="197" t="s">
        <v>490</v>
      </c>
      <c r="G106" s="11" t="s">
        <v>858</v>
      </c>
      <c r="H106" s="11" t="s">
        <v>531</v>
      </c>
      <c r="I106" s="11" t="s">
        <v>645</v>
      </c>
      <c r="K106" s="169"/>
      <c r="L106" s="169"/>
      <c r="M106" s="169"/>
      <c r="N106" s="172"/>
      <c r="O106" s="169">
        <v>30000</v>
      </c>
      <c r="P106" s="169"/>
      <c r="Q106" s="169"/>
      <c r="R106" s="169"/>
      <c r="S106" s="169"/>
      <c r="T106" s="169">
        <f t="shared" si="52"/>
        <v>0</v>
      </c>
      <c r="U106" s="169"/>
      <c r="V106" s="169"/>
      <c r="W106" s="169"/>
      <c r="X106" s="169"/>
      <c r="Y106" s="169"/>
    </row>
    <row r="107" spans="1:26" outlineLevel="1" x14ac:dyDescent="0.25">
      <c r="A107" s="114" t="str">
        <f t="shared" si="59"/>
        <v>Physical ServicesPublic WorksDenehy Field Parking Lot - use millings (free)TAR</v>
      </c>
      <c r="B107" s="11" t="s">
        <v>365</v>
      </c>
      <c r="C107" s="11">
        <v>36</v>
      </c>
      <c r="D107" s="11" t="s">
        <v>250</v>
      </c>
      <c r="F107" s="197" t="s">
        <v>854</v>
      </c>
      <c r="G107" s="11" t="s">
        <v>858</v>
      </c>
      <c r="H107" s="11" t="s">
        <v>531</v>
      </c>
      <c r="I107" s="11" t="s">
        <v>645</v>
      </c>
      <c r="K107" s="169"/>
      <c r="L107" s="169"/>
      <c r="M107" s="169"/>
      <c r="N107" s="172"/>
      <c r="O107" s="169">
        <f>55000*0</f>
        <v>0</v>
      </c>
      <c r="P107" s="169"/>
      <c r="Q107" s="169"/>
      <c r="R107" s="169"/>
      <c r="T107" s="169">
        <f t="shared" si="52"/>
        <v>55000</v>
      </c>
      <c r="V107" s="169"/>
      <c r="W107" s="169">
        <v>55000</v>
      </c>
      <c r="X107" s="169"/>
      <c r="Y107" s="169"/>
      <c r="Z107" s="169"/>
    </row>
    <row r="108" spans="1:26" outlineLevel="1" x14ac:dyDescent="0.25">
      <c r="A108" s="114" t="str">
        <f t="shared" si="59"/>
        <v>Physical ServicesPublic WorksSage Park Parking LotGF</v>
      </c>
      <c r="B108" s="11" t="s">
        <v>365</v>
      </c>
      <c r="C108" s="11">
        <v>36</v>
      </c>
      <c r="D108" s="11" t="s">
        <v>250</v>
      </c>
      <c r="F108" s="197" t="s">
        <v>656</v>
      </c>
      <c r="G108" s="11" t="s">
        <v>16</v>
      </c>
      <c r="H108" s="11" t="s">
        <v>531</v>
      </c>
      <c r="I108" s="11" t="s">
        <v>645</v>
      </c>
      <c r="K108" s="169"/>
      <c r="L108" s="169"/>
      <c r="M108" s="169">
        <f>235000*0</f>
        <v>0</v>
      </c>
      <c r="N108" s="172"/>
      <c r="O108" s="169"/>
      <c r="P108" s="169">
        <f>250000*0</f>
        <v>0</v>
      </c>
      <c r="Q108" s="169"/>
      <c r="R108" s="169"/>
      <c r="T108" s="169">
        <f t="shared" si="52"/>
        <v>250000</v>
      </c>
      <c r="V108" s="169">
        <v>250000</v>
      </c>
      <c r="W108" s="169"/>
      <c r="X108" s="169"/>
      <c r="Y108" s="169"/>
      <c r="Z108" s="169"/>
    </row>
    <row r="109" spans="1:26" outlineLevel="1" x14ac:dyDescent="0.25">
      <c r="A109" s="114" t="str">
        <f t="shared" si="59"/>
        <v>Physical ServicesPublic WorksTimberlin Golf Course Parking LotGF</v>
      </c>
      <c r="B109" s="11" t="s">
        <v>365</v>
      </c>
      <c r="C109" s="11">
        <v>36</v>
      </c>
      <c r="D109" s="11" t="s">
        <v>250</v>
      </c>
      <c r="F109" s="197" t="s">
        <v>657</v>
      </c>
      <c r="G109" s="11" t="s">
        <v>16</v>
      </c>
      <c r="H109" s="11" t="s">
        <v>531</v>
      </c>
      <c r="I109" s="11" t="s">
        <v>645</v>
      </c>
      <c r="K109" s="169"/>
      <c r="L109" s="169"/>
      <c r="M109" s="169">
        <f>275000*0</f>
        <v>0</v>
      </c>
      <c r="N109" s="172"/>
      <c r="O109" s="169"/>
      <c r="P109" s="169"/>
      <c r="Q109" s="169"/>
      <c r="R109" s="169"/>
      <c r="T109" s="169">
        <f t="shared" si="52"/>
        <v>275000</v>
      </c>
      <c r="V109" s="169">
        <f>275000*0</f>
        <v>0</v>
      </c>
      <c r="W109" s="169">
        <f>275000</f>
        <v>275000</v>
      </c>
      <c r="X109" s="169"/>
      <c r="Y109" s="169"/>
      <c r="Z109" s="169"/>
    </row>
    <row r="110" spans="1:26" outlineLevel="1" x14ac:dyDescent="0.25">
      <c r="A110" s="114" t="str">
        <f t="shared" si="59"/>
        <v>Physical ServicesPublic WorksTown Hall Parking LotGF</v>
      </c>
      <c r="B110" s="11" t="s">
        <v>365</v>
      </c>
      <c r="C110" s="11">
        <v>36</v>
      </c>
      <c r="D110" s="11" t="s">
        <v>250</v>
      </c>
      <c r="F110" s="197" t="s">
        <v>658</v>
      </c>
      <c r="G110" s="11" t="s">
        <v>16</v>
      </c>
      <c r="H110" s="11" t="s">
        <v>531</v>
      </c>
      <c r="I110" s="11" t="s">
        <v>645</v>
      </c>
      <c r="K110" s="169"/>
      <c r="L110" s="169"/>
      <c r="M110" s="169"/>
      <c r="N110" s="172"/>
      <c r="O110" s="169"/>
      <c r="P110" s="169"/>
      <c r="Q110" s="169">
        <f>150000*0</f>
        <v>0</v>
      </c>
      <c r="R110" s="169">
        <f>180000*0</f>
        <v>0</v>
      </c>
      <c r="T110" s="169">
        <f t="shared" si="52"/>
        <v>330000</v>
      </c>
      <c r="V110" s="169"/>
      <c r="W110" s="169">
        <v>150000</v>
      </c>
      <c r="X110" s="169">
        <v>180000</v>
      </c>
      <c r="Y110" s="169"/>
      <c r="Z110" s="169"/>
    </row>
    <row r="111" spans="1:26" outlineLevel="1" x14ac:dyDescent="0.25">
      <c r="A111" s="114" t="str">
        <f t="shared" si="59"/>
        <v>Physical ServicesPublic WorksPetit Field Parking LotGF</v>
      </c>
      <c r="B111" s="11" t="s">
        <v>365</v>
      </c>
      <c r="C111" s="11">
        <v>36</v>
      </c>
      <c r="D111" s="11" t="s">
        <v>250</v>
      </c>
      <c r="F111" s="197" t="s">
        <v>491</v>
      </c>
      <c r="G111" s="11" t="s">
        <v>16</v>
      </c>
      <c r="H111" s="11" t="s">
        <v>531</v>
      </c>
      <c r="I111" s="11" t="s">
        <v>645</v>
      </c>
      <c r="K111" s="169"/>
      <c r="L111" s="169"/>
      <c r="M111" s="169"/>
      <c r="N111" s="172"/>
      <c r="O111" s="169"/>
      <c r="P111" s="169"/>
      <c r="Q111" s="169"/>
      <c r="R111" s="169"/>
      <c r="T111" s="169">
        <f t="shared" si="52"/>
        <v>60000</v>
      </c>
      <c r="V111" s="169">
        <v>60000</v>
      </c>
      <c r="W111" s="169"/>
      <c r="X111" s="169"/>
      <c r="Y111" s="169"/>
      <c r="Z111" s="169"/>
    </row>
    <row r="112" spans="1:26" outlineLevel="1" x14ac:dyDescent="0.25">
      <c r="A112" s="114" t="str">
        <f t="shared" si="59"/>
        <v>Physical ServicesPublic WorksPercival Field/Pool Parking LotGF</v>
      </c>
      <c r="B112" s="11" t="s">
        <v>365</v>
      </c>
      <c r="C112" s="11">
        <v>36</v>
      </c>
      <c r="D112" s="11" t="s">
        <v>250</v>
      </c>
      <c r="F112" s="197" t="s">
        <v>492</v>
      </c>
      <c r="G112" s="11" t="s">
        <v>16</v>
      </c>
      <c r="H112" s="11" t="s">
        <v>531</v>
      </c>
      <c r="I112" s="11" t="s">
        <v>645</v>
      </c>
      <c r="K112" s="169"/>
      <c r="L112" s="169"/>
      <c r="M112" s="169"/>
      <c r="N112" s="172"/>
      <c r="O112" s="169"/>
      <c r="P112" s="169"/>
      <c r="Q112" s="169"/>
      <c r="R112" s="169"/>
      <c r="T112" s="169">
        <f t="shared" si="52"/>
        <v>100000</v>
      </c>
      <c r="V112" s="169"/>
      <c r="W112" s="169"/>
      <c r="X112" s="169">
        <v>100000</v>
      </c>
      <c r="Y112" s="169"/>
      <c r="Z112" s="169"/>
    </row>
    <row r="113" spans="1:26" outlineLevel="1" x14ac:dyDescent="0.25">
      <c r="A113" s="114" t="str">
        <f t="shared" si="59"/>
        <v>Physical ServicesPublic WorksPistol Creek Parking LotGF</v>
      </c>
      <c r="B113" s="11" t="s">
        <v>365</v>
      </c>
      <c r="C113" s="11">
        <v>36</v>
      </c>
      <c r="D113" s="11" t="s">
        <v>250</v>
      </c>
      <c r="F113" s="197" t="s">
        <v>493</v>
      </c>
      <c r="G113" s="11" t="s">
        <v>16</v>
      </c>
      <c r="H113" s="11" t="s">
        <v>531</v>
      </c>
      <c r="I113" s="11" t="s">
        <v>645</v>
      </c>
      <c r="K113" s="169"/>
      <c r="L113" s="169"/>
      <c r="M113" s="169"/>
      <c r="N113" s="172"/>
      <c r="O113" s="169"/>
      <c r="P113" s="169"/>
      <c r="Q113" s="169"/>
      <c r="R113" s="169"/>
      <c r="T113" s="169">
        <f t="shared" si="52"/>
        <v>140000</v>
      </c>
      <c r="V113" s="169"/>
      <c r="W113" s="169"/>
      <c r="X113" s="169"/>
      <c r="Y113" s="169">
        <v>140000</v>
      </c>
      <c r="Z113" s="169"/>
    </row>
    <row r="114" spans="1:26" outlineLevel="1" x14ac:dyDescent="0.25">
      <c r="A114" s="114" t="str">
        <f t="shared" si="59"/>
        <v>Physical ServicesPublic WorksVeterans Park Parking LotGF</v>
      </c>
      <c r="B114" s="11" t="s">
        <v>365</v>
      </c>
      <c r="C114" s="11">
        <v>36</v>
      </c>
      <c r="D114" s="11" t="s">
        <v>250</v>
      </c>
      <c r="F114" s="197" t="s">
        <v>494</v>
      </c>
      <c r="G114" s="11" t="s">
        <v>16</v>
      </c>
      <c r="H114" s="11" t="s">
        <v>531</v>
      </c>
      <c r="I114" s="11" t="s">
        <v>645</v>
      </c>
      <c r="K114" s="169"/>
      <c r="L114" s="169"/>
      <c r="M114" s="169"/>
      <c r="N114" s="172"/>
      <c r="O114" s="169"/>
      <c r="P114" s="169"/>
      <c r="Q114" s="169"/>
      <c r="R114" s="169"/>
      <c r="T114" s="169">
        <f t="shared" si="52"/>
        <v>35000</v>
      </c>
      <c r="V114" s="169"/>
      <c r="W114" s="169"/>
      <c r="X114" s="169"/>
      <c r="Y114" s="169">
        <v>35000</v>
      </c>
      <c r="Z114" s="169"/>
    </row>
    <row r="115" spans="1:26" ht="30" outlineLevel="1" x14ac:dyDescent="0.25">
      <c r="A115" s="114" t="str">
        <f t="shared" si="51"/>
        <v>Physical ServicesPublic WorksRecycling Center Improvements - moved to operating in FY20Grants</v>
      </c>
      <c r="B115" s="11" t="s">
        <v>365</v>
      </c>
      <c r="C115" s="11">
        <v>36</v>
      </c>
      <c r="D115" s="11" t="s">
        <v>250</v>
      </c>
      <c r="F115" s="197" t="s">
        <v>871</v>
      </c>
      <c r="G115" s="11" t="s">
        <v>38</v>
      </c>
      <c r="H115" s="11" t="s">
        <v>531</v>
      </c>
      <c r="K115" s="169">
        <v>15000</v>
      </c>
      <c r="L115" s="169"/>
      <c r="M115" s="169"/>
      <c r="N115" s="172"/>
      <c r="O115" s="169"/>
      <c r="P115" s="169"/>
      <c r="Q115" s="169"/>
      <c r="R115" s="169"/>
      <c r="S115" s="169"/>
      <c r="T115" s="169">
        <f t="shared" si="52"/>
        <v>0</v>
      </c>
      <c r="U115" s="169"/>
      <c r="V115" s="169"/>
      <c r="W115" s="124"/>
      <c r="X115" s="124"/>
      <c r="Y115" s="124"/>
    </row>
    <row r="116" spans="1:26" ht="30" outlineLevel="1" x14ac:dyDescent="0.25">
      <c r="A116" s="114" t="str">
        <f t="shared" si="51"/>
        <v>Physical ServicesPublic WorksRecycling Center Improvements - moved to operating in FY20GF</v>
      </c>
      <c r="B116" s="11" t="s">
        <v>365</v>
      </c>
      <c r="C116" s="11">
        <v>36</v>
      </c>
      <c r="D116" s="11" t="s">
        <v>250</v>
      </c>
      <c r="F116" s="197" t="s">
        <v>871</v>
      </c>
      <c r="G116" s="11" t="s">
        <v>16</v>
      </c>
      <c r="H116" s="11" t="s">
        <v>531</v>
      </c>
      <c r="K116" s="169"/>
      <c r="L116" s="169">
        <v>50000</v>
      </c>
      <c r="M116" s="169"/>
      <c r="N116" s="172"/>
      <c r="O116" s="169"/>
      <c r="P116" s="169"/>
      <c r="Q116" s="169"/>
      <c r="R116" s="169"/>
      <c r="S116" s="169"/>
      <c r="T116" s="169">
        <f t="shared" si="52"/>
        <v>0</v>
      </c>
      <c r="U116" s="169"/>
      <c r="V116" s="169"/>
      <c r="W116" s="124"/>
      <c r="X116" s="124"/>
      <c r="Y116" s="124"/>
    </row>
    <row r="117" spans="1:26" outlineLevel="1" x14ac:dyDescent="0.25">
      <c r="A117" s="114" t="str">
        <f t="shared" si="51"/>
        <v>Physical ServicesPublic WorksStormwater Management - moved to operating in FY20GF</v>
      </c>
      <c r="B117" s="11" t="s">
        <v>365</v>
      </c>
      <c r="C117" s="11">
        <v>36</v>
      </c>
      <c r="D117" s="11" t="s">
        <v>250</v>
      </c>
      <c r="F117" s="197" t="s">
        <v>869</v>
      </c>
      <c r="G117" s="11" t="s">
        <v>16</v>
      </c>
      <c r="H117" s="11" t="s">
        <v>531</v>
      </c>
      <c r="K117" s="169">
        <v>1717</v>
      </c>
      <c r="L117" s="169"/>
      <c r="M117" s="169"/>
      <c r="N117" s="172"/>
      <c r="O117" s="169"/>
      <c r="P117" s="169"/>
      <c r="Q117" s="169"/>
      <c r="R117" s="169"/>
      <c r="S117" s="169"/>
      <c r="T117" s="169">
        <f t="shared" si="52"/>
        <v>0</v>
      </c>
      <c r="U117" s="169"/>
      <c r="V117" s="169"/>
      <c r="W117" s="169"/>
      <c r="X117" s="169"/>
      <c r="Y117" s="169"/>
    </row>
    <row r="118" spans="1:26" outlineLevel="1" x14ac:dyDescent="0.25">
      <c r="A118" s="114" t="str">
        <f t="shared" si="51"/>
        <v>Physical ServicesPublic WorksMUTCD Signs - moved to operating in FY20Grants</v>
      </c>
      <c r="B118" s="11" t="s">
        <v>365</v>
      </c>
      <c r="C118" s="11">
        <v>36</v>
      </c>
      <c r="D118" s="11" t="s">
        <v>250</v>
      </c>
      <c r="F118" s="197" t="s">
        <v>870</v>
      </c>
      <c r="G118" s="11" t="s">
        <v>38</v>
      </c>
      <c r="H118" s="11" t="s">
        <v>531</v>
      </c>
      <c r="K118" s="169">
        <v>20000</v>
      </c>
      <c r="L118" s="169"/>
      <c r="M118" s="169"/>
      <c r="N118" s="172"/>
      <c r="O118" s="169"/>
      <c r="P118" s="169"/>
      <c r="Q118" s="169"/>
      <c r="R118" s="169"/>
      <c r="S118" s="169"/>
      <c r="T118" s="169">
        <f t="shared" si="52"/>
        <v>0</v>
      </c>
      <c r="U118" s="169"/>
      <c r="V118" s="169"/>
      <c r="W118" s="124"/>
      <c r="X118" s="124"/>
      <c r="Y118" s="124"/>
    </row>
    <row r="119" spans="1:26" s="124" customFormat="1" ht="15.75" outlineLevel="1" thickBot="1" x14ac:dyDescent="0.3">
      <c r="B119" s="123"/>
      <c r="C119" s="123"/>
      <c r="D119" s="123"/>
      <c r="F119" s="200"/>
      <c r="G119" s="123"/>
      <c r="H119" s="123"/>
      <c r="I119" s="123"/>
      <c r="K119" s="168">
        <f>SUM(K87:K118)</f>
        <v>1036717</v>
      </c>
      <c r="L119" s="168">
        <f>SUM(L87:L118)</f>
        <v>1050000</v>
      </c>
      <c r="M119" s="168">
        <f>SUM(M87:M118)</f>
        <v>2521000</v>
      </c>
      <c r="N119" s="171"/>
      <c r="O119" s="168">
        <f t="shared" ref="O119:Y119" si="61">SUM(O87:O118)</f>
        <v>7028400</v>
      </c>
      <c r="P119" s="168">
        <f t="shared" si="61"/>
        <v>2900000</v>
      </c>
      <c r="Q119" s="168">
        <f t="shared" si="61"/>
        <v>1000000</v>
      </c>
      <c r="R119" s="168">
        <f t="shared" si="61"/>
        <v>1845100</v>
      </c>
      <c r="S119" s="168">
        <f t="shared" si="61"/>
        <v>350000</v>
      </c>
      <c r="T119" s="168">
        <f t="shared" si="61"/>
        <v>3095000</v>
      </c>
      <c r="U119" s="168">
        <f t="shared" si="61"/>
        <v>450000</v>
      </c>
      <c r="V119" s="168">
        <f t="shared" si="61"/>
        <v>660000</v>
      </c>
      <c r="W119" s="168">
        <f t="shared" si="61"/>
        <v>830000</v>
      </c>
      <c r="X119" s="168">
        <f t="shared" si="61"/>
        <v>630000</v>
      </c>
      <c r="Y119" s="168">
        <f t="shared" si="61"/>
        <v>525000</v>
      </c>
    </row>
    <row r="120" spans="1:26" s="124" customFormat="1" ht="15.75" thickTop="1" x14ac:dyDescent="0.25">
      <c r="B120" s="123"/>
      <c r="C120" s="123"/>
      <c r="D120" s="123"/>
      <c r="F120" s="200"/>
      <c r="G120" s="123"/>
      <c r="H120" s="123"/>
      <c r="I120" s="123"/>
      <c r="K120" s="169"/>
      <c r="L120" s="169"/>
      <c r="M120" s="169"/>
      <c r="N120" s="172"/>
      <c r="O120" s="169"/>
      <c r="P120" s="169"/>
      <c r="Q120" s="169"/>
      <c r="R120" s="169"/>
      <c r="S120" s="169"/>
      <c r="T120" s="169"/>
      <c r="U120" s="169"/>
      <c r="V120" s="169"/>
      <c r="W120" s="169"/>
      <c r="X120" s="169"/>
      <c r="Y120" s="169"/>
    </row>
    <row r="121" spans="1:26" outlineLevel="1" x14ac:dyDescent="0.25">
      <c r="A121" s="114" t="str">
        <f>B121&amp;D121&amp;F121&amp;G121</f>
        <v>Physical ServicesHighwayRoadsBond</v>
      </c>
      <c r="B121" s="11" t="s">
        <v>365</v>
      </c>
      <c r="C121" s="11">
        <v>37</v>
      </c>
      <c r="D121" s="11" t="s">
        <v>461</v>
      </c>
      <c r="F121" s="197" t="s">
        <v>52</v>
      </c>
      <c r="G121" s="11" t="s">
        <v>19</v>
      </c>
      <c r="H121" s="11" t="s">
        <v>522</v>
      </c>
      <c r="K121" s="169">
        <v>1050000</v>
      </c>
      <c r="L121" s="169"/>
      <c r="M121" s="169"/>
      <c r="N121" s="172"/>
      <c r="O121" s="169">
        <v>1150000</v>
      </c>
      <c r="P121" s="390">
        <v>400000</v>
      </c>
      <c r="Q121" s="390">
        <f>P121</f>
        <v>400000</v>
      </c>
      <c r="R121" s="390">
        <f t="shared" ref="R121:Y121" si="62">Q121</f>
        <v>400000</v>
      </c>
      <c r="S121" s="390">
        <f t="shared" si="62"/>
        <v>400000</v>
      </c>
      <c r="T121" s="169">
        <f t="shared" ref="T121:T141" si="63">SUM(U121:Y121)</f>
        <v>2000000</v>
      </c>
      <c r="U121" s="390">
        <f>S121</f>
        <v>400000</v>
      </c>
      <c r="V121" s="390">
        <f t="shared" si="62"/>
        <v>400000</v>
      </c>
      <c r="W121" s="390">
        <f t="shared" si="62"/>
        <v>400000</v>
      </c>
      <c r="X121" s="390">
        <f t="shared" si="62"/>
        <v>400000</v>
      </c>
      <c r="Y121" s="390">
        <f t="shared" si="62"/>
        <v>400000</v>
      </c>
    </row>
    <row r="122" spans="1:26" outlineLevel="1" x14ac:dyDescent="0.25">
      <c r="A122" s="114" t="str">
        <f t="shared" ref="A122" si="64">B122&amp;D122&amp;F122&amp;G122</f>
        <v>Physical ServicesHighwayRoadsBAN</v>
      </c>
      <c r="B122" s="11" t="s">
        <v>365</v>
      </c>
      <c r="C122" s="11">
        <v>37</v>
      </c>
      <c r="D122" s="11" t="s">
        <v>461</v>
      </c>
      <c r="F122" s="197" t="s">
        <v>52</v>
      </c>
      <c r="G122" s="11" t="s">
        <v>13</v>
      </c>
      <c r="H122" s="11" t="s">
        <v>522</v>
      </c>
      <c r="K122" s="169"/>
      <c r="L122" s="169">
        <v>1800000</v>
      </c>
      <c r="M122" s="169"/>
      <c r="N122" s="172"/>
      <c r="O122" s="124"/>
      <c r="P122" s="124"/>
      <c r="Q122" s="124"/>
      <c r="R122" s="124"/>
      <c r="S122" s="124"/>
      <c r="T122" s="169">
        <f t="shared" si="63"/>
        <v>0</v>
      </c>
      <c r="U122" s="124"/>
      <c r="V122" s="124"/>
      <c r="W122" s="124"/>
      <c r="X122" s="124"/>
      <c r="Y122" s="124"/>
    </row>
    <row r="123" spans="1:26" outlineLevel="1" x14ac:dyDescent="0.25">
      <c r="A123" s="114" t="str">
        <f>B123&amp;D123&amp;F123&amp;G123</f>
        <v>Physical ServicesHighwayRoadsGF</v>
      </c>
      <c r="B123" s="11" t="s">
        <v>365</v>
      </c>
      <c r="C123" s="11">
        <v>37</v>
      </c>
      <c r="D123" s="11" t="s">
        <v>461</v>
      </c>
      <c r="F123" s="197" t="s">
        <v>52</v>
      </c>
      <c r="G123" s="11" t="s">
        <v>16</v>
      </c>
      <c r="H123" s="11" t="s">
        <v>522</v>
      </c>
      <c r="K123" s="124"/>
      <c r="L123" s="124"/>
      <c r="M123" s="169"/>
      <c r="N123" s="166"/>
      <c r="O123" s="169"/>
      <c r="P123" s="169">
        <f>(1200000-P124)*0</f>
        <v>0</v>
      </c>
      <c r="Q123" s="169">
        <f t="shared" ref="Q123:Y123" si="65">(1200000-Q124)*0</f>
        <v>0</v>
      </c>
      <c r="R123" s="169">
        <f t="shared" si="65"/>
        <v>0</v>
      </c>
      <c r="S123" s="169">
        <f t="shared" si="65"/>
        <v>0</v>
      </c>
      <c r="T123" s="169">
        <f t="shared" si="63"/>
        <v>0</v>
      </c>
      <c r="U123" s="169">
        <f t="shared" si="65"/>
        <v>0</v>
      </c>
      <c r="V123" s="169">
        <f t="shared" si="65"/>
        <v>0</v>
      </c>
      <c r="W123" s="169">
        <f t="shared" si="65"/>
        <v>0</v>
      </c>
      <c r="X123" s="169">
        <f t="shared" si="65"/>
        <v>0</v>
      </c>
      <c r="Y123" s="169">
        <f t="shared" si="65"/>
        <v>0</v>
      </c>
    </row>
    <row r="124" spans="1:26" outlineLevel="1" x14ac:dyDescent="0.25">
      <c r="A124" s="114" t="str">
        <f>B124&amp;D124&amp;F124&amp;G124</f>
        <v>Physical ServicesHighwayRoadsGrants</v>
      </c>
      <c r="B124" s="11" t="s">
        <v>365</v>
      </c>
      <c r="C124" s="11">
        <v>37</v>
      </c>
      <c r="D124" s="11" t="s">
        <v>461</v>
      </c>
      <c r="F124" s="197" t="s">
        <v>52</v>
      </c>
      <c r="G124" s="11" t="s">
        <v>38</v>
      </c>
      <c r="H124" s="11" t="s">
        <v>522</v>
      </c>
      <c r="K124" s="169"/>
      <c r="L124" s="169"/>
      <c r="M124" s="169">
        <v>786000</v>
      </c>
      <c r="N124" s="172"/>
      <c r="O124" s="169"/>
      <c r="P124" s="169">
        <v>786000</v>
      </c>
      <c r="Q124" s="169">
        <v>786000</v>
      </c>
      <c r="R124" s="169">
        <v>786000</v>
      </c>
      <c r="S124" s="169">
        <v>786000</v>
      </c>
      <c r="T124" s="169">
        <f t="shared" si="63"/>
        <v>3930000</v>
      </c>
      <c r="U124" s="169">
        <v>786000</v>
      </c>
      <c r="V124" s="169">
        <v>786000</v>
      </c>
      <c r="W124" s="169">
        <v>786000</v>
      </c>
      <c r="X124" s="169">
        <v>786000</v>
      </c>
      <c r="Y124" s="169">
        <v>786000</v>
      </c>
    </row>
    <row r="125" spans="1:26" outlineLevel="1" x14ac:dyDescent="0.25">
      <c r="A125" s="114" t="str">
        <f>B125&amp;D125&amp;F125&amp;G125</f>
        <v>Physical ServicesHighwayLarge dump trucksGF</v>
      </c>
      <c r="B125" s="11" t="s">
        <v>365</v>
      </c>
      <c r="C125" s="11">
        <v>37</v>
      </c>
      <c r="D125" s="11" t="s">
        <v>461</v>
      </c>
      <c r="F125" s="197" t="s">
        <v>463</v>
      </c>
      <c r="G125" s="11" t="s">
        <v>16</v>
      </c>
      <c r="H125" s="11" t="s">
        <v>522</v>
      </c>
      <c r="I125" s="11" t="s">
        <v>645</v>
      </c>
      <c r="K125" s="169"/>
      <c r="L125" s="169">
        <v>200000</v>
      </c>
      <c r="M125" s="169">
        <v>0</v>
      </c>
      <c r="N125" s="172"/>
      <c r="O125" s="169"/>
      <c r="P125" s="169"/>
      <c r="Q125" s="169">
        <v>200000</v>
      </c>
      <c r="R125" s="169"/>
      <c r="S125" s="169">
        <v>200000</v>
      </c>
      <c r="T125" s="169">
        <f t="shared" si="63"/>
        <v>400000</v>
      </c>
      <c r="U125" s="169"/>
      <c r="V125" s="169">
        <v>200000</v>
      </c>
      <c r="W125" s="169"/>
      <c r="X125" s="169">
        <v>200000</v>
      </c>
      <c r="Y125" s="169"/>
    </row>
    <row r="126" spans="1:26" outlineLevel="1" x14ac:dyDescent="0.25">
      <c r="A126" s="114" t="str">
        <f>B126&amp;D126&amp;F126&amp;G126</f>
        <v>Physical ServicesHighwayLarge dump trucksGrants</v>
      </c>
      <c r="B126" s="11" t="s">
        <v>365</v>
      </c>
      <c r="C126" s="11">
        <v>37</v>
      </c>
      <c r="D126" s="11" t="s">
        <v>461</v>
      </c>
      <c r="F126" s="197" t="s">
        <v>463</v>
      </c>
      <c r="G126" s="11" t="s">
        <v>38</v>
      </c>
      <c r="H126" s="11" t="s">
        <v>531</v>
      </c>
      <c r="I126" s="11" t="s">
        <v>645</v>
      </c>
      <c r="K126" s="169">
        <v>102500</v>
      </c>
      <c r="L126" s="169"/>
      <c r="M126" s="169"/>
      <c r="N126" s="172"/>
      <c r="O126" s="169"/>
      <c r="P126" s="169"/>
      <c r="Q126" s="169"/>
      <c r="R126" s="169"/>
      <c r="S126" s="169"/>
      <c r="T126" s="169">
        <f t="shared" si="63"/>
        <v>0</v>
      </c>
      <c r="U126" s="169"/>
      <c r="V126" s="169"/>
      <c r="W126" s="169"/>
      <c r="X126" s="169"/>
      <c r="Y126" s="169"/>
    </row>
    <row r="127" spans="1:26" outlineLevel="1" x14ac:dyDescent="0.25">
      <c r="A127" s="114" t="str">
        <f t="shared" ref="A127" si="66">B127&amp;D127&amp;F127&amp;G127</f>
        <v>Physical ServicesHighwayLarge dump trucks (lease 3 trucks)BAN</v>
      </c>
      <c r="B127" s="11" t="s">
        <v>365</v>
      </c>
      <c r="C127" s="11">
        <v>37</v>
      </c>
      <c r="D127" s="11" t="s">
        <v>461</v>
      </c>
      <c r="F127" s="197" t="s">
        <v>609</v>
      </c>
      <c r="G127" s="11" t="s">
        <v>13</v>
      </c>
      <c r="H127" s="11" t="s">
        <v>531</v>
      </c>
      <c r="I127" s="11" t="s">
        <v>645</v>
      </c>
      <c r="K127" s="169"/>
      <c r="L127" s="169">
        <v>310000</v>
      </c>
      <c r="M127" s="169"/>
      <c r="N127" s="172"/>
      <c r="O127" s="169"/>
      <c r="P127" s="169"/>
      <c r="Q127" s="169"/>
      <c r="R127" s="169"/>
      <c r="S127" s="169"/>
      <c r="T127" s="169">
        <f t="shared" si="63"/>
        <v>0</v>
      </c>
      <c r="U127" s="169"/>
      <c r="V127" s="169"/>
      <c r="W127" s="169"/>
      <c r="X127" s="169"/>
      <c r="Y127" s="169"/>
    </row>
    <row r="128" spans="1:26" outlineLevel="1" x14ac:dyDescent="0.25">
      <c r="A128" s="114" t="str">
        <f t="shared" ref="A128:A137" si="67">B128&amp;D128&amp;F128&amp;G128</f>
        <v>Physical ServicesHighwaySmall dump truckGF</v>
      </c>
      <c r="B128" s="11" t="s">
        <v>365</v>
      </c>
      <c r="C128" s="11">
        <v>37</v>
      </c>
      <c r="D128" s="11" t="s">
        <v>461</v>
      </c>
      <c r="F128" s="197" t="s">
        <v>464</v>
      </c>
      <c r="G128" s="11" t="s">
        <v>16</v>
      </c>
      <c r="H128" s="11" t="s">
        <v>531</v>
      </c>
      <c r="I128" s="11" t="s">
        <v>651</v>
      </c>
      <c r="K128" s="169"/>
      <c r="L128" s="169"/>
      <c r="M128" s="169"/>
      <c r="N128" s="172"/>
      <c r="O128" s="169"/>
      <c r="P128" s="169">
        <f>90000*0</f>
        <v>0</v>
      </c>
      <c r="Q128" s="169">
        <f>90000*0</f>
        <v>0</v>
      </c>
      <c r="R128" s="169">
        <v>90000</v>
      </c>
      <c r="S128" s="169">
        <v>90000</v>
      </c>
      <c r="T128" s="169">
        <f t="shared" si="63"/>
        <v>360000</v>
      </c>
      <c r="U128" s="169"/>
      <c r="V128" s="169">
        <v>90000</v>
      </c>
      <c r="W128" s="169">
        <v>90000</v>
      </c>
      <c r="X128" s="169">
        <v>90000</v>
      </c>
      <c r="Y128" s="169">
        <v>90000</v>
      </c>
    </row>
    <row r="129" spans="1:25" outlineLevel="1" x14ac:dyDescent="0.25">
      <c r="A129" s="114" t="str">
        <f t="shared" si="67"/>
        <v>Physical ServicesHighwayRe-build Front End LoaderSurplus</v>
      </c>
      <c r="B129" s="11" t="s">
        <v>365</v>
      </c>
      <c r="C129" s="11">
        <v>37</v>
      </c>
      <c r="D129" s="11" t="s">
        <v>461</v>
      </c>
      <c r="F129" s="197" t="s">
        <v>921</v>
      </c>
      <c r="G129" s="11" t="s">
        <v>1036</v>
      </c>
      <c r="H129" s="11" t="s">
        <v>531</v>
      </c>
      <c r="I129" s="11" t="s">
        <v>651</v>
      </c>
      <c r="K129" s="169"/>
      <c r="L129" s="169"/>
      <c r="M129" s="169"/>
      <c r="N129" s="172"/>
      <c r="O129" s="169">
        <v>50000</v>
      </c>
      <c r="P129" s="169"/>
      <c r="Q129" s="169"/>
      <c r="R129" s="169"/>
      <c r="S129" s="169"/>
      <c r="T129" s="169">
        <f t="shared" si="63"/>
        <v>0</v>
      </c>
      <c r="U129" s="169"/>
      <c r="V129" s="169"/>
      <c r="W129" s="169"/>
      <c r="X129" s="169"/>
      <c r="Y129" s="169"/>
    </row>
    <row r="130" spans="1:25" outlineLevel="1" x14ac:dyDescent="0.25">
      <c r="A130" s="114" t="str">
        <f t="shared" si="67"/>
        <v>Physical ServicesHighwayWood ChipperSurplus</v>
      </c>
      <c r="B130" s="11" t="s">
        <v>365</v>
      </c>
      <c r="C130" s="11">
        <v>37</v>
      </c>
      <c r="D130" s="11" t="s">
        <v>461</v>
      </c>
      <c r="F130" s="197" t="s">
        <v>520</v>
      </c>
      <c r="G130" s="11" t="s">
        <v>1036</v>
      </c>
      <c r="H130" s="11" t="s">
        <v>531</v>
      </c>
      <c r="I130" s="11" t="s">
        <v>645</v>
      </c>
      <c r="K130" s="124"/>
      <c r="L130" s="124"/>
      <c r="M130" s="169"/>
      <c r="N130" s="166"/>
      <c r="O130" s="169">
        <f>75000*0</f>
        <v>0</v>
      </c>
      <c r="P130" s="169">
        <v>75000</v>
      </c>
      <c r="Q130" s="169"/>
      <c r="R130" s="169">
        <v>60000</v>
      </c>
      <c r="S130" s="169"/>
      <c r="T130" s="169">
        <f t="shared" si="63"/>
        <v>0</v>
      </c>
      <c r="U130" s="169"/>
      <c r="V130" s="169"/>
      <c r="W130" s="169"/>
      <c r="X130" s="169"/>
      <c r="Y130" s="169"/>
    </row>
    <row r="131" spans="1:25" outlineLevel="1" x14ac:dyDescent="0.25">
      <c r="A131" s="114" t="str">
        <f t="shared" si="67"/>
        <v>Physical ServicesHighwayFlatbed Truck with power lift tailgateGF</v>
      </c>
      <c r="B131" s="11" t="s">
        <v>365</v>
      </c>
      <c r="C131" s="11">
        <v>37</v>
      </c>
      <c r="D131" s="11" t="s">
        <v>461</v>
      </c>
      <c r="F131" s="197" t="s">
        <v>659</v>
      </c>
      <c r="G131" s="11" t="s">
        <v>16</v>
      </c>
      <c r="H131" s="11" t="s">
        <v>531</v>
      </c>
      <c r="I131" s="11" t="s">
        <v>651</v>
      </c>
      <c r="K131" s="124"/>
      <c r="L131" s="124"/>
      <c r="M131" s="169">
        <f>70000-25000</f>
        <v>45000</v>
      </c>
      <c r="N131" s="166"/>
      <c r="O131" s="169"/>
      <c r="P131" s="169"/>
      <c r="Q131" s="169"/>
      <c r="R131" s="169"/>
      <c r="S131" s="169"/>
      <c r="T131" s="169">
        <f t="shared" si="63"/>
        <v>0</v>
      </c>
      <c r="U131" s="169"/>
      <c r="V131" s="169"/>
      <c r="W131" s="169"/>
      <c r="X131" s="169"/>
      <c r="Y131" s="169"/>
    </row>
    <row r="132" spans="1:25" outlineLevel="1" x14ac:dyDescent="0.25">
      <c r="A132" s="114" t="str">
        <f t="shared" si="67"/>
        <v>Physical ServicesHighwayPickup TrucksSurplus</v>
      </c>
      <c r="B132" s="11" t="s">
        <v>365</v>
      </c>
      <c r="C132" s="11">
        <v>37</v>
      </c>
      <c r="D132" s="11" t="s">
        <v>461</v>
      </c>
      <c r="F132" s="197" t="s">
        <v>955</v>
      </c>
      <c r="G132" s="11" t="s">
        <v>1036</v>
      </c>
      <c r="H132" s="11" t="s">
        <v>531</v>
      </c>
      <c r="I132" s="11" t="s">
        <v>651</v>
      </c>
      <c r="K132" s="169"/>
      <c r="L132" s="169"/>
      <c r="M132" s="169"/>
      <c r="N132" s="172"/>
      <c r="O132" s="169"/>
      <c r="P132" s="169">
        <f>45000*0</f>
        <v>0</v>
      </c>
      <c r="Q132" s="169">
        <f>45000*0</f>
        <v>0</v>
      </c>
      <c r="R132" s="169">
        <v>45000</v>
      </c>
      <c r="S132" s="169">
        <v>45000</v>
      </c>
      <c r="T132" s="169">
        <f t="shared" si="63"/>
        <v>0</v>
      </c>
      <c r="U132" s="169"/>
      <c r="V132" s="169"/>
      <c r="W132" s="169"/>
      <c r="X132" s="169"/>
      <c r="Y132" s="169"/>
    </row>
    <row r="133" spans="1:25" outlineLevel="1" x14ac:dyDescent="0.25">
      <c r="A133" s="114" t="str">
        <f t="shared" si="67"/>
        <v>Physical ServicesHighwayLoaderSurplus</v>
      </c>
      <c r="B133" s="11" t="s">
        <v>365</v>
      </c>
      <c r="C133" s="11">
        <v>37</v>
      </c>
      <c r="D133" s="11" t="s">
        <v>461</v>
      </c>
      <c r="F133" s="197" t="s">
        <v>956</v>
      </c>
      <c r="G133" s="11" t="s">
        <v>1036</v>
      </c>
      <c r="H133" s="11" t="s">
        <v>531</v>
      </c>
      <c r="I133" s="11" t="s">
        <v>645</v>
      </c>
      <c r="K133" s="169"/>
      <c r="L133" s="169"/>
      <c r="M133" s="169"/>
      <c r="N133" s="172"/>
      <c r="O133" s="169"/>
      <c r="P133" s="169"/>
      <c r="Q133" s="169"/>
      <c r="R133" s="169">
        <v>175000</v>
      </c>
      <c r="S133" s="169"/>
      <c r="T133" s="169">
        <f t="shared" si="63"/>
        <v>0</v>
      </c>
      <c r="U133" s="169"/>
      <c r="V133" s="169"/>
      <c r="W133" s="169"/>
      <c r="X133" s="169"/>
      <c r="Y133" s="169"/>
    </row>
    <row r="134" spans="1:25" outlineLevel="1" x14ac:dyDescent="0.25">
      <c r="A134" s="114" t="str">
        <f t="shared" si="67"/>
        <v>Physical ServicesHighwayPaving BoxSurplus</v>
      </c>
      <c r="B134" s="11" t="s">
        <v>365</v>
      </c>
      <c r="C134" s="11">
        <v>37</v>
      </c>
      <c r="D134" s="11" t="s">
        <v>461</v>
      </c>
      <c r="F134" s="197" t="s">
        <v>1061</v>
      </c>
      <c r="G134" s="11" t="s">
        <v>1036</v>
      </c>
      <c r="H134" s="11" t="s">
        <v>531</v>
      </c>
      <c r="I134" s="11" t="s">
        <v>645</v>
      </c>
      <c r="K134" s="169"/>
      <c r="L134" s="169"/>
      <c r="M134" s="169"/>
      <c r="N134" s="172"/>
      <c r="O134" s="169"/>
      <c r="P134" s="169"/>
      <c r="Q134" s="169">
        <f>100000*0</f>
        <v>0</v>
      </c>
      <c r="R134" s="169"/>
      <c r="S134" s="169"/>
      <c r="T134" s="169">
        <f t="shared" si="63"/>
        <v>100000</v>
      </c>
      <c r="U134" s="169">
        <v>100000</v>
      </c>
      <c r="V134" s="169"/>
      <c r="W134" s="169"/>
      <c r="X134" s="169"/>
      <c r="Y134" s="169"/>
    </row>
    <row r="135" spans="1:25" outlineLevel="1" x14ac:dyDescent="0.25">
      <c r="A135" s="114" t="str">
        <f t="shared" si="67"/>
        <v>Physical ServicesHighwayRack BodySurplus</v>
      </c>
      <c r="B135" s="11" t="s">
        <v>365</v>
      </c>
      <c r="C135" s="11">
        <v>37</v>
      </c>
      <c r="D135" s="11" t="s">
        <v>461</v>
      </c>
      <c r="F135" s="197" t="s">
        <v>466</v>
      </c>
      <c r="G135" s="11" t="s">
        <v>1036</v>
      </c>
      <c r="H135" s="11" t="s">
        <v>531</v>
      </c>
      <c r="I135" s="11" t="s">
        <v>645</v>
      </c>
      <c r="K135" s="169"/>
      <c r="L135" s="169"/>
      <c r="M135" s="169"/>
      <c r="N135" s="172"/>
      <c r="O135" s="169"/>
      <c r="P135" s="169"/>
      <c r="Q135" s="169"/>
      <c r="R135" s="169">
        <v>50000</v>
      </c>
      <c r="S135" s="169"/>
      <c r="T135" s="169">
        <f t="shared" si="63"/>
        <v>0</v>
      </c>
      <c r="U135" s="169"/>
      <c r="V135" s="169"/>
      <c r="W135" s="169"/>
      <c r="X135" s="169"/>
      <c r="Y135" s="169"/>
    </row>
    <row r="136" spans="1:25" outlineLevel="1" x14ac:dyDescent="0.25">
      <c r="A136" s="114" t="str">
        <f t="shared" si="67"/>
        <v>Physical ServicesHighwayRollerSurplus</v>
      </c>
      <c r="B136" s="11" t="s">
        <v>365</v>
      </c>
      <c r="C136" s="11">
        <v>37</v>
      </c>
      <c r="D136" s="11" t="s">
        <v>461</v>
      </c>
      <c r="F136" s="197" t="s">
        <v>32</v>
      </c>
      <c r="G136" s="11" t="s">
        <v>1036</v>
      </c>
      <c r="H136" s="11" t="s">
        <v>531</v>
      </c>
      <c r="I136" s="11" t="s">
        <v>645</v>
      </c>
      <c r="K136" s="169"/>
      <c r="L136" s="169"/>
      <c r="M136" s="169"/>
      <c r="N136" s="172"/>
      <c r="O136" s="169"/>
      <c r="P136" s="169"/>
      <c r="Q136" s="169"/>
      <c r="R136" s="169">
        <v>45000</v>
      </c>
      <c r="S136" s="169"/>
      <c r="T136" s="169">
        <f t="shared" si="63"/>
        <v>0</v>
      </c>
      <c r="U136" s="169"/>
      <c r="V136" s="169"/>
      <c r="W136" s="169"/>
      <c r="X136" s="169"/>
      <c r="Y136" s="169"/>
    </row>
    <row r="137" spans="1:25" outlineLevel="1" x14ac:dyDescent="0.25">
      <c r="A137" s="114" t="str">
        <f t="shared" si="67"/>
        <v>Physical ServicesHighwayBackhoeSurplus</v>
      </c>
      <c r="B137" s="11" t="s">
        <v>365</v>
      </c>
      <c r="C137" s="11">
        <v>37</v>
      </c>
      <c r="D137" s="11" t="s">
        <v>461</v>
      </c>
      <c r="F137" s="197" t="s">
        <v>521</v>
      </c>
      <c r="G137" s="11" t="s">
        <v>1036</v>
      </c>
      <c r="H137" s="11" t="s">
        <v>531</v>
      </c>
      <c r="I137" s="11" t="s">
        <v>645</v>
      </c>
      <c r="K137" s="169"/>
      <c r="L137" s="169"/>
      <c r="M137" s="169"/>
      <c r="N137" s="172"/>
      <c r="O137" s="169"/>
      <c r="P137" s="169"/>
      <c r="Q137" s="169"/>
      <c r="R137" s="169"/>
      <c r="S137" s="169"/>
      <c r="T137" s="169">
        <f t="shared" si="63"/>
        <v>140000</v>
      </c>
      <c r="U137" s="169">
        <v>140000</v>
      </c>
      <c r="V137" s="169"/>
      <c r="W137" s="169"/>
      <c r="X137" s="169"/>
      <c r="Y137" s="169"/>
    </row>
    <row r="138" spans="1:25" outlineLevel="1" x14ac:dyDescent="0.25">
      <c r="A138" s="114" t="str">
        <f t="shared" ref="A138" si="68">B138&amp;D138&amp;F138&amp;G138</f>
        <v>Physical ServicesHighwaySweeperSurplus</v>
      </c>
      <c r="B138" s="11" t="s">
        <v>365</v>
      </c>
      <c r="C138" s="11">
        <v>37</v>
      </c>
      <c r="D138" s="11" t="s">
        <v>461</v>
      </c>
      <c r="F138" s="197" t="s">
        <v>660</v>
      </c>
      <c r="G138" s="11" t="s">
        <v>1036</v>
      </c>
      <c r="H138" s="11" t="s">
        <v>531</v>
      </c>
      <c r="I138" s="11" t="s">
        <v>645</v>
      </c>
      <c r="K138" s="169"/>
      <c r="L138" s="169"/>
      <c r="M138" s="169"/>
      <c r="N138" s="172"/>
      <c r="O138" s="169"/>
      <c r="P138" s="169"/>
      <c r="Q138" s="169"/>
      <c r="R138" s="169"/>
      <c r="S138" s="169"/>
      <c r="T138" s="169">
        <f t="shared" si="63"/>
        <v>200000</v>
      </c>
      <c r="U138" s="169"/>
      <c r="V138" s="169"/>
      <c r="W138" s="169"/>
      <c r="X138" s="169">
        <v>200000</v>
      </c>
      <c r="Y138" s="169"/>
    </row>
    <row r="139" spans="1:25" outlineLevel="1" x14ac:dyDescent="0.25">
      <c r="A139" s="114" t="str">
        <f t="shared" ref="A139:A141" si="69">B139&amp;D139&amp;F139&amp;G139</f>
        <v>Physical ServicesHighwayExcavatorSurplus</v>
      </c>
      <c r="B139" s="11" t="s">
        <v>365</v>
      </c>
      <c r="C139" s="11">
        <v>37</v>
      </c>
      <c r="D139" s="11" t="s">
        <v>461</v>
      </c>
      <c r="F139" s="263" t="s">
        <v>922</v>
      </c>
      <c r="G139" s="11" t="s">
        <v>1036</v>
      </c>
      <c r="K139" s="169"/>
      <c r="L139" s="169"/>
      <c r="M139" s="169"/>
      <c r="N139" s="172"/>
      <c r="O139" s="169"/>
      <c r="P139" s="169"/>
      <c r="Q139" s="169">
        <v>110000</v>
      </c>
      <c r="R139" s="169"/>
      <c r="S139" s="169"/>
      <c r="T139" s="169">
        <f t="shared" si="63"/>
        <v>0</v>
      </c>
      <c r="U139" s="169"/>
      <c r="V139" s="169"/>
      <c r="W139" s="169"/>
      <c r="X139" s="169"/>
      <c r="Y139" s="169"/>
    </row>
    <row r="140" spans="1:25" outlineLevel="1" x14ac:dyDescent="0.25">
      <c r="A140" s="114" t="str">
        <f t="shared" si="69"/>
        <v>Physical ServicesHighwayFifteen Ton Tag TrailerSurplus</v>
      </c>
      <c r="B140" s="11" t="s">
        <v>365</v>
      </c>
      <c r="C140" s="11">
        <v>37</v>
      </c>
      <c r="D140" s="11" t="s">
        <v>461</v>
      </c>
      <c r="F140" s="263" t="s">
        <v>923</v>
      </c>
      <c r="G140" s="11" t="s">
        <v>1036</v>
      </c>
      <c r="K140" s="169"/>
      <c r="L140" s="169"/>
      <c r="M140" s="169"/>
      <c r="N140" s="172"/>
      <c r="O140" s="169"/>
      <c r="P140" s="169"/>
      <c r="Q140" s="169">
        <v>25000</v>
      </c>
      <c r="R140" s="169"/>
      <c r="S140" s="169"/>
      <c r="T140" s="169">
        <f t="shared" si="63"/>
        <v>0</v>
      </c>
      <c r="U140" s="169"/>
      <c r="V140" s="169"/>
      <c r="W140" s="169"/>
      <c r="X140" s="169"/>
      <c r="Y140" s="169"/>
    </row>
    <row r="141" spans="1:25" outlineLevel="1" x14ac:dyDescent="0.25">
      <c r="A141" s="114" t="str">
        <f t="shared" si="69"/>
        <v>Physical ServicesHighwayGuardrail Mower AttachmentsGF</v>
      </c>
      <c r="B141" s="11" t="s">
        <v>365</v>
      </c>
      <c r="C141" s="11">
        <v>37</v>
      </c>
      <c r="D141" s="11" t="s">
        <v>461</v>
      </c>
      <c r="F141" s="263" t="s">
        <v>924</v>
      </c>
      <c r="G141" s="11" t="s">
        <v>16</v>
      </c>
      <c r="K141" s="169"/>
      <c r="L141" s="169"/>
      <c r="M141" s="169"/>
      <c r="N141" s="172"/>
      <c r="O141" s="169"/>
      <c r="P141" s="169">
        <f>120000*0</f>
        <v>0</v>
      </c>
      <c r="Q141" s="169"/>
      <c r="R141" s="169">
        <v>120000</v>
      </c>
      <c r="S141" s="169"/>
      <c r="T141" s="169">
        <f t="shared" si="63"/>
        <v>0</v>
      </c>
      <c r="U141" s="169"/>
      <c r="V141" s="169"/>
      <c r="W141" s="169"/>
      <c r="X141" s="169"/>
      <c r="Y141" s="169"/>
    </row>
    <row r="142" spans="1:25" ht="15.75" outlineLevel="1" thickBot="1" x14ac:dyDescent="0.3">
      <c r="C142" s="11"/>
      <c r="K142" s="168">
        <f>SUM(K121:K141)</f>
        <v>1152500</v>
      </c>
      <c r="L142" s="168">
        <f>SUM(L121:L141)</f>
        <v>2310000</v>
      </c>
      <c r="M142" s="168">
        <f>SUM(M121:M141)</f>
        <v>831000</v>
      </c>
      <c r="N142" s="171"/>
      <c r="O142" s="168">
        <f t="shared" ref="O142:Y142" si="70">SUM(O121:O141)</f>
        <v>1200000</v>
      </c>
      <c r="P142" s="168">
        <f t="shared" si="70"/>
        <v>1261000</v>
      </c>
      <c r="Q142" s="168">
        <f t="shared" si="70"/>
        <v>1521000</v>
      </c>
      <c r="R142" s="168">
        <f t="shared" si="70"/>
        <v>1771000</v>
      </c>
      <c r="S142" s="168">
        <f t="shared" si="70"/>
        <v>1521000</v>
      </c>
      <c r="T142" s="168">
        <f t="shared" si="70"/>
        <v>7130000</v>
      </c>
      <c r="U142" s="168">
        <f t="shared" si="70"/>
        <v>1426000</v>
      </c>
      <c r="V142" s="168">
        <f t="shared" si="70"/>
        <v>1476000</v>
      </c>
      <c r="W142" s="168">
        <f t="shared" si="70"/>
        <v>1276000</v>
      </c>
      <c r="X142" s="168">
        <f t="shared" si="70"/>
        <v>1676000</v>
      </c>
      <c r="Y142" s="168">
        <f t="shared" si="70"/>
        <v>1276000</v>
      </c>
    </row>
    <row r="143" spans="1:25" ht="15.75" outlineLevel="1" thickTop="1" x14ac:dyDescent="0.25">
      <c r="C143" s="11"/>
      <c r="K143" s="169"/>
      <c r="L143" s="169"/>
      <c r="M143" s="169"/>
      <c r="N143" s="172"/>
      <c r="O143" s="169"/>
      <c r="P143" s="169"/>
      <c r="Q143" s="169"/>
      <c r="R143" s="169"/>
      <c r="S143" s="169"/>
      <c r="T143" s="169"/>
      <c r="U143" s="169"/>
      <c r="V143" s="169"/>
      <c r="W143" s="169"/>
      <c r="X143" s="169"/>
      <c r="Y143" s="169"/>
    </row>
    <row r="144" spans="1:25" outlineLevel="1" x14ac:dyDescent="0.25">
      <c r="A144" s="114" t="str">
        <f t="shared" ref="A144:A200" si="71">B144&amp;D144&amp;F144&amp;G144</f>
        <v>Physical ServicesPublic BuildingsStorefront, Access Controls,Gutters (Town Hall)LoCIP</v>
      </c>
      <c r="B144" s="11" t="s">
        <v>365</v>
      </c>
      <c r="C144" s="11">
        <v>38</v>
      </c>
      <c r="D144" s="11" t="s">
        <v>47</v>
      </c>
      <c r="F144" s="200" t="s">
        <v>661</v>
      </c>
      <c r="G144" s="123" t="s">
        <v>37</v>
      </c>
      <c r="H144" s="11" t="s">
        <v>531</v>
      </c>
      <c r="K144" s="169"/>
      <c r="L144" s="169">
        <v>375000</v>
      </c>
      <c r="M144" s="169"/>
      <c r="N144" s="172"/>
      <c r="O144" s="169"/>
      <c r="P144" s="169"/>
      <c r="Q144" s="169"/>
      <c r="R144" s="169"/>
      <c r="S144" s="169"/>
      <c r="T144" s="169">
        <f t="shared" ref="T144:T204" si="72">SUM(U144:Y144)</f>
        <v>0</v>
      </c>
      <c r="U144" s="169"/>
      <c r="V144" s="169"/>
      <c r="W144" s="169"/>
      <c r="X144" s="169"/>
      <c r="Y144" s="169"/>
    </row>
    <row r="145" spans="1:25" outlineLevel="1" x14ac:dyDescent="0.25">
      <c r="A145" s="114" t="str">
        <f t="shared" si="71"/>
        <v>Physical ServicesPublic BuildingsSoffit Replacement (Library)GF</v>
      </c>
      <c r="B145" s="11" t="s">
        <v>365</v>
      </c>
      <c r="C145" s="11">
        <v>38</v>
      </c>
      <c r="D145" s="11" t="s">
        <v>47</v>
      </c>
      <c r="F145" s="201" t="s">
        <v>452</v>
      </c>
      <c r="G145" s="11" t="s">
        <v>16</v>
      </c>
      <c r="H145" s="11" t="s">
        <v>531</v>
      </c>
      <c r="K145" s="169"/>
      <c r="L145" s="169"/>
      <c r="M145" s="169"/>
      <c r="N145" s="172"/>
      <c r="O145" s="169"/>
      <c r="P145" s="169"/>
      <c r="Q145" s="169"/>
      <c r="R145" s="169"/>
      <c r="S145" s="169"/>
      <c r="T145" s="169">
        <f t="shared" si="72"/>
        <v>0</v>
      </c>
      <c r="U145" s="169"/>
      <c r="V145" s="169"/>
      <c r="W145" s="169"/>
      <c r="X145" s="169"/>
      <c r="Y145" s="169"/>
    </row>
    <row r="146" spans="1:25" ht="30" outlineLevel="1" x14ac:dyDescent="0.25">
      <c r="A146" s="114" t="str">
        <f t="shared" si="71"/>
        <v>Physical ServicesPublic BuildingsSwitches (75% Schools/25% Town) - schools displayed under dept 61 belowGF</v>
      </c>
      <c r="B146" s="11" t="s">
        <v>365</v>
      </c>
      <c r="C146" s="148">
        <v>38</v>
      </c>
      <c r="D146" s="11" t="s">
        <v>47</v>
      </c>
      <c r="F146" s="197" t="s">
        <v>486</v>
      </c>
      <c r="G146" s="11" t="s">
        <v>16</v>
      </c>
      <c r="H146" s="11" t="s">
        <v>531</v>
      </c>
      <c r="I146" s="11" t="s">
        <v>537</v>
      </c>
      <c r="K146" s="169"/>
      <c r="L146" s="169">
        <f>160000*0.25</f>
        <v>40000</v>
      </c>
      <c r="M146" s="169"/>
      <c r="N146" s="172"/>
      <c r="O146" s="169"/>
      <c r="P146" s="169"/>
      <c r="Q146" s="169"/>
      <c r="R146" s="169"/>
      <c r="S146" s="169"/>
      <c r="T146" s="169">
        <f t="shared" si="72"/>
        <v>50000</v>
      </c>
      <c r="U146" s="169"/>
      <c r="V146" s="169"/>
      <c r="W146" s="169"/>
      <c r="X146" s="169">
        <v>50000</v>
      </c>
      <c r="Y146" s="169"/>
    </row>
    <row r="147" spans="1:25" outlineLevel="1" x14ac:dyDescent="0.25">
      <c r="A147" s="114" t="str">
        <f t="shared" ref="A147:A149" si="73">B147&amp;D147&amp;F147&amp;G147</f>
        <v>Physical ServicesPublic BuildingsADA upgrades (townwide)GF</v>
      </c>
      <c r="B147" s="11" t="s">
        <v>365</v>
      </c>
      <c r="C147" s="148">
        <v>38</v>
      </c>
      <c r="D147" s="11" t="s">
        <v>47</v>
      </c>
      <c r="F147" s="274" t="s">
        <v>942</v>
      </c>
      <c r="G147" s="11" t="s">
        <v>16</v>
      </c>
      <c r="H147" s="11" t="s">
        <v>531</v>
      </c>
      <c r="I147" s="11" t="s">
        <v>537</v>
      </c>
      <c r="K147" s="169"/>
      <c r="L147" s="169"/>
      <c r="M147" s="169"/>
      <c r="N147" s="172"/>
      <c r="O147" s="169"/>
      <c r="P147" s="169">
        <v>25000</v>
      </c>
      <c r="Q147" s="169">
        <v>25000</v>
      </c>
      <c r="R147" s="169">
        <v>25000</v>
      </c>
      <c r="S147" s="169">
        <v>25000</v>
      </c>
      <c r="T147" s="169">
        <f t="shared" si="72"/>
        <v>125000</v>
      </c>
      <c r="U147" s="169">
        <v>25000</v>
      </c>
      <c r="V147" s="169">
        <v>25000</v>
      </c>
      <c r="W147" s="169">
        <v>25000</v>
      </c>
      <c r="X147" s="169">
        <v>25000</v>
      </c>
      <c r="Y147" s="169">
        <v>25000</v>
      </c>
    </row>
    <row r="148" spans="1:25" outlineLevel="1" x14ac:dyDescent="0.25">
      <c r="A148" s="114" t="str">
        <f t="shared" si="73"/>
        <v>Physical ServicesPublic BuildingsFire &amp; Security Upgrades (various buildings)GF</v>
      </c>
      <c r="B148" s="11" t="s">
        <v>365</v>
      </c>
      <c r="C148" s="148">
        <v>38</v>
      </c>
      <c r="D148" s="11" t="s">
        <v>47</v>
      </c>
      <c r="F148" s="274" t="s">
        <v>943</v>
      </c>
      <c r="G148" s="11" t="s">
        <v>16</v>
      </c>
      <c r="H148" s="11" t="s">
        <v>531</v>
      </c>
      <c r="I148" s="11" t="s">
        <v>537</v>
      </c>
      <c r="K148" s="169"/>
      <c r="L148" s="169"/>
      <c r="M148" s="169"/>
      <c r="N148" s="172"/>
      <c r="O148" s="169"/>
      <c r="P148" s="169"/>
      <c r="Q148" s="169">
        <f>100000*0</f>
        <v>0</v>
      </c>
      <c r="R148" s="169"/>
      <c r="S148" s="169">
        <v>100000</v>
      </c>
      <c r="T148" s="169">
        <f t="shared" si="72"/>
        <v>0</v>
      </c>
      <c r="U148" s="169"/>
      <c r="V148" s="169"/>
      <c r="W148" s="169"/>
      <c r="X148" s="169"/>
      <c r="Y148" s="169"/>
    </row>
    <row r="149" spans="1:25" outlineLevel="1" x14ac:dyDescent="0.25">
      <c r="A149" s="114" t="str">
        <f t="shared" si="73"/>
        <v>Physical ServicesPublic BuildingsOverhead Door Replacement (Highway Garages)GF</v>
      </c>
      <c r="B149" s="11" t="s">
        <v>365</v>
      </c>
      <c r="C149" s="148">
        <v>38</v>
      </c>
      <c r="D149" s="11" t="s">
        <v>47</v>
      </c>
      <c r="F149" s="274" t="s">
        <v>944</v>
      </c>
      <c r="G149" s="11" t="s">
        <v>16</v>
      </c>
      <c r="H149" s="11" t="s">
        <v>531</v>
      </c>
      <c r="I149" s="11" t="s">
        <v>537</v>
      </c>
      <c r="K149" s="169"/>
      <c r="L149" s="169"/>
      <c r="M149" s="169"/>
      <c r="N149" s="172"/>
      <c r="O149" s="169"/>
      <c r="P149" s="169">
        <v>75000</v>
      </c>
      <c r="Q149" s="169"/>
      <c r="R149" s="169"/>
      <c r="S149" s="169"/>
      <c r="T149" s="169">
        <f t="shared" si="72"/>
        <v>0</v>
      </c>
      <c r="U149" s="169"/>
      <c r="V149" s="169"/>
      <c r="W149" s="169"/>
      <c r="X149" s="169"/>
      <c r="Y149" s="169"/>
    </row>
    <row r="150" spans="1:25" outlineLevel="1" x14ac:dyDescent="0.25">
      <c r="A150" s="114" t="str">
        <f t="shared" si="71"/>
        <v>Physical ServicesPublic BuildingsGutters, Roof Trace and Masonry Repairs (Town Hall)GF</v>
      </c>
      <c r="B150" s="11" t="s">
        <v>365</v>
      </c>
      <c r="C150" s="11">
        <v>38</v>
      </c>
      <c r="D150" s="11" t="s">
        <v>47</v>
      </c>
      <c r="F150" s="201" t="s">
        <v>664</v>
      </c>
      <c r="G150" s="11" t="s">
        <v>16</v>
      </c>
      <c r="H150" s="11" t="s">
        <v>531</v>
      </c>
      <c r="K150" s="169"/>
      <c r="L150" s="169"/>
      <c r="M150" s="169">
        <f>100000*0</f>
        <v>0</v>
      </c>
      <c r="N150" s="172"/>
      <c r="O150" s="169"/>
      <c r="P150" s="169">
        <f>100000*0</f>
        <v>0</v>
      </c>
      <c r="Q150" s="169"/>
      <c r="R150" s="169"/>
      <c r="S150" s="169">
        <f>100000</f>
        <v>100000</v>
      </c>
      <c r="T150" s="169">
        <f t="shared" si="72"/>
        <v>0</v>
      </c>
      <c r="U150" s="169"/>
      <c r="V150" s="169"/>
      <c r="W150" s="169"/>
      <c r="X150" s="169"/>
      <c r="Y150" s="169"/>
    </row>
    <row r="151" spans="1:25" ht="30" outlineLevel="1" x14ac:dyDescent="0.25">
      <c r="A151" s="114" t="str">
        <f t="shared" ref="A151" si="74">B151&amp;D151&amp;F151&amp;G151</f>
        <v>Physical ServicesPublic BuildingsVarious interior repairs at sr ctr (kitchen, level raised flooring)GF</v>
      </c>
      <c r="B151" s="11" t="s">
        <v>365</v>
      </c>
      <c r="C151" s="11">
        <v>38</v>
      </c>
      <c r="D151" s="11" t="s">
        <v>47</v>
      </c>
      <c r="F151" s="201" t="s">
        <v>862</v>
      </c>
      <c r="G151" s="11" t="s">
        <v>16</v>
      </c>
      <c r="H151" s="11" t="s">
        <v>531</v>
      </c>
      <c r="K151" s="169"/>
      <c r="L151" s="169">
        <v>25000</v>
      </c>
      <c r="M151" s="169">
        <f>75000*0+50000</f>
        <v>50000</v>
      </c>
      <c r="N151" s="172"/>
      <c r="O151" s="169"/>
      <c r="P151" s="169"/>
      <c r="Q151" s="169"/>
      <c r="R151" s="169"/>
      <c r="S151" s="169"/>
      <c r="T151" s="169">
        <f t="shared" si="72"/>
        <v>0</v>
      </c>
      <c r="U151" s="169"/>
      <c r="V151" s="169"/>
      <c r="W151" s="169"/>
      <c r="X151" s="169"/>
      <c r="Y151" s="169"/>
    </row>
    <row r="152" spans="1:25" ht="30" outlineLevel="1" x14ac:dyDescent="0.25">
      <c r="A152" s="114" t="str">
        <f>B152&amp;D152&amp;F152&amp;G152</f>
        <v>Physical ServicesPublic BuildingsExhaust Fans (Town Hall) - Carried over from FY2017 and completed early FY2018GF</v>
      </c>
      <c r="B152" s="11" t="s">
        <v>365</v>
      </c>
      <c r="C152" s="11">
        <v>38</v>
      </c>
      <c r="D152" s="11" t="s">
        <v>47</v>
      </c>
      <c r="F152" s="197" t="s">
        <v>519</v>
      </c>
      <c r="G152" s="11" t="s">
        <v>16</v>
      </c>
      <c r="H152" s="11" t="s">
        <v>531</v>
      </c>
      <c r="K152" s="169">
        <v>50000</v>
      </c>
      <c r="L152" s="169"/>
      <c r="M152" s="169"/>
      <c r="N152" s="172"/>
      <c r="O152" s="169"/>
      <c r="P152" s="169"/>
      <c r="Q152" s="169"/>
      <c r="R152" s="169"/>
      <c r="S152" s="169"/>
      <c r="T152" s="169">
        <f t="shared" si="72"/>
        <v>0</v>
      </c>
      <c r="U152" s="169"/>
      <c r="V152" s="169"/>
      <c r="W152" s="169"/>
      <c r="X152" s="169"/>
      <c r="Y152" s="169"/>
    </row>
    <row r="153" spans="1:25" outlineLevel="1" x14ac:dyDescent="0.25">
      <c r="A153" s="114" t="str">
        <f>B153&amp;D153&amp;F153&amp;G153</f>
        <v>Physical ServicesPublic BuildingsHVAC-1 (Senior Center)GF</v>
      </c>
      <c r="B153" s="11" t="s">
        <v>365</v>
      </c>
      <c r="C153" s="11">
        <v>38</v>
      </c>
      <c r="D153" s="11" t="s">
        <v>47</v>
      </c>
      <c r="F153" s="201" t="s">
        <v>446</v>
      </c>
      <c r="G153" s="11" t="s">
        <v>16</v>
      </c>
      <c r="H153" s="11" t="s">
        <v>531</v>
      </c>
      <c r="K153" s="169">
        <v>35000</v>
      </c>
      <c r="L153" s="169"/>
      <c r="M153" s="169"/>
      <c r="N153" s="172"/>
      <c r="O153" s="169"/>
      <c r="P153" s="169"/>
      <c r="Q153" s="169"/>
      <c r="R153" s="169"/>
      <c r="S153" s="169"/>
      <c r="T153" s="169">
        <f t="shared" si="72"/>
        <v>0</v>
      </c>
      <c r="U153" s="169"/>
      <c r="V153" s="169"/>
      <c r="W153" s="169"/>
      <c r="X153" s="169"/>
      <c r="Y153" s="169"/>
    </row>
    <row r="154" spans="1:25" outlineLevel="1" x14ac:dyDescent="0.25">
      <c r="A154" s="114" t="str">
        <f t="shared" si="71"/>
        <v>Physical ServicesPublic BuildingsHVAC-2 (Senior Center)GF</v>
      </c>
      <c r="B154" s="11" t="s">
        <v>365</v>
      </c>
      <c r="C154" s="11">
        <v>38</v>
      </c>
      <c r="D154" s="11" t="s">
        <v>47</v>
      </c>
      <c r="F154" s="201" t="s">
        <v>447</v>
      </c>
      <c r="G154" s="11" t="s">
        <v>16</v>
      </c>
      <c r="H154" s="11" t="s">
        <v>531</v>
      </c>
      <c r="K154" s="169"/>
      <c r="L154" s="169">
        <v>25000</v>
      </c>
      <c r="M154" s="169">
        <v>50000</v>
      </c>
      <c r="N154" s="172"/>
      <c r="O154" s="169"/>
      <c r="P154" s="169"/>
      <c r="Q154" s="169"/>
      <c r="R154" s="169"/>
      <c r="S154" s="169"/>
      <c r="T154" s="169">
        <f t="shared" si="72"/>
        <v>0</v>
      </c>
      <c r="U154" s="169"/>
      <c r="V154" s="169"/>
      <c r="W154" s="169"/>
      <c r="X154" s="169"/>
      <c r="Y154" s="169"/>
    </row>
    <row r="155" spans="1:25" outlineLevel="1" x14ac:dyDescent="0.25">
      <c r="A155" s="114" t="str">
        <f>B155&amp;D155&amp;F155&amp;G155</f>
        <v>Physical ServicesPublic BuildingsHVAC upgrades (Pistol Creek)GF</v>
      </c>
      <c r="B155" s="11" t="s">
        <v>365</v>
      </c>
      <c r="C155" s="11">
        <v>38</v>
      </c>
      <c r="D155" s="11" t="s">
        <v>47</v>
      </c>
      <c r="F155" s="202" t="s">
        <v>678</v>
      </c>
      <c r="G155" s="11" t="s">
        <v>16</v>
      </c>
      <c r="H155" s="11" t="s">
        <v>531</v>
      </c>
      <c r="K155" s="169"/>
      <c r="L155" s="169"/>
      <c r="M155" s="169"/>
      <c r="N155" s="172"/>
      <c r="O155" s="169"/>
      <c r="P155" s="169"/>
      <c r="Q155" s="169"/>
      <c r="R155" s="169"/>
      <c r="S155" s="169"/>
      <c r="T155" s="169">
        <f t="shared" si="72"/>
        <v>100000</v>
      </c>
      <c r="U155" s="169"/>
      <c r="V155" s="169"/>
      <c r="W155" s="169"/>
      <c r="X155" s="169">
        <v>100000</v>
      </c>
      <c r="Y155" s="169"/>
    </row>
    <row r="156" spans="1:25" outlineLevel="1" x14ac:dyDescent="0.25">
      <c r="A156" s="114" t="str">
        <f>B156&amp;D156&amp;F156&amp;G156</f>
        <v>Physical ServicesPublic BuildingsIAQ (Community Center)GF</v>
      </c>
      <c r="B156" s="11" t="s">
        <v>365</v>
      </c>
      <c r="C156" s="11">
        <v>38</v>
      </c>
      <c r="D156" s="11" t="s">
        <v>47</v>
      </c>
      <c r="F156" s="201" t="s">
        <v>663</v>
      </c>
      <c r="G156" s="11" t="s">
        <v>16</v>
      </c>
      <c r="H156" s="11" t="s">
        <v>531</v>
      </c>
      <c r="K156" s="169"/>
      <c r="L156" s="169"/>
      <c r="M156" s="169">
        <f>50000*0</f>
        <v>0</v>
      </c>
      <c r="N156" s="172"/>
      <c r="O156" s="169"/>
      <c r="P156" s="169">
        <f>50000*0</f>
        <v>0</v>
      </c>
      <c r="Q156" s="169"/>
      <c r="R156" s="169"/>
      <c r="S156" s="169">
        <f>50000</f>
        <v>50000</v>
      </c>
      <c r="T156" s="169">
        <f t="shared" si="72"/>
        <v>0</v>
      </c>
      <c r="U156" s="169"/>
      <c r="V156" s="169"/>
      <c r="W156" s="169"/>
      <c r="X156" s="169"/>
      <c r="Y156" s="169"/>
    </row>
    <row r="157" spans="1:25" outlineLevel="1" x14ac:dyDescent="0.25">
      <c r="A157" s="114" t="str">
        <f>B157&amp;D157&amp;F157&amp;G157</f>
        <v>Physical ServicesPublic BuildingsChiller Replacement (Community Center/Library)Bond</v>
      </c>
      <c r="B157" s="11" t="s">
        <v>365</v>
      </c>
      <c r="C157" s="11">
        <v>38</v>
      </c>
      <c r="D157" s="11" t="s">
        <v>47</v>
      </c>
      <c r="F157" s="201" t="s">
        <v>495</v>
      </c>
      <c r="G157" s="11" t="s">
        <v>19</v>
      </c>
      <c r="H157" s="11" t="s">
        <v>531</v>
      </c>
      <c r="K157" s="169"/>
      <c r="L157" s="169"/>
      <c r="M157" s="169"/>
      <c r="N157" s="172"/>
      <c r="O157" s="169"/>
      <c r="P157" s="169"/>
      <c r="Q157" s="169"/>
      <c r="R157" s="169">
        <f>2100000*0</f>
        <v>0</v>
      </c>
      <c r="S157" s="169"/>
      <c r="T157" s="169">
        <f t="shared" si="72"/>
        <v>2100000</v>
      </c>
      <c r="U157" s="169">
        <v>2100000</v>
      </c>
      <c r="V157" s="169"/>
      <c r="W157" s="169"/>
      <c r="X157" s="169"/>
      <c r="Y157" s="169"/>
    </row>
    <row r="158" spans="1:25" outlineLevel="1" x14ac:dyDescent="0.25">
      <c r="A158" s="114" t="str">
        <f t="shared" si="71"/>
        <v>Physical ServicesPublic BuildingsHandicap Door (Community Center)GF</v>
      </c>
      <c r="B158" s="11" t="s">
        <v>365</v>
      </c>
      <c r="C158" s="11">
        <v>38</v>
      </c>
      <c r="D158" s="11" t="s">
        <v>47</v>
      </c>
      <c r="F158" s="202" t="s">
        <v>444</v>
      </c>
      <c r="G158" s="11" t="s">
        <v>16</v>
      </c>
      <c r="H158" s="11" t="s">
        <v>531</v>
      </c>
      <c r="K158" s="169"/>
      <c r="L158" s="169"/>
      <c r="M158" s="169">
        <v>50000</v>
      </c>
      <c r="N158" s="172"/>
      <c r="O158" s="169"/>
      <c r="P158" s="169"/>
      <c r="Q158" s="169"/>
      <c r="R158" s="169"/>
      <c r="S158" s="169"/>
      <c r="T158" s="169">
        <f t="shared" si="72"/>
        <v>0</v>
      </c>
      <c r="U158" s="169"/>
      <c r="V158" s="169"/>
      <c r="W158" s="169"/>
      <c r="X158" s="169"/>
      <c r="Y158" s="169"/>
    </row>
    <row r="159" spans="1:25" outlineLevel="1" x14ac:dyDescent="0.25">
      <c r="A159" s="114" t="str">
        <f>B159&amp;D159&amp;F159&amp;G159</f>
        <v>Physical ServicesPublic BuildingsExit door replacement (Senior Center)GF</v>
      </c>
      <c r="B159" s="11" t="s">
        <v>365</v>
      </c>
      <c r="C159" s="11">
        <v>38</v>
      </c>
      <c r="D159" s="11" t="s">
        <v>47</v>
      </c>
      <c r="F159" s="201" t="s">
        <v>457</v>
      </c>
      <c r="G159" s="11" t="s">
        <v>16</v>
      </c>
      <c r="H159" s="11" t="s">
        <v>531</v>
      </c>
      <c r="K159" s="169"/>
      <c r="L159" s="169"/>
      <c r="M159" s="169"/>
      <c r="N159" s="172"/>
      <c r="O159" s="169"/>
      <c r="P159" s="169"/>
      <c r="Q159" s="169"/>
      <c r="R159" s="169"/>
      <c r="S159" s="169"/>
      <c r="T159" s="169">
        <f t="shared" si="72"/>
        <v>0</v>
      </c>
      <c r="U159" s="169"/>
      <c r="V159" s="169"/>
      <c r="W159" s="169"/>
      <c r="X159" s="169"/>
      <c r="Y159" s="169"/>
    </row>
    <row r="160" spans="1:25" outlineLevel="1" x14ac:dyDescent="0.25">
      <c r="A160" s="114" t="str">
        <f t="shared" si="71"/>
        <v>Physical ServicesPublic BuildingsSpecialty &amp; SupervisorsGF</v>
      </c>
      <c r="B160" s="11" t="s">
        <v>365</v>
      </c>
      <c r="C160" s="11">
        <v>38</v>
      </c>
      <c r="D160" s="11" t="s">
        <v>47</v>
      </c>
      <c r="F160" s="197" t="s">
        <v>468</v>
      </c>
      <c r="G160" s="11" t="s">
        <v>16</v>
      </c>
      <c r="H160" s="11" t="s">
        <v>531</v>
      </c>
      <c r="K160" s="169"/>
      <c r="L160" s="169">
        <v>0</v>
      </c>
      <c r="M160" s="169"/>
      <c r="N160" s="172"/>
      <c r="O160" s="169"/>
      <c r="P160" s="169"/>
      <c r="Q160" s="169"/>
      <c r="R160" s="169"/>
      <c r="S160" s="169"/>
      <c r="T160" s="169">
        <f t="shared" si="72"/>
        <v>0</v>
      </c>
      <c r="U160" s="169">
        <v>0</v>
      </c>
      <c r="V160" s="169">
        <v>0</v>
      </c>
      <c r="W160" s="169"/>
      <c r="X160" s="169"/>
      <c r="Y160" s="169"/>
    </row>
    <row r="161" spans="1:25" outlineLevel="1" x14ac:dyDescent="0.25">
      <c r="A161" s="114" t="str">
        <f t="shared" ref="A161" si="75">B161&amp;D161&amp;F161&amp;G161</f>
        <v>Physical ServicesPublic BuildingsRenovate all Little League concessionsGF</v>
      </c>
      <c r="B161" s="11" t="s">
        <v>365</v>
      </c>
      <c r="C161" s="11">
        <v>38</v>
      </c>
      <c r="D161" s="11" t="s">
        <v>47</v>
      </c>
      <c r="F161" s="200" t="s">
        <v>855</v>
      </c>
      <c r="G161" s="123" t="s">
        <v>16</v>
      </c>
      <c r="H161" s="11" t="s">
        <v>531</v>
      </c>
      <c r="K161" s="169"/>
      <c r="L161" s="169"/>
      <c r="M161" s="169"/>
      <c r="N161" s="172"/>
      <c r="O161" s="169"/>
      <c r="P161" s="169">
        <f>50000*0</f>
        <v>0</v>
      </c>
      <c r="Q161" s="169"/>
      <c r="R161" s="169"/>
      <c r="S161" s="169">
        <f>50000</f>
        <v>50000</v>
      </c>
      <c r="T161" s="169">
        <f t="shared" si="72"/>
        <v>0</v>
      </c>
      <c r="U161" s="169"/>
      <c r="V161" s="169"/>
      <c r="W161" s="169"/>
      <c r="X161" s="169"/>
      <c r="Y161" s="169"/>
    </row>
    <row r="162" spans="1:25" outlineLevel="1" x14ac:dyDescent="0.25">
      <c r="A162" s="114" t="str">
        <f t="shared" si="71"/>
        <v>Physical ServicesPublic BuildingsSouth Kensington Fire House - building modificationsGF</v>
      </c>
      <c r="B162" s="11" t="s">
        <v>365</v>
      </c>
      <c r="C162" s="11">
        <v>38</v>
      </c>
      <c r="D162" s="11" t="s">
        <v>47</v>
      </c>
      <c r="F162" s="200" t="s">
        <v>217</v>
      </c>
      <c r="G162" s="123" t="s">
        <v>16</v>
      </c>
      <c r="H162" s="11" t="s">
        <v>531</v>
      </c>
      <c r="K162" s="169"/>
      <c r="L162" s="169"/>
      <c r="M162" s="169"/>
      <c r="N162" s="172"/>
      <c r="O162" s="169"/>
      <c r="P162" s="169"/>
      <c r="Q162" s="169">
        <f>750000*0</f>
        <v>0</v>
      </c>
      <c r="R162" s="169"/>
      <c r="S162" s="169"/>
      <c r="T162" s="169">
        <f t="shared" si="72"/>
        <v>750000</v>
      </c>
      <c r="U162" s="169"/>
      <c r="V162" s="169">
        <v>750000</v>
      </c>
      <c r="W162" s="169"/>
      <c r="X162" s="169"/>
      <c r="Y162" s="169"/>
    </row>
    <row r="163" spans="1:25" outlineLevel="1" x14ac:dyDescent="0.25">
      <c r="A163" s="114" t="str">
        <f>B163&amp;D163&amp;F163&amp;G163</f>
        <v>Physical ServicesPublic BuildingsOld Peck/Historical Society RenovationsGF</v>
      </c>
      <c r="B163" s="11" t="s">
        <v>365</v>
      </c>
      <c r="C163" s="11">
        <v>38</v>
      </c>
      <c r="D163" s="11" t="s">
        <v>47</v>
      </c>
      <c r="F163" s="200" t="s">
        <v>676</v>
      </c>
      <c r="G163" s="123" t="s">
        <v>16</v>
      </c>
      <c r="H163" s="11" t="s">
        <v>531</v>
      </c>
      <c r="K163" s="169"/>
      <c r="L163" s="169"/>
      <c r="M163" s="169"/>
      <c r="N163" s="172"/>
      <c r="O163" s="169"/>
      <c r="P163" s="169"/>
      <c r="Q163" s="169"/>
      <c r="R163" s="169"/>
      <c r="S163" s="169">
        <v>100000</v>
      </c>
      <c r="T163" s="169">
        <f t="shared" si="72"/>
        <v>0</v>
      </c>
      <c r="U163" s="169"/>
      <c r="V163" s="169"/>
      <c r="W163" s="169"/>
      <c r="X163" s="169"/>
      <c r="Y163" s="169"/>
    </row>
    <row r="164" spans="1:25" outlineLevel="1" x14ac:dyDescent="0.25">
      <c r="A164" s="114" t="str">
        <f t="shared" ref="A164" si="76">B164&amp;D164&amp;F164&amp;G164</f>
        <v>Physical ServicesPublic BuildingsExterior repairs to Art League BuildingSurplus</v>
      </c>
      <c r="B164" s="11" t="s">
        <v>365</v>
      </c>
      <c r="C164" s="11">
        <v>38</v>
      </c>
      <c r="D164" s="11" t="s">
        <v>47</v>
      </c>
      <c r="F164" s="200" t="s">
        <v>665</v>
      </c>
      <c r="G164" s="123" t="s">
        <v>1036</v>
      </c>
      <c r="H164" s="11" t="s">
        <v>531</v>
      </c>
      <c r="K164" s="169"/>
      <c r="L164" s="169"/>
      <c r="M164" s="169">
        <f>25000*0</f>
        <v>0</v>
      </c>
      <c r="N164" s="172"/>
      <c r="O164" s="169"/>
      <c r="P164" s="169">
        <f>25000</f>
        <v>25000</v>
      </c>
      <c r="Q164" s="169"/>
      <c r="R164" s="169"/>
      <c r="S164" s="169"/>
      <c r="T164" s="169">
        <f t="shared" si="72"/>
        <v>0</v>
      </c>
      <c r="U164" s="169"/>
      <c r="V164" s="169"/>
      <c r="W164" s="169"/>
      <c r="X164" s="169"/>
      <c r="Y164" s="169"/>
    </row>
    <row r="165" spans="1:25" outlineLevel="1" x14ac:dyDescent="0.25">
      <c r="A165" s="114" t="str">
        <f>B165&amp;D165&amp;F165&amp;G165</f>
        <v>Physical ServicesPublic BuildingsDeming Road House (Mobile Home caretakers house)Surplus</v>
      </c>
      <c r="B165" s="11" t="s">
        <v>365</v>
      </c>
      <c r="C165" s="11">
        <v>38</v>
      </c>
      <c r="D165" s="11" t="s">
        <v>47</v>
      </c>
      <c r="F165" s="200" t="s">
        <v>442</v>
      </c>
      <c r="G165" s="123" t="s">
        <v>1036</v>
      </c>
      <c r="H165" s="11" t="s">
        <v>531</v>
      </c>
      <c r="K165" s="169"/>
      <c r="L165" s="169"/>
      <c r="M165" s="169">
        <f>50000*0</f>
        <v>0</v>
      </c>
      <c r="N165" s="172"/>
      <c r="O165" s="169"/>
      <c r="P165" s="169">
        <v>50000</v>
      </c>
      <c r="Q165" s="169"/>
      <c r="R165" s="169"/>
      <c r="S165" s="169"/>
      <c r="T165" s="169">
        <f t="shared" si="72"/>
        <v>0</v>
      </c>
      <c r="U165" s="169"/>
      <c r="V165" s="169"/>
      <c r="W165" s="169"/>
      <c r="X165" s="169"/>
      <c r="Y165" s="169"/>
    </row>
    <row r="166" spans="1:25" outlineLevel="1" x14ac:dyDescent="0.25">
      <c r="A166" s="114" t="str">
        <f>B166&amp;D166&amp;F166&amp;G166</f>
        <v>Physical ServicesPublic BuildingsArt League Building RenovationsGF</v>
      </c>
      <c r="B166" s="11" t="s">
        <v>365</v>
      </c>
      <c r="C166" s="11">
        <v>38</v>
      </c>
      <c r="D166" s="11" t="s">
        <v>47</v>
      </c>
      <c r="F166" s="200" t="s">
        <v>674</v>
      </c>
      <c r="G166" s="123" t="s">
        <v>16</v>
      </c>
      <c r="H166" s="11" t="s">
        <v>531</v>
      </c>
      <c r="K166" s="169"/>
      <c r="L166" s="169"/>
      <c r="M166" s="169"/>
      <c r="N166" s="172"/>
      <c r="O166" s="169"/>
      <c r="P166" s="169">
        <f>100000*0</f>
        <v>0</v>
      </c>
      <c r="Q166" s="169"/>
      <c r="R166" s="169"/>
      <c r="S166" s="169">
        <f>100000</f>
        <v>100000</v>
      </c>
      <c r="T166" s="169">
        <f t="shared" si="72"/>
        <v>0</v>
      </c>
      <c r="U166" s="169"/>
      <c r="V166" s="169"/>
      <c r="W166" s="169"/>
      <c r="X166" s="169"/>
      <c r="Y166" s="169"/>
    </row>
    <row r="167" spans="1:25" outlineLevel="1" x14ac:dyDescent="0.25">
      <c r="A167" s="114" t="str">
        <f>B167&amp;D167&amp;F167&amp;G167</f>
        <v>Physical ServicesPublic BuildingsMeatinghouse RenovationsGrants</v>
      </c>
      <c r="B167" s="11" t="s">
        <v>365</v>
      </c>
      <c r="C167" s="11">
        <v>38</v>
      </c>
      <c r="D167" s="11" t="s">
        <v>47</v>
      </c>
      <c r="F167" s="200" t="s">
        <v>677</v>
      </c>
      <c r="G167" s="123" t="s">
        <v>38</v>
      </c>
      <c r="H167" s="11" t="s">
        <v>531</v>
      </c>
      <c r="K167" s="169"/>
      <c r="L167" s="169"/>
      <c r="M167" s="169"/>
      <c r="N167" s="172"/>
      <c r="O167" s="169"/>
      <c r="P167" s="169"/>
      <c r="Q167" s="169"/>
      <c r="R167" s="169"/>
      <c r="S167" s="169"/>
      <c r="T167" s="169">
        <f t="shared" si="72"/>
        <v>3200000</v>
      </c>
      <c r="U167" s="169"/>
      <c r="V167" s="169"/>
      <c r="W167" s="169"/>
      <c r="X167" s="169">
        <v>3200000</v>
      </c>
      <c r="Y167" s="169"/>
    </row>
    <row r="168" spans="1:25" outlineLevel="1" x14ac:dyDescent="0.25">
      <c r="A168" s="114" t="str">
        <f>B168&amp;D168&amp;F168&amp;G168</f>
        <v>Physical ServicesPublic BuildingsAnimal Control Building RenovationsGF</v>
      </c>
      <c r="B168" s="11" t="s">
        <v>365</v>
      </c>
      <c r="C168" s="11">
        <v>38</v>
      </c>
      <c r="D168" s="11" t="s">
        <v>47</v>
      </c>
      <c r="F168" s="200" t="s">
        <v>681</v>
      </c>
      <c r="G168" s="123" t="s">
        <v>16</v>
      </c>
      <c r="H168" s="11" t="s">
        <v>531</v>
      </c>
      <c r="K168" s="169"/>
      <c r="L168" s="169"/>
      <c r="M168" s="169"/>
      <c r="N168" s="172"/>
      <c r="O168" s="169"/>
      <c r="P168" s="169"/>
      <c r="Q168" s="169"/>
      <c r="R168" s="169"/>
      <c r="S168" s="169"/>
      <c r="T168" s="169">
        <f t="shared" si="72"/>
        <v>50000</v>
      </c>
      <c r="U168" s="169"/>
      <c r="V168" s="169">
        <v>50000</v>
      </c>
      <c r="W168" s="169"/>
      <c r="X168" s="169"/>
      <c r="Y168" s="169"/>
    </row>
    <row r="169" spans="1:25" outlineLevel="1" x14ac:dyDescent="0.25">
      <c r="A169" s="114" t="str">
        <f t="shared" si="71"/>
        <v>Physical ServicesPublic BuildingsCarpet Replacement (Library)GF</v>
      </c>
      <c r="B169" s="11" t="s">
        <v>365</v>
      </c>
      <c r="C169" s="11">
        <v>38</v>
      </c>
      <c r="D169" s="11" t="s">
        <v>47</v>
      </c>
      <c r="F169" s="201" t="s">
        <v>453</v>
      </c>
      <c r="G169" s="11" t="s">
        <v>16</v>
      </c>
      <c r="H169" s="11" t="s">
        <v>531</v>
      </c>
      <c r="K169" s="169"/>
      <c r="L169" s="169"/>
      <c r="M169" s="169"/>
      <c r="N169" s="172"/>
      <c r="O169" s="169"/>
      <c r="P169" s="169"/>
      <c r="Q169" s="169"/>
      <c r="R169" s="169"/>
      <c r="S169" s="169">
        <v>125000</v>
      </c>
      <c r="T169" s="169">
        <f t="shared" si="72"/>
        <v>0</v>
      </c>
      <c r="U169" s="169"/>
      <c r="V169" s="169"/>
      <c r="W169" s="169"/>
      <c r="X169" s="169"/>
      <c r="Y169" s="169"/>
    </row>
    <row r="170" spans="1:25" outlineLevel="1" x14ac:dyDescent="0.25">
      <c r="A170" s="114" t="str">
        <f t="shared" ref="A170" si="77">B170&amp;D170&amp;F170&amp;G170</f>
        <v>Physical ServicesPublic BuildingsTimberlin Clubhouse FloorGF</v>
      </c>
      <c r="B170" s="11" t="s">
        <v>365</v>
      </c>
      <c r="C170" s="11">
        <v>38</v>
      </c>
      <c r="D170" s="11" t="s">
        <v>47</v>
      </c>
      <c r="F170" s="201" t="s">
        <v>670</v>
      </c>
      <c r="G170" s="11" t="s">
        <v>16</v>
      </c>
      <c r="H170" s="11" t="s">
        <v>531</v>
      </c>
      <c r="K170" s="169"/>
      <c r="L170" s="169"/>
      <c r="M170" s="169"/>
      <c r="N170" s="172"/>
      <c r="O170" s="169"/>
      <c r="P170" s="169"/>
      <c r="Q170" s="169"/>
      <c r="R170" s="169">
        <v>50000</v>
      </c>
      <c r="S170" s="169"/>
      <c r="T170" s="169">
        <f t="shared" si="72"/>
        <v>0</v>
      </c>
      <c r="U170" s="169"/>
      <c r="V170" s="169"/>
      <c r="W170" s="169"/>
      <c r="X170" s="169"/>
      <c r="Y170" s="169"/>
    </row>
    <row r="171" spans="1:25" outlineLevel="1" x14ac:dyDescent="0.25">
      <c r="A171" s="114" t="str">
        <f t="shared" ref="A171" si="78">B171&amp;D171&amp;F171&amp;G171</f>
        <v>Physical ServicesPublic BuildingsTown Hall Bathroom RenovationsGF</v>
      </c>
      <c r="B171" s="11" t="s">
        <v>365</v>
      </c>
      <c r="C171" s="11">
        <v>38</v>
      </c>
      <c r="D171" s="11" t="s">
        <v>47</v>
      </c>
      <c r="F171" s="200" t="s">
        <v>668</v>
      </c>
      <c r="G171" s="123" t="s">
        <v>16</v>
      </c>
      <c r="H171" s="11" t="s">
        <v>531</v>
      </c>
      <c r="K171" s="169"/>
      <c r="L171" s="169"/>
      <c r="M171" s="169"/>
      <c r="N171" s="172"/>
      <c r="O171" s="169"/>
      <c r="P171" s="169"/>
      <c r="Q171" s="169">
        <f>80000*0</f>
        <v>0</v>
      </c>
      <c r="R171" s="169"/>
      <c r="S171" s="169">
        <v>80000</v>
      </c>
      <c r="T171" s="169">
        <f t="shared" si="72"/>
        <v>0</v>
      </c>
      <c r="U171" s="169"/>
      <c r="V171" s="169"/>
      <c r="W171" s="169"/>
      <c r="X171" s="169"/>
      <c r="Y171" s="169"/>
    </row>
    <row r="172" spans="1:25" outlineLevel="1" x14ac:dyDescent="0.25">
      <c r="A172" s="114" t="str">
        <f t="shared" ref="A172" si="79">B172&amp;D172&amp;F172&amp;G172</f>
        <v>Physical ServicesPublic BuildingsLibrary Bathroom RenovationsGF</v>
      </c>
      <c r="B172" s="11" t="s">
        <v>365</v>
      </c>
      <c r="C172" s="11">
        <v>38</v>
      </c>
      <c r="D172" s="11" t="s">
        <v>47</v>
      </c>
      <c r="F172" s="200" t="s">
        <v>669</v>
      </c>
      <c r="G172" s="123" t="s">
        <v>16</v>
      </c>
      <c r="H172" s="11" t="s">
        <v>531</v>
      </c>
      <c r="K172" s="169"/>
      <c r="L172" s="169"/>
      <c r="M172" s="169"/>
      <c r="N172" s="172"/>
      <c r="O172" s="169"/>
      <c r="P172" s="169"/>
      <c r="Q172" s="169"/>
      <c r="R172" s="169"/>
      <c r="S172" s="169"/>
      <c r="T172" s="169">
        <f t="shared" si="72"/>
        <v>50000</v>
      </c>
      <c r="U172" s="169"/>
      <c r="V172" s="169">
        <v>50000</v>
      </c>
      <c r="W172" s="169"/>
      <c r="X172" s="169"/>
      <c r="Y172" s="169"/>
    </row>
    <row r="173" spans="1:25" outlineLevel="1" x14ac:dyDescent="0.25">
      <c r="A173" s="114" t="str">
        <f t="shared" ref="A173" si="80">B173&amp;D173&amp;F173&amp;G173</f>
        <v>Physical ServicesPublic BuildingsTimberlin Clubhouse Bathroom RenovationsGF</v>
      </c>
      <c r="B173" s="11" t="s">
        <v>365</v>
      </c>
      <c r="C173" s="11">
        <v>38</v>
      </c>
      <c r="D173" s="11" t="s">
        <v>47</v>
      </c>
      <c r="F173" s="200" t="s">
        <v>671</v>
      </c>
      <c r="G173" s="123" t="s">
        <v>16</v>
      </c>
      <c r="H173" s="11" t="s">
        <v>531</v>
      </c>
      <c r="K173" s="169"/>
      <c r="L173" s="169"/>
      <c r="M173" s="169"/>
      <c r="N173" s="172"/>
      <c r="O173" s="169"/>
      <c r="P173" s="169"/>
      <c r="Q173" s="169"/>
      <c r="R173" s="169">
        <v>80000</v>
      </c>
      <c r="S173" s="169"/>
      <c r="T173" s="169">
        <f t="shared" si="72"/>
        <v>0</v>
      </c>
      <c r="U173" s="169"/>
      <c r="V173" s="169"/>
      <c r="W173" s="169"/>
      <c r="X173" s="169"/>
      <c r="Y173" s="169"/>
    </row>
    <row r="174" spans="1:25" outlineLevel="1" x14ac:dyDescent="0.25">
      <c r="A174" s="114" t="str">
        <f t="shared" si="71"/>
        <v>Physical ServicesPublic BuildingsUpgrade &amp; repairs of Sage Park restroomsBond - E</v>
      </c>
      <c r="B174" s="11" t="s">
        <v>365</v>
      </c>
      <c r="C174" s="11">
        <v>38</v>
      </c>
      <c r="D174" s="11" t="s">
        <v>47</v>
      </c>
      <c r="F174" s="200" t="s">
        <v>346</v>
      </c>
      <c r="G174" s="11" t="s">
        <v>243</v>
      </c>
      <c r="H174" s="11" t="s">
        <v>531</v>
      </c>
      <c r="K174" s="169"/>
      <c r="L174" s="169"/>
      <c r="M174" s="169"/>
      <c r="N174" s="172"/>
      <c r="O174" s="169">
        <v>45000</v>
      </c>
      <c r="P174" s="169"/>
      <c r="Q174" s="169"/>
      <c r="R174" s="169"/>
      <c r="S174" s="169"/>
      <c r="T174" s="169">
        <f t="shared" si="72"/>
        <v>0</v>
      </c>
      <c r="U174" s="169"/>
      <c r="V174" s="169"/>
      <c r="W174" s="169"/>
      <c r="X174" s="169"/>
      <c r="Y174" s="169"/>
    </row>
    <row r="175" spans="1:25" outlineLevel="1" x14ac:dyDescent="0.25">
      <c r="A175" s="114" t="str">
        <f t="shared" ref="A175" si="81">B175&amp;D175&amp;F175&amp;G175</f>
        <v>Physical ServicesPublic BuildingsUpgrade &amp; repairs of Sage Park restroomsBond</v>
      </c>
      <c r="B175" s="11" t="s">
        <v>365</v>
      </c>
      <c r="C175" s="11">
        <v>38</v>
      </c>
      <c r="D175" s="11" t="s">
        <v>47</v>
      </c>
      <c r="F175" s="200" t="s">
        <v>346</v>
      </c>
      <c r="G175" s="11" t="s">
        <v>19</v>
      </c>
      <c r="K175" s="169"/>
      <c r="L175" s="169"/>
      <c r="M175" s="169"/>
      <c r="N175" s="172"/>
      <c r="O175" s="169">
        <v>100000</v>
      </c>
      <c r="P175" s="169"/>
      <c r="Q175" s="169"/>
      <c r="R175" s="169"/>
      <c r="S175" s="169"/>
      <c r="T175" s="169">
        <f t="shared" si="72"/>
        <v>0</v>
      </c>
      <c r="U175" s="169"/>
      <c r="V175" s="169"/>
      <c r="W175" s="169"/>
      <c r="X175" s="169"/>
      <c r="Y175" s="169"/>
    </row>
    <row r="176" spans="1:25" outlineLevel="1" x14ac:dyDescent="0.25">
      <c r="A176" s="114" t="str">
        <f t="shared" si="71"/>
        <v>Physical ServicesPublic BuildingsModernize elevator @ Town HallGF</v>
      </c>
      <c r="B176" s="11" t="s">
        <v>365</v>
      </c>
      <c r="C176" s="11">
        <v>38</v>
      </c>
      <c r="D176" s="11" t="s">
        <v>47</v>
      </c>
      <c r="F176" s="200" t="s">
        <v>517</v>
      </c>
      <c r="G176" s="123" t="s">
        <v>16</v>
      </c>
      <c r="H176" s="11" t="s">
        <v>531</v>
      </c>
      <c r="K176" s="169"/>
      <c r="L176" s="169"/>
      <c r="M176" s="169"/>
      <c r="N176" s="172"/>
      <c r="O176" s="169"/>
      <c r="P176" s="169">
        <v>100000</v>
      </c>
      <c r="Q176" s="169"/>
      <c r="R176" s="169"/>
      <c r="S176" s="169"/>
      <c r="T176" s="169">
        <f t="shared" si="72"/>
        <v>0</v>
      </c>
      <c r="U176" s="169"/>
      <c r="V176" s="169"/>
      <c r="W176" s="169"/>
      <c r="X176" s="169"/>
      <c r="Y176" s="169"/>
    </row>
    <row r="177" spans="1:25" outlineLevel="1" x14ac:dyDescent="0.25">
      <c r="A177" s="114" t="str">
        <f t="shared" ref="A177" si="82">B177&amp;D177&amp;F177&amp;G177</f>
        <v>Physical ServicesPublic BuildingsTownwide Phone System UpgradeGF</v>
      </c>
      <c r="B177" s="11" t="s">
        <v>365</v>
      </c>
      <c r="C177" s="11">
        <v>38</v>
      </c>
      <c r="D177" s="11" t="s">
        <v>47</v>
      </c>
      <c r="F177" s="200" t="s">
        <v>682</v>
      </c>
      <c r="G177" s="123" t="s">
        <v>16</v>
      </c>
      <c r="H177" s="11" t="s">
        <v>531</v>
      </c>
      <c r="K177" s="169"/>
      <c r="L177" s="169"/>
      <c r="M177" s="169"/>
      <c r="N177" s="172"/>
      <c r="O177" s="169"/>
      <c r="P177" s="169"/>
      <c r="Q177" s="169"/>
      <c r="R177" s="169"/>
      <c r="S177" s="169"/>
      <c r="T177" s="169">
        <f t="shared" si="72"/>
        <v>350000</v>
      </c>
      <c r="U177" s="169"/>
      <c r="V177" s="169"/>
      <c r="W177" s="169">
        <v>350000</v>
      </c>
      <c r="X177" s="169"/>
      <c r="Y177" s="169"/>
    </row>
    <row r="178" spans="1:25" outlineLevel="1" x14ac:dyDescent="0.25">
      <c r="A178" s="114" t="str">
        <f t="shared" si="71"/>
        <v>Physical ServicesPublic BuildingsFire Alarm Upgrade (Library)GF</v>
      </c>
      <c r="B178" s="11" t="s">
        <v>365</v>
      </c>
      <c r="C178" s="11">
        <v>38</v>
      </c>
      <c r="D178" s="11" t="s">
        <v>47</v>
      </c>
      <c r="F178" s="201" t="s">
        <v>454</v>
      </c>
      <c r="G178" s="11" t="s">
        <v>16</v>
      </c>
      <c r="H178" s="11" t="s">
        <v>531</v>
      </c>
      <c r="K178" s="169"/>
      <c r="L178" s="169"/>
      <c r="M178" s="169"/>
      <c r="N178" s="172"/>
      <c r="O178" s="169"/>
      <c r="P178" s="169"/>
      <c r="Q178" s="169"/>
      <c r="R178" s="169"/>
      <c r="S178" s="169"/>
      <c r="T178" s="169">
        <f t="shared" si="72"/>
        <v>200000</v>
      </c>
      <c r="U178" s="169"/>
      <c r="V178" s="169"/>
      <c r="W178" s="169">
        <v>200000</v>
      </c>
      <c r="X178" s="169"/>
      <c r="Y178" s="169"/>
    </row>
    <row r="179" spans="1:25" outlineLevel="1" x14ac:dyDescent="0.25">
      <c r="A179" s="114" t="str">
        <f t="shared" ref="A179" si="83">B179&amp;D179&amp;F179&amp;G179</f>
        <v>Physical ServicesPublic BuildingsFire Alarm Upgrade (Town Hall)GF</v>
      </c>
      <c r="B179" s="11" t="s">
        <v>365</v>
      </c>
      <c r="C179" s="11">
        <v>38</v>
      </c>
      <c r="D179" s="11" t="s">
        <v>47</v>
      </c>
      <c r="F179" s="201" t="s">
        <v>667</v>
      </c>
      <c r="G179" s="11" t="s">
        <v>16</v>
      </c>
      <c r="H179" s="11" t="s">
        <v>531</v>
      </c>
      <c r="K179" s="169"/>
      <c r="L179" s="169"/>
      <c r="M179" s="169"/>
      <c r="N179" s="172"/>
      <c r="O179" s="169"/>
      <c r="P179" s="169"/>
      <c r="Q179" s="169"/>
      <c r="R179" s="169"/>
      <c r="S179" s="169"/>
      <c r="T179" s="169">
        <f t="shared" si="72"/>
        <v>350000</v>
      </c>
      <c r="U179" s="169">
        <v>350000</v>
      </c>
      <c r="V179" s="169"/>
      <c r="W179" s="169"/>
      <c r="X179" s="169"/>
      <c r="Y179" s="169"/>
    </row>
    <row r="180" spans="1:25" outlineLevel="1" x14ac:dyDescent="0.25">
      <c r="A180" s="114" t="str">
        <f t="shared" si="71"/>
        <v>Physical ServicesPublic BuildingsBoiler replacement (Timberlin)GF</v>
      </c>
      <c r="B180" s="11" t="s">
        <v>365</v>
      </c>
      <c r="C180" s="11">
        <v>38</v>
      </c>
      <c r="D180" s="11" t="s">
        <v>47</v>
      </c>
      <c r="F180" s="202" t="s">
        <v>459</v>
      </c>
      <c r="G180" s="11" t="s">
        <v>16</v>
      </c>
      <c r="H180" s="11" t="s">
        <v>531</v>
      </c>
      <c r="K180" s="169"/>
      <c r="L180" s="169"/>
      <c r="M180" s="169"/>
      <c r="N180" s="172"/>
      <c r="O180" s="169"/>
      <c r="P180" s="169">
        <f>25000*0</f>
        <v>0</v>
      </c>
      <c r="Q180" s="169">
        <v>25000</v>
      </c>
      <c r="R180" s="169"/>
      <c r="S180" s="169"/>
      <c r="T180" s="169">
        <f t="shared" si="72"/>
        <v>0</v>
      </c>
      <c r="U180" s="169"/>
      <c r="V180" s="169"/>
      <c r="W180" s="169"/>
      <c r="X180" s="169"/>
      <c r="Y180" s="169"/>
    </row>
    <row r="181" spans="1:25" ht="30" outlineLevel="1" x14ac:dyDescent="0.25">
      <c r="A181" s="114" t="str">
        <f t="shared" si="71"/>
        <v>Physical ServicesPublic BuildingsPool Building - Percival (borrow in middle or end of project, work done in FY20)Bond</v>
      </c>
      <c r="B181" s="11" t="s">
        <v>365</v>
      </c>
      <c r="C181" s="11">
        <v>38</v>
      </c>
      <c r="D181" s="11" t="s">
        <v>47</v>
      </c>
      <c r="F181" s="200" t="s">
        <v>263</v>
      </c>
      <c r="G181" s="11" t="s">
        <v>19</v>
      </c>
      <c r="H181" s="11" t="s">
        <v>531</v>
      </c>
      <c r="K181" s="169"/>
      <c r="L181" s="169"/>
      <c r="M181" s="169"/>
      <c r="N181" s="172"/>
      <c r="O181" s="169"/>
      <c r="P181" s="169"/>
      <c r="Q181" s="169"/>
      <c r="R181" s="169"/>
      <c r="S181" s="169">
        <v>750000</v>
      </c>
      <c r="T181" s="169">
        <f t="shared" si="72"/>
        <v>0</v>
      </c>
      <c r="U181" s="169"/>
      <c r="V181" s="169"/>
      <c r="W181" s="169"/>
      <c r="X181" s="169"/>
      <c r="Y181" s="169"/>
    </row>
    <row r="182" spans="1:25" ht="30" outlineLevel="1" x14ac:dyDescent="0.25">
      <c r="A182" s="114" t="str">
        <f t="shared" si="71"/>
        <v>Physical ServicesPublic BuildingsPool Building - East Berlin (borrow in middle or end of project, work done in FY20)Bond</v>
      </c>
      <c r="B182" s="11" t="s">
        <v>365</v>
      </c>
      <c r="C182" s="11">
        <v>38</v>
      </c>
      <c r="D182" s="11" t="s">
        <v>47</v>
      </c>
      <c r="F182" s="200" t="s">
        <v>264</v>
      </c>
      <c r="G182" s="11" t="s">
        <v>19</v>
      </c>
      <c r="H182" s="11" t="s">
        <v>531</v>
      </c>
      <c r="K182" s="169"/>
      <c r="L182" s="169"/>
      <c r="M182" s="169"/>
      <c r="N182" s="172"/>
      <c r="O182" s="169"/>
      <c r="P182" s="169"/>
      <c r="Q182" s="169"/>
      <c r="R182" s="169"/>
      <c r="S182" s="169">
        <v>750000</v>
      </c>
      <c r="T182" s="169">
        <f t="shared" si="72"/>
        <v>0</v>
      </c>
      <c r="U182" s="169"/>
      <c r="V182" s="169"/>
      <c r="W182" s="169"/>
      <c r="X182" s="169"/>
      <c r="Y182" s="169"/>
    </row>
    <row r="183" spans="1:25" outlineLevel="1" x14ac:dyDescent="0.25">
      <c r="A183" s="114" t="str">
        <f t="shared" si="71"/>
        <v>Physical ServicesPublic BuildingsWindow Replacement (Town Hall)GF</v>
      </c>
      <c r="B183" s="11" t="s">
        <v>365</v>
      </c>
      <c r="C183" s="11">
        <v>38</v>
      </c>
      <c r="D183" s="11" t="s">
        <v>47</v>
      </c>
      <c r="F183" s="200" t="s">
        <v>449</v>
      </c>
      <c r="G183" s="123" t="s">
        <v>16</v>
      </c>
      <c r="H183" s="11" t="s">
        <v>531</v>
      </c>
      <c r="K183" s="169"/>
      <c r="L183" s="169"/>
      <c r="M183" s="169"/>
      <c r="N183" s="172"/>
      <c r="O183" s="169"/>
      <c r="P183" s="169"/>
      <c r="Q183" s="169"/>
      <c r="R183" s="169"/>
      <c r="S183" s="169">
        <f>2500000*0</f>
        <v>0</v>
      </c>
      <c r="T183" s="169">
        <f t="shared" si="72"/>
        <v>2500000</v>
      </c>
      <c r="U183" s="169"/>
      <c r="V183" s="169">
        <v>2500000</v>
      </c>
      <c r="W183" s="169"/>
      <c r="X183" s="169"/>
      <c r="Y183" s="169"/>
    </row>
    <row r="184" spans="1:25" outlineLevel="1" x14ac:dyDescent="0.25">
      <c r="A184" s="114" t="str">
        <f t="shared" si="71"/>
        <v>Physical ServicesPublic BuildingsWindow Replacement (Library/Community Center)GF</v>
      </c>
      <c r="B184" s="11" t="s">
        <v>365</v>
      </c>
      <c r="C184" s="11">
        <v>38</v>
      </c>
      <c r="D184" s="11" t="s">
        <v>47</v>
      </c>
      <c r="F184" s="200" t="s">
        <v>518</v>
      </c>
      <c r="G184" s="11" t="s">
        <v>16</v>
      </c>
      <c r="H184" s="11" t="s">
        <v>531</v>
      </c>
      <c r="K184" s="169"/>
      <c r="L184" s="169"/>
      <c r="M184" s="169"/>
      <c r="N184" s="172"/>
      <c r="O184" s="169"/>
      <c r="P184" s="169"/>
      <c r="Q184" s="169"/>
      <c r="R184" s="169"/>
      <c r="S184" s="169"/>
      <c r="T184" s="169">
        <f t="shared" si="72"/>
        <v>750000</v>
      </c>
      <c r="U184" s="169">
        <v>750000</v>
      </c>
      <c r="V184" s="169"/>
      <c r="W184" s="169"/>
      <c r="X184" s="169"/>
      <c r="Y184" s="169"/>
    </row>
    <row r="185" spans="1:25" outlineLevel="1" x14ac:dyDescent="0.25">
      <c r="A185" s="114" t="str">
        <f t="shared" si="71"/>
        <v>Physical ServicesPublic BuildingsWindows &amp; Doors replacement (Timberlin)GF</v>
      </c>
      <c r="B185" s="11" t="s">
        <v>365</v>
      </c>
      <c r="C185" s="11">
        <v>38</v>
      </c>
      <c r="D185" s="11" t="s">
        <v>47</v>
      </c>
      <c r="F185" s="202" t="s">
        <v>672</v>
      </c>
      <c r="G185" s="11" t="s">
        <v>16</v>
      </c>
      <c r="H185" s="11" t="s">
        <v>531</v>
      </c>
      <c r="K185" s="169"/>
      <c r="L185" s="169"/>
      <c r="M185" s="169"/>
      <c r="N185" s="172"/>
      <c r="O185" s="169"/>
      <c r="P185" s="169"/>
      <c r="Q185" s="169">
        <f>175000*0</f>
        <v>0</v>
      </c>
      <c r="R185" s="169"/>
      <c r="S185" s="169"/>
      <c r="T185" s="169">
        <f t="shared" si="72"/>
        <v>175000</v>
      </c>
      <c r="U185" s="169">
        <v>175000</v>
      </c>
      <c r="V185" s="169"/>
      <c r="W185" s="169"/>
      <c r="X185" s="169"/>
      <c r="Y185" s="169"/>
    </row>
    <row r="186" spans="1:25" outlineLevel="1" x14ac:dyDescent="0.25">
      <c r="A186" s="114" t="str">
        <f>B186&amp;D186&amp;F186&amp;G186</f>
        <v>Physical ServicesPublic BuildingsWindow Replacement (Senior Center)GF</v>
      </c>
      <c r="B186" s="11" t="s">
        <v>365</v>
      </c>
      <c r="C186" s="11">
        <v>38</v>
      </c>
      <c r="D186" s="11" t="s">
        <v>47</v>
      </c>
      <c r="F186" s="201" t="s">
        <v>675</v>
      </c>
      <c r="G186" s="11" t="s">
        <v>16</v>
      </c>
      <c r="H186" s="11" t="s">
        <v>531</v>
      </c>
      <c r="K186" s="169"/>
      <c r="L186" s="169"/>
      <c r="M186" s="169"/>
      <c r="N186" s="172"/>
      <c r="O186" s="169"/>
      <c r="P186" s="169"/>
      <c r="Q186" s="169"/>
      <c r="R186" s="169"/>
      <c r="S186" s="169"/>
      <c r="T186" s="169">
        <f t="shared" si="72"/>
        <v>750000</v>
      </c>
      <c r="U186" s="169"/>
      <c r="V186" s="169"/>
      <c r="W186" s="169">
        <v>750000</v>
      </c>
      <c r="X186" s="169"/>
      <c r="Y186" s="169"/>
    </row>
    <row r="187" spans="1:25" outlineLevel="1" x14ac:dyDescent="0.25">
      <c r="A187" s="114" t="str">
        <f>B187&amp;D187&amp;F187&amp;G187</f>
        <v>Physical ServicesPublic BuildingsRoof Replacement (Garage)LoCIP</v>
      </c>
      <c r="B187" s="11" t="s">
        <v>365</v>
      </c>
      <c r="C187" s="11">
        <v>38</v>
      </c>
      <c r="D187" s="11" t="s">
        <v>47</v>
      </c>
      <c r="F187" s="201" t="s">
        <v>458</v>
      </c>
      <c r="G187" s="11" t="s">
        <v>37</v>
      </c>
      <c r="H187" s="11" t="s">
        <v>531</v>
      </c>
      <c r="K187" s="169"/>
      <c r="L187" s="169">
        <v>125000</v>
      </c>
      <c r="M187" s="169"/>
      <c r="N187" s="172"/>
      <c r="O187" s="169"/>
      <c r="P187" s="169"/>
      <c r="Q187" s="169"/>
      <c r="R187" s="169"/>
      <c r="S187" s="169"/>
      <c r="T187" s="169">
        <f t="shared" si="72"/>
        <v>0</v>
      </c>
      <c r="U187" s="169"/>
      <c r="V187" s="169"/>
      <c r="W187" s="169"/>
      <c r="X187" s="169"/>
      <c r="Y187" s="169"/>
    </row>
    <row r="188" spans="1:25" outlineLevel="1" x14ac:dyDescent="0.25">
      <c r="A188" s="114" t="str">
        <f t="shared" si="71"/>
        <v>Physical ServicesPublic BuildingsRoof Repl-Est (Town Hall)Bond</v>
      </c>
      <c r="B188" s="11" t="s">
        <v>365</v>
      </c>
      <c r="C188" s="11">
        <v>38</v>
      </c>
      <c r="D188" s="11" t="s">
        <v>47</v>
      </c>
      <c r="F188" s="197" t="s">
        <v>450</v>
      </c>
      <c r="G188" s="11" t="s">
        <v>19</v>
      </c>
      <c r="H188" s="11" t="s">
        <v>531</v>
      </c>
      <c r="I188" s="11" t="s">
        <v>538</v>
      </c>
      <c r="K188" s="169"/>
      <c r="L188" s="169"/>
      <c r="M188" s="169"/>
      <c r="N188" s="172"/>
      <c r="O188" s="169"/>
      <c r="P188" s="169"/>
      <c r="Q188" s="169"/>
      <c r="R188" s="169"/>
      <c r="S188" s="169">
        <f>1200000*0</f>
        <v>0</v>
      </c>
      <c r="T188" s="169">
        <f t="shared" si="72"/>
        <v>1200000</v>
      </c>
      <c r="U188" s="169"/>
      <c r="V188" s="169">
        <v>1200000</v>
      </c>
      <c r="W188" s="169"/>
      <c r="X188" s="169"/>
      <c r="Y188" s="169"/>
    </row>
    <row r="189" spans="1:25" outlineLevel="1" x14ac:dyDescent="0.25">
      <c r="A189" s="114" t="str">
        <f t="shared" si="71"/>
        <v>Physical ServicesPublic BuildingsRoof Replacement (Library)Bond</v>
      </c>
      <c r="B189" s="11" t="s">
        <v>365</v>
      </c>
      <c r="C189" s="11">
        <v>38</v>
      </c>
      <c r="D189" s="11" t="s">
        <v>47</v>
      </c>
      <c r="F189" s="201" t="s">
        <v>455</v>
      </c>
      <c r="G189" s="11" t="s">
        <v>19</v>
      </c>
      <c r="H189" s="11" t="s">
        <v>531</v>
      </c>
      <c r="I189" s="11" t="s">
        <v>538</v>
      </c>
      <c r="K189" s="169"/>
      <c r="L189" s="169"/>
      <c r="M189" s="169"/>
      <c r="N189" s="172"/>
      <c r="O189" s="169"/>
      <c r="P189" s="169">
        <f>1200000*0</f>
        <v>0</v>
      </c>
      <c r="Q189" s="169"/>
      <c r="R189" s="169">
        <v>1200000</v>
      </c>
      <c r="S189" s="169"/>
      <c r="T189" s="169">
        <f t="shared" si="72"/>
        <v>0</v>
      </c>
      <c r="U189" s="169"/>
      <c r="V189" s="169"/>
      <c r="W189" s="169"/>
      <c r="X189" s="169"/>
      <c r="Y189" s="169"/>
    </row>
    <row r="190" spans="1:25" outlineLevel="1" x14ac:dyDescent="0.25">
      <c r="A190" s="114" t="str">
        <f t="shared" si="71"/>
        <v>Physical ServicesPublic BuildingsRoof Replacement (Senior Center)Bond</v>
      </c>
      <c r="B190" s="11" t="s">
        <v>365</v>
      </c>
      <c r="C190" s="11">
        <v>38</v>
      </c>
      <c r="D190" s="11" t="s">
        <v>47</v>
      </c>
      <c r="F190" s="201" t="s">
        <v>456</v>
      </c>
      <c r="G190" s="11" t="s">
        <v>19</v>
      </c>
      <c r="H190" s="11" t="s">
        <v>531</v>
      </c>
      <c r="I190" s="11" t="s">
        <v>538</v>
      </c>
      <c r="K190" s="169"/>
      <c r="L190" s="169"/>
      <c r="M190" s="169"/>
      <c r="N190" s="172"/>
      <c r="O190" s="169"/>
      <c r="P190" s="169"/>
      <c r="Q190" s="169"/>
      <c r="R190" s="169"/>
      <c r="S190" s="169"/>
      <c r="T190" s="169">
        <f t="shared" si="72"/>
        <v>750000</v>
      </c>
      <c r="U190" s="169">
        <f>750000</f>
        <v>750000</v>
      </c>
      <c r="V190" s="169">
        <f>750000*0</f>
        <v>0</v>
      </c>
      <c r="W190" s="169"/>
      <c r="X190" s="169"/>
      <c r="Y190" s="169"/>
    </row>
    <row r="191" spans="1:25" ht="30" outlineLevel="1" x14ac:dyDescent="0.25">
      <c r="A191" s="114" t="str">
        <f>B191&amp;D191&amp;F191&amp;G191</f>
        <v>Physical ServicesPublic BuildingsRoof, windows &amp; door replacement - Timberlin Maintenance (Timberlin)GF</v>
      </c>
      <c r="B191" s="11" t="s">
        <v>365</v>
      </c>
      <c r="C191" s="11">
        <v>38</v>
      </c>
      <c r="D191" s="11" t="s">
        <v>47</v>
      </c>
      <c r="F191" s="202" t="s">
        <v>480</v>
      </c>
      <c r="G191" s="11" t="s">
        <v>16</v>
      </c>
      <c r="H191" s="11" t="s">
        <v>531</v>
      </c>
      <c r="K191" s="169"/>
      <c r="L191" s="169"/>
      <c r="M191" s="169"/>
      <c r="N191" s="172"/>
      <c r="O191" s="169"/>
      <c r="P191" s="169"/>
      <c r="Q191" s="169"/>
      <c r="R191" s="169"/>
      <c r="S191" s="169">
        <f>200000*0</f>
        <v>0</v>
      </c>
      <c r="T191" s="169">
        <f t="shared" si="72"/>
        <v>200000</v>
      </c>
      <c r="U191" s="169">
        <f>200000</f>
        <v>200000</v>
      </c>
      <c r="V191" s="169"/>
      <c r="W191" s="169"/>
      <c r="X191" s="169"/>
      <c r="Y191" s="169"/>
    </row>
    <row r="192" spans="1:25" outlineLevel="1" x14ac:dyDescent="0.25">
      <c r="A192" s="114" t="str">
        <f>B192&amp;D192&amp;F192&amp;G192</f>
        <v>Physical ServicesPublic BuildingsTimberlin Maintenance Shop ExteriorGF</v>
      </c>
      <c r="B192" s="11" t="s">
        <v>365</v>
      </c>
      <c r="C192" s="11">
        <v>38</v>
      </c>
      <c r="D192" s="11" t="s">
        <v>47</v>
      </c>
      <c r="F192" s="202" t="s">
        <v>999</v>
      </c>
      <c r="G192" s="11" t="s">
        <v>16</v>
      </c>
      <c r="H192" s="11" t="s">
        <v>531</v>
      </c>
      <c r="K192" s="169"/>
      <c r="L192" s="169"/>
      <c r="M192" s="169"/>
      <c r="N192" s="172"/>
      <c r="O192" s="169">
        <f>50000*0</f>
        <v>0</v>
      </c>
      <c r="P192" s="169">
        <v>50000</v>
      </c>
      <c r="Q192" s="169"/>
      <c r="R192" s="169"/>
      <c r="S192" s="169"/>
      <c r="T192" s="169">
        <f t="shared" si="72"/>
        <v>0</v>
      </c>
      <c r="U192" s="169"/>
      <c r="V192" s="169"/>
      <c r="W192" s="169"/>
      <c r="X192" s="169"/>
      <c r="Y192" s="169"/>
    </row>
    <row r="193" spans="1:25" outlineLevel="1" x14ac:dyDescent="0.25">
      <c r="A193" s="114" t="str">
        <f t="shared" ref="A193" si="84">B193&amp;D193&amp;F193&amp;G193</f>
        <v>Physical ServicesPublic BuildingsElectrical panel upgrade (Town Hall)GF</v>
      </c>
      <c r="B193" s="11" t="s">
        <v>365</v>
      </c>
      <c r="C193" s="11">
        <v>38</v>
      </c>
      <c r="D193" s="11" t="s">
        <v>47</v>
      </c>
      <c r="F193" s="202" t="s">
        <v>666</v>
      </c>
      <c r="G193" s="11" t="s">
        <v>16</v>
      </c>
      <c r="H193" s="11" t="s">
        <v>531</v>
      </c>
      <c r="K193" s="169"/>
      <c r="L193" s="169"/>
      <c r="M193" s="169"/>
      <c r="N193" s="172"/>
      <c r="O193" s="169"/>
      <c r="P193" s="169"/>
      <c r="Q193" s="169"/>
      <c r="R193" s="169">
        <v>100000</v>
      </c>
      <c r="S193" s="169"/>
      <c r="T193" s="169">
        <f t="shared" si="72"/>
        <v>0</v>
      </c>
      <c r="U193" s="169"/>
      <c r="V193" s="169"/>
      <c r="W193" s="169"/>
      <c r="X193" s="169"/>
      <c r="Y193" s="169"/>
    </row>
    <row r="194" spans="1:25" outlineLevel="1" x14ac:dyDescent="0.25">
      <c r="A194" s="114" t="str">
        <f t="shared" si="71"/>
        <v>Physical ServicesPublic BuildingsElectrical service upgrades (Timerlin)GF</v>
      </c>
      <c r="B194" s="11" t="s">
        <v>365</v>
      </c>
      <c r="C194" s="11">
        <v>38</v>
      </c>
      <c r="D194" s="11" t="s">
        <v>47</v>
      </c>
      <c r="F194" s="202" t="s">
        <v>448</v>
      </c>
      <c r="G194" s="11" t="s">
        <v>16</v>
      </c>
      <c r="H194" s="11" t="s">
        <v>531</v>
      </c>
      <c r="K194" s="169"/>
      <c r="L194" s="169"/>
      <c r="M194" s="169"/>
      <c r="N194" s="172"/>
      <c r="O194" s="169"/>
      <c r="P194" s="169">
        <v>50000</v>
      </c>
      <c r="Q194" s="169"/>
      <c r="R194" s="169"/>
      <c r="S194" s="169"/>
      <c r="T194" s="169">
        <f t="shared" si="72"/>
        <v>0</v>
      </c>
      <c r="U194" s="169"/>
      <c r="V194" s="169"/>
      <c r="W194" s="169"/>
      <c r="X194" s="169"/>
      <c r="Y194" s="169"/>
    </row>
    <row r="195" spans="1:25" outlineLevel="1" x14ac:dyDescent="0.25">
      <c r="A195" s="114" t="str">
        <f t="shared" si="71"/>
        <v>Physical ServicesPublic BuildingsConversion to LED lighting - Town HallGF</v>
      </c>
      <c r="B195" s="11" t="s">
        <v>365</v>
      </c>
      <c r="C195" s="11">
        <v>38</v>
      </c>
      <c r="D195" s="11" t="s">
        <v>47</v>
      </c>
      <c r="F195" s="201" t="s">
        <v>567</v>
      </c>
      <c r="G195" s="11" t="s">
        <v>16</v>
      </c>
      <c r="H195" s="11" t="s">
        <v>531</v>
      </c>
      <c r="I195" s="11" t="s">
        <v>566</v>
      </c>
      <c r="K195" s="169"/>
      <c r="L195" s="169"/>
      <c r="M195" s="169"/>
      <c r="N195" s="172"/>
      <c r="O195" s="169"/>
      <c r="P195" s="169"/>
      <c r="Q195" s="169">
        <f>250000*0</f>
        <v>0</v>
      </c>
      <c r="R195" s="169"/>
      <c r="T195" s="169">
        <f t="shared" si="72"/>
        <v>250000</v>
      </c>
      <c r="U195" s="169">
        <v>250000</v>
      </c>
      <c r="V195" s="169"/>
      <c r="W195" s="169"/>
      <c r="X195" s="169"/>
      <c r="Y195" s="169"/>
    </row>
    <row r="196" spans="1:25" ht="30" outlineLevel="1" x14ac:dyDescent="0.25">
      <c r="A196" s="114" t="str">
        <f t="shared" si="71"/>
        <v>Physical ServicesPublic BuildingsConversion to LED lighting - Library/Community Center ($100k each location)GF</v>
      </c>
      <c r="B196" s="11" t="s">
        <v>365</v>
      </c>
      <c r="C196" s="11">
        <v>38</v>
      </c>
      <c r="D196" s="11" t="s">
        <v>47</v>
      </c>
      <c r="F196" s="201" t="s">
        <v>683</v>
      </c>
      <c r="G196" s="11" t="s">
        <v>16</v>
      </c>
      <c r="H196" s="11" t="s">
        <v>531</v>
      </c>
      <c r="I196" s="11" t="s">
        <v>566</v>
      </c>
      <c r="K196" s="169"/>
      <c r="L196" s="169"/>
      <c r="M196" s="169"/>
      <c r="N196" s="172"/>
      <c r="O196" s="169"/>
      <c r="P196" s="169"/>
      <c r="Q196" s="169"/>
      <c r="R196" s="169"/>
      <c r="T196" s="169">
        <f t="shared" si="72"/>
        <v>200000</v>
      </c>
      <c r="U196" s="169">
        <v>200000</v>
      </c>
      <c r="V196" s="169"/>
      <c r="W196" s="169"/>
      <c r="X196" s="169"/>
      <c r="Y196" s="169"/>
    </row>
    <row r="197" spans="1:25" outlineLevel="1" x14ac:dyDescent="0.25">
      <c r="A197" s="114" t="str">
        <f t="shared" ref="A197" si="85">B197&amp;D197&amp;F197&amp;G197</f>
        <v>Physical ServicesPublic BuildingsSage Park Field LightsGF</v>
      </c>
      <c r="B197" s="11" t="s">
        <v>365</v>
      </c>
      <c r="C197" s="11">
        <v>38</v>
      </c>
      <c r="D197" s="11" t="s">
        <v>47</v>
      </c>
      <c r="F197" s="197" t="s">
        <v>673</v>
      </c>
      <c r="G197" s="11" t="s">
        <v>16</v>
      </c>
      <c r="H197" s="11" t="s">
        <v>531</v>
      </c>
      <c r="K197" s="169"/>
      <c r="L197" s="169"/>
      <c r="M197" s="169"/>
      <c r="N197" s="172"/>
      <c r="O197" s="169"/>
      <c r="P197" s="169"/>
      <c r="Q197" s="169"/>
      <c r="R197" s="169">
        <f>500000*0</f>
        <v>0</v>
      </c>
      <c r="S197" s="169"/>
      <c r="T197" s="169">
        <f t="shared" si="72"/>
        <v>500000</v>
      </c>
      <c r="U197" s="169">
        <f>500000</f>
        <v>500000</v>
      </c>
      <c r="V197" s="169"/>
      <c r="W197" s="169"/>
      <c r="X197" s="169"/>
      <c r="Y197" s="169"/>
    </row>
    <row r="198" spans="1:25" outlineLevel="1" x14ac:dyDescent="0.25">
      <c r="A198" s="114" t="str">
        <f t="shared" si="71"/>
        <v>Physical ServicesPublic BuildingsPhysical Services Generator UpgradesGF</v>
      </c>
      <c r="B198" s="11" t="s">
        <v>365</v>
      </c>
      <c r="C198" s="11">
        <v>38</v>
      </c>
      <c r="D198" s="11" t="s">
        <v>47</v>
      </c>
      <c r="F198" s="197" t="s">
        <v>679</v>
      </c>
      <c r="G198" s="11" t="s">
        <v>16</v>
      </c>
      <c r="H198" s="11" t="s">
        <v>531</v>
      </c>
      <c r="K198" s="169"/>
      <c r="L198" s="169"/>
      <c r="M198" s="169"/>
      <c r="N198" s="172"/>
      <c r="O198" s="169"/>
      <c r="P198" s="169"/>
      <c r="Q198" s="169"/>
      <c r="R198" s="169"/>
      <c r="S198" s="169"/>
      <c r="T198" s="169">
        <f t="shared" si="72"/>
        <v>350000</v>
      </c>
      <c r="U198" s="169"/>
      <c r="V198" s="169">
        <v>350000</v>
      </c>
      <c r="W198" s="169"/>
      <c r="X198" s="169"/>
      <c r="Y198" s="169"/>
    </row>
    <row r="199" spans="1:25" outlineLevel="1" x14ac:dyDescent="0.25">
      <c r="A199" s="114" t="str">
        <f t="shared" ref="A199" si="86">B199&amp;D199&amp;F199&amp;G199</f>
        <v>Physical ServicesPublic BuildingsPhysical Services Facilities AdditionGF</v>
      </c>
      <c r="B199" s="11" t="s">
        <v>365</v>
      </c>
      <c r="C199" s="11">
        <v>38</v>
      </c>
      <c r="D199" s="11" t="s">
        <v>47</v>
      </c>
      <c r="F199" s="197" t="s">
        <v>680</v>
      </c>
      <c r="G199" s="11" t="s">
        <v>16</v>
      </c>
      <c r="H199" s="11" t="s">
        <v>531</v>
      </c>
      <c r="K199" s="169"/>
      <c r="L199" s="169"/>
      <c r="M199" s="169"/>
      <c r="N199" s="172"/>
      <c r="O199" s="169"/>
      <c r="P199" s="169"/>
      <c r="Q199" s="169"/>
      <c r="R199" s="169"/>
      <c r="S199" s="169"/>
      <c r="T199" s="169">
        <f t="shared" si="72"/>
        <v>150000</v>
      </c>
      <c r="U199" s="169"/>
      <c r="V199" s="169">
        <v>150000</v>
      </c>
      <c r="W199" s="169"/>
      <c r="X199" s="169"/>
      <c r="Y199" s="169"/>
    </row>
    <row r="200" spans="1:25" outlineLevel="1" x14ac:dyDescent="0.25">
      <c r="A200" s="114" t="str">
        <f t="shared" si="71"/>
        <v>Physical ServicesPublic BuildingsVarious Contractual ServicesGrants</v>
      </c>
      <c r="B200" s="11" t="s">
        <v>365</v>
      </c>
      <c r="C200" s="11">
        <v>38</v>
      </c>
      <c r="D200" s="11" t="s">
        <v>47</v>
      </c>
      <c r="F200" s="201" t="s">
        <v>499</v>
      </c>
      <c r="G200" s="11" t="s">
        <v>38</v>
      </c>
      <c r="H200" s="11" t="s">
        <v>531</v>
      </c>
      <c r="K200" s="169">
        <v>30000</v>
      </c>
      <c r="L200" s="169"/>
      <c r="M200" s="169"/>
      <c r="N200" s="172"/>
      <c r="O200" s="169"/>
      <c r="P200" s="169"/>
      <c r="Q200" s="169"/>
      <c r="R200" s="169"/>
      <c r="S200" s="169"/>
      <c r="T200" s="169">
        <f t="shared" si="72"/>
        <v>0</v>
      </c>
      <c r="U200" s="169"/>
      <c r="V200" s="169"/>
      <c r="W200" s="169"/>
      <c r="X200" s="169"/>
      <c r="Y200" s="169"/>
    </row>
    <row r="201" spans="1:25" outlineLevel="1" x14ac:dyDescent="0.25">
      <c r="A201" s="114" t="str">
        <f t="shared" ref="A201" si="87">B201&amp;D201&amp;F201&amp;G201</f>
        <v>Physical ServicesPublic BuildingsWash Bay (incl contingency)Bond - E</v>
      </c>
      <c r="B201" s="11" t="s">
        <v>365</v>
      </c>
      <c r="C201" s="11">
        <v>38</v>
      </c>
      <c r="D201" s="11" t="s">
        <v>47</v>
      </c>
      <c r="F201" s="201" t="s">
        <v>968</v>
      </c>
      <c r="G201" s="11" t="s">
        <v>243</v>
      </c>
      <c r="K201" s="169"/>
      <c r="L201" s="169"/>
      <c r="M201" s="169"/>
      <c r="N201" s="172"/>
      <c r="O201" s="169">
        <v>450000</v>
      </c>
      <c r="P201" s="169"/>
      <c r="Q201" s="169"/>
      <c r="R201" s="169"/>
      <c r="S201" s="169"/>
      <c r="T201" s="169">
        <f t="shared" si="72"/>
        <v>0</v>
      </c>
      <c r="U201" s="169"/>
      <c r="V201" s="169"/>
      <c r="W201" s="169"/>
      <c r="X201" s="169"/>
      <c r="Y201" s="169"/>
    </row>
    <row r="202" spans="1:25" outlineLevel="1" x14ac:dyDescent="0.25">
      <c r="A202" s="114" t="str">
        <f>B202&amp;D202&amp;F202&amp;G202</f>
        <v>Physical ServicesPublic BuildingsFacilities - VanSurplus</v>
      </c>
      <c r="B202" s="11" t="s">
        <v>365</v>
      </c>
      <c r="C202" s="11">
        <v>38</v>
      </c>
      <c r="D202" s="11" t="s">
        <v>47</v>
      </c>
      <c r="F202" s="273" t="s">
        <v>938</v>
      </c>
      <c r="G202" s="11" t="s">
        <v>1036</v>
      </c>
      <c r="K202" s="169"/>
      <c r="L202" s="169">
        <f>35000*0.5+20000</f>
        <v>37500</v>
      </c>
      <c r="M202" s="169"/>
      <c r="N202" s="172"/>
      <c r="O202" s="169"/>
      <c r="P202" s="169">
        <v>38000</v>
      </c>
      <c r="Q202" s="169">
        <v>38000</v>
      </c>
      <c r="R202" s="169"/>
      <c r="S202" s="169">
        <v>38000</v>
      </c>
      <c r="T202" s="169">
        <f t="shared" si="72"/>
        <v>76000</v>
      </c>
      <c r="U202" s="169"/>
      <c r="V202" s="169">
        <v>38000</v>
      </c>
      <c r="W202" s="169"/>
      <c r="X202" s="169">
        <v>38000</v>
      </c>
      <c r="Y202" s="169"/>
    </row>
    <row r="203" spans="1:25" outlineLevel="1" x14ac:dyDescent="0.25">
      <c r="A203" s="114" t="str">
        <f>B203&amp;D203&amp;F203&amp;G203</f>
        <v>Physical ServicesPublic BuildingsFacilities - Supervisor's VehicleGF</v>
      </c>
      <c r="B203" s="11" t="s">
        <v>365</v>
      </c>
      <c r="C203" s="11">
        <v>38</v>
      </c>
      <c r="D203" s="11" t="s">
        <v>47</v>
      </c>
      <c r="F203" s="273" t="s">
        <v>939</v>
      </c>
      <c r="G203" s="11" t="s">
        <v>16</v>
      </c>
      <c r="K203" s="169"/>
      <c r="L203" s="169"/>
      <c r="M203" s="169"/>
      <c r="N203" s="172"/>
      <c r="O203" s="169"/>
      <c r="P203" s="169"/>
      <c r="Q203" s="169"/>
      <c r="R203" s="169"/>
      <c r="S203" s="169"/>
      <c r="T203" s="169">
        <f t="shared" si="72"/>
        <v>38000</v>
      </c>
      <c r="U203" s="169"/>
      <c r="V203" s="169">
        <v>38000</v>
      </c>
      <c r="W203" s="169"/>
      <c r="X203" s="169"/>
      <c r="Y203" s="169"/>
    </row>
    <row r="204" spans="1:25" outlineLevel="1" x14ac:dyDescent="0.25">
      <c r="A204" s="114" t="str">
        <f t="shared" ref="A204" si="88">B204&amp;D204&amp;F204&amp;G204</f>
        <v>Physical ServicesPublic BuildingsNew lift gate for Box truckGF</v>
      </c>
      <c r="B204" s="11" t="s">
        <v>365</v>
      </c>
      <c r="C204" s="11">
        <v>38</v>
      </c>
      <c r="D204" s="11" t="s">
        <v>47</v>
      </c>
      <c r="F204" s="201" t="s">
        <v>887</v>
      </c>
      <c r="G204" s="11" t="s">
        <v>16</v>
      </c>
      <c r="H204" s="11" t="s">
        <v>531</v>
      </c>
      <c r="K204" s="169"/>
      <c r="L204" s="169">
        <v>7500</v>
      </c>
      <c r="M204" s="169"/>
      <c r="N204" s="172"/>
      <c r="O204" s="169"/>
      <c r="P204" s="169"/>
      <c r="Q204" s="169"/>
      <c r="R204" s="169"/>
      <c r="S204" s="169"/>
      <c r="T204" s="169">
        <f t="shared" si="72"/>
        <v>0</v>
      </c>
      <c r="U204" s="169"/>
      <c r="V204" s="169"/>
      <c r="W204" s="169"/>
      <c r="X204" s="169"/>
      <c r="Y204" s="169"/>
    </row>
    <row r="205" spans="1:25" ht="15.75" outlineLevel="1" thickBot="1" x14ac:dyDescent="0.3">
      <c r="C205" s="11"/>
      <c r="F205" s="201"/>
      <c r="K205" s="168">
        <f>SUM(K144:K204)</f>
        <v>115000</v>
      </c>
      <c r="L205" s="168">
        <f>SUM(L144:L204)</f>
        <v>635000</v>
      </c>
      <c r="M205" s="168">
        <f>SUM(M144:M204)</f>
        <v>150000</v>
      </c>
      <c r="N205" s="171"/>
      <c r="O205" s="168">
        <f t="shared" ref="O205:Y205" si="89">SUM(O144:O204)</f>
        <v>595000</v>
      </c>
      <c r="P205" s="168">
        <f t="shared" si="89"/>
        <v>413000</v>
      </c>
      <c r="Q205" s="168">
        <f t="shared" si="89"/>
        <v>88000</v>
      </c>
      <c r="R205" s="168">
        <f t="shared" si="89"/>
        <v>1455000</v>
      </c>
      <c r="S205" s="168">
        <f t="shared" si="89"/>
        <v>2268000</v>
      </c>
      <c r="T205" s="168">
        <f t="shared" si="89"/>
        <v>15214000</v>
      </c>
      <c r="U205" s="168">
        <f t="shared" si="89"/>
        <v>5300000</v>
      </c>
      <c r="V205" s="168">
        <f t="shared" si="89"/>
        <v>5151000</v>
      </c>
      <c r="W205" s="168">
        <f t="shared" si="89"/>
        <v>1325000</v>
      </c>
      <c r="X205" s="168">
        <f t="shared" si="89"/>
        <v>3413000</v>
      </c>
      <c r="Y205" s="168">
        <f t="shared" si="89"/>
        <v>25000</v>
      </c>
    </row>
    <row r="206" spans="1:25" ht="15.75" thickTop="1" x14ac:dyDescent="0.25">
      <c r="C206" s="11"/>
      <c r="K206" s="169"/>
      <c r="L206" s="169"/>
      <c r="M206" s="169"/>
      <c r="N206" s="172"/>
      <c r="O206" s="169"/>
      <c r="P206" s="169"/>
      <c r="Q206" s="169"/>
      <c r="R206" s="169"/>
      <c r="S206" s="169"/>
      <c r="T206" s="169"/>
      <c r="U206" s="169"/>
      <c r="V206" s="169"/>
      <c r="W206" s="169"/>
      <c r="X206" s="169"/>
      <c r="Y206" s="169"/>
    </row>
    <row r="207" spans="1:25" ht="30" outlineLevel="1" x14ac:dyDescent="0.25">
      <c r="A207" s="114" t="str">
        <f t="shared" ref="A207:A213" si="90">B207&amp;D207&amp;F207&amp;G207</f>
        <v>Parks, Recreation &amp; LibrariesGolf CourseBridges - 7 on course; 2 repaired per year using Golf CIP; $30k per bridge (estimate)Capital</v>
      </c>
      <c r="B207" s="11" t="s">
        <v>366</v>
      </c>
      <c r="C207" s="11">
        <v>43</v>
      </c>
      <c r="D207" s="11" t="s">
        <v>438</v>
      </c>
      <c r="F207" s="197" t="s">
        <v>563</v>
      </c>
      <c r="G207" s="11" t="s">
        <v>533</v>
      </c>
      <c r="H207" s="11" t="s">
        <v>531</v>
      </c>
      <c r="K207" s="169"/>
      <c r="L207" s="169"/>
      <c r="M207" s="169"/>
      <c r="N207" s="172"/>
      <c r="O207" s="169"/>
      <c r="P207" s="169"/>
      <c r="Q207" s="169">
        <v>25000</v>
      </c>
      <c r="R207" s="169">
        <v>25000</v>
      </c>
      <c r="S207" s="169">
        <v>25000</v>
      </c>
      <c r="T207" s="169">
        <f t="shared" ref="T207:T220" si="91">SUM(U207:Y207)</f>
        <v>0</v>
      </c>
      <c r="U207" s="169"/>
      <c r="V207" s="169"/>
      <c r="W207" s="169"/>
      <c r="X207" s="169"/>
      <c r="Y207" s="169"/>
    </row>
    <row r="208" spans="1:25" outlineLevel="1" x14ac:dyDescent="0.25">
      <c r="A208" s="114" t="str">
        <f t="shared" ref="A208" si="92">B208&amp;D208&amp;F208&amp;G208</f>
        <v>Parks, Recreation &amp; LibrariesGolf CourseLightning Detection SystemGF</v>
      </c>
      <c r="B208" s="11" t="s">
        <v>366</v>
      </c>
      <c r="C208" s="11">
        <v>43</v>
      </c>
      <c r="D208" s="11" t="s">
        <v>438</v>
      </c>
      <c r="F208" s="197" t="s">
        <v>863</v>
      </c>
      <c r="G208" s="11" t="s">
        <v>16</v>
      </c>
      <c r="H208" s="11" t="s">
        <v>531</v>
      </c>
      <c r="K208" s="169"/>
      <c r="L208" s="169">
        <v>20000</v>
      </c>
      <c r="M208" s="169"/>
      <c r="N208" s="172"/>
      <c r="O208" s="169"/>
      <c r="P208" s="169"/>
      <c r="Q208" s="169"/>
      <c r="R208" s="169"/>
      <c r="S208" s="169"/>
      <c r="T208" s="169">
        <f t="shared" si="91"/>
        <v>0</v>
      </c>
      <c r="U208" s="169"/>
      <c r="V208" s="169"/>
      <c r="W208" s="169"/>
      <c r="X208" s="169"/>
      <c r="Y208" s="169"/>
    </row>
    <row r="209" spans="1:25" outlineLevel="1" x14ac:dyDescent="0.25">
      <c r="A209" s="114" t="str">
        <f t="shared" si="90"/>
        <v>Parks, Recreation &amp; LibrariesGolf CourseUsed pickup truckSurplus</v>
      </c>
      <c r="B209" s="11" t="s">
        <v>366</v>
      </c>
      <c r="C209" s="11">
        <v>43</v>
      </c>
      <c r="D209" s="11" t="s">
        <v>438</v>
      </c>
      <c r="F209" s="197" t="s">
        <v>473</v>
      </c>
      <c r="G209" s="11" t="s">
        <v>1036</v>
      </c>
      <c r="H209" s="11" t="s">
        <v>531</v>
      </c>
      <c r="K209" s="169"/>
      <c r="L209" s="169"/>
      <c r="M209" s="169"/>
      <c r="N209" s="172"/>
      <c r="O209" s="169"/>
      <c r="P209" s="169">
        <v>25000</v>
      </c>
      <c r="Q209" s="169"/>
      <c r="R209" s="169"/>
      <c r="S209" s="169"/>
      <c r="T209" s="169">
        <f t="shared" si="91"/>
        <v>0</v>
      </c>
      <c r="U209" s="169"/>
      <c r="V209" s="169"/>
      <c r="W209" s="169"/>
      <c r="X209" s="169"/>
      <c r="Y209" s="169"/>
    </row>
    <row r="210" spans="1:25" outlineLevel="1" x14ac:dyDescent="0.25">
      <c r="A210" s="114" t="str">
        <f t="shared" ref="A210:A211" si="93">B210&amp;D210&amp;F210&amp;G210</f>
        <v>Parks, Recreation &amp; LibrariesGolf CourseSmall dump truckGF</v>
      </c>
      <c r="B210" s="11" t="s">
        <v>366</v>
      </c>
      <c r="C210" s="11">
        <v>43</v>
      </c>
      <c r="D210" s="11" t="s">
        <v>438</v>
      </c>
      <c r="F210" s="273" t="s">
        <v>464</v>
      </c>
      <c r="G210" s="11" t="s">
        <v>16</v>
      </c>
      <c r="H210" s="11" t="s">
        <v>531</v>
      </c>
      <c r="K210" s="169"/>
      <c r="L210" s="169"/>
      <c r="M210" s="169"/>
      <c r="N210" s="172"/>
      <c r="O210" s="169"/>
      <c r="P210" s="169"/>
      <c r="Q210" s="169"/>
      <c r="R210" s="169"/>
      <c r="S210" s="169"/>
      <c r="T210" s="169">
        <f t="shared" si="91"/>
        <v>0</v>
      </c>
      <c r="U210" s="169"/>
      <c r="V210" s="169"/>
      <c r="W210" s="169"/>
      <c r="X210" s="169"/>
      <c r="Y210" s="169"/>
    </row>
    <row r="211" spans="1:25" outlineLevel="1" x14ac:dyDescent="0.25">
      <c r="A211" s="114" t="str">
        <f t="shared" si="93"/>
        <v>Parks, Recreation &amp; LibrariesGolf CourseBackhoe (New/Used)Surplus</v>
      </c>
      <c r="B211" s="11" t="s">
        <v>366</v>
      </c>
      <c r="C211" s="11">
        <v>43</v>
      </c>
      <c r="D211" s="11" t="s">
        <v>438</v>
      </c>
      <c r="F211" s="273" t="s">
        <v>940</v>
      </c>
      <c r="G211" s="11" t="s">
        <v>1036</v>
      </c>
      <c r="H211" s="11" t="s">
        <v>531</v>
      </c>
      <c r="K211" s="169"/>
      <c r="L211" s="169"/>
      <c r="M211" s="169"/>
      <c r="N211" s="172"/>
      <c r="O211" s="169"/>
      <c r="P211" s="169"/>
      <c r="Q211" s="169">
        <v>75000</v>
      </c>
      <c r="R211" s="169"/>
      <c r="S211" s="169"/>
      <c r="T211" s="169">
        <f t="shared" si="91"/>
        <v>0</v>
      </c>
      <c r="U211" s="169"/>
      <c r="V211" s="169"/>
      <c r="W211" s="169"/>
      <c r="X211" s="169"/>
      <c r="Y211" s="169"/>
    </row>
    <row r="212" spans="1:25" outlineLevel="1" x14ac:dyDescent="0.25">
      <c r="A212" s="114" t="str">
        <f t="shared" si="90"/>
        <v>Parks, Recreation &amp; LibrariesGolf CourseGolf Equip Lease - Triplex mowers, greens/teesGF</v>
      </c>
      <c r="B212" s="11" t="s">
        <v>366</v>
      </c>
      <c r="C212" s="11">
        <v>43</v>
      </c>
      <c r="D212" s="11" t="s">
        <v>438</v>
      </c>
      <c r="F212" s="197" t="s">
        <v>307</v>
      </c>
      <c r="G212" s="11" t="s">
        <v>16</v>
      </c>
      <c r="H212" s="11" t="s">
        <v>522</v>
      </c>
      <c r="K212" s="169">
        <v>6419</v>
      </c>
      <c r="L212" s="169">
        <v>6419</v>
      </c>
      <c r="M212" s="169">
        <v>6419</v>
      </c>
      <c r="N212" s="172"/>
      <c r="O212" s="169"/>
      <c r="P212" s="169"/>
      <c r="Q212" s="169"/>
      <c r="R212" s="169"/>
      <c r="S212" s="169"/>
      <c r="T212" s="169">
        <f t="shared" si="91"/>
        <v>0</v>
      </c>
      <c r="U212" s="169"/>
      <c r="V212" s="169"/>
      <c r="W212" s="169"/>
      <c r="X212" s="169"/>
      <c r="Y212" s="169"/>
    </row>
    <row r="213" spans="1:25" outlineLevel="1" x14ac:dyDescent="0.25">
      <c r="A213" s="114" t="str">
        <f t="shared" si="90"/>
        <v>Parks, Recreation &amp; LibrariesGolf CourseGolf - Wash StationGF</v>
      </c>
      <c r="B213" s="11" t="s">
        <v>366</v>
      </c>
      <c r="C213" s="11">
        <v>43</v>
      </c>
      <c r="D213" s="11" t="s">
        <v>438</v>
      </c>
      <c r="F213" s="197" t="s">
        <v>349</v>
      </c>
      <c r="G213" s="11" t="s">
        <v>16</v>
      </c>
      <c r="H213" s="11" t="s">
        <v>531</v>
      </c>
      <c r="K213" s="169"/>
      <c r="L213" s="169"/>
      <c r="M213" s="169"/>
      <c r="N213" s="172"/>
      <c r="O213" s="169"/>
      <c r="P213" s="169"/>
      <c r="Q213" s="169"/>
      <c r="R213" s="169"/>
      <c r="S213" s="169"/>
      <c r="T213" s="169">
        <f t="shared" si="91"/>
        <v>45000</v>
      </c>
      <c r="U213" s="169"/>
      <c r="V213" s="169">
        <v>45000</v>
      </c>
      <c r="W213" s="169"/>
      <c r="X213" s="169"/>
      <c r="Y213" s="169"/>
    </row>
    <row r="214" spans="1:25" outlineLevel="1" x14ac:dyDescent="0.25">
      <c r="A214" s="114" t="str">
        <f t="shared" ref="A214" si="94">B214&amp;D214&amp;F214&amp;G214</f>
        <v>Parks, Recreation &amp; LibrariesGolf CourseLarge Utility VehicleGF</v>
      </c>
      <c r="B214" s="11" t="s">
        <v>366</v>
      </c>
      <c r="C214" s="11">
        <v>43</v>
      </c>
      <c r="D214" s="11" t="s">
        <v>438</v>
      </c>
      <c r="F214" s="263" t="s">
        <v>893</v>
      </c>
      <c r="G214" s="11" t="s">
        <v>16</v>
      </c>
      <c r="K214" s="169"/>
      <c r="L214" s="169"/>
      <c r="M214" s="169"/>
      <c r="N214" s="172"/>
      <c r="O214" s="169"/>
      <c r="P214" s="169"/>
      <c r="Q214" s="169">
        <f>26565*0</f>
        <v>0</v>
      </c>
      <c r="R214" s="169"/>
      <c r="S214" s="169">
        <v>26565</v>
      </c>
      <c r="T214" s="169">
        <f t="shared" si="91"/>
        <v>0</v>
      </c>
      <c r="U214" s="169"/>
      <c r="V214" s="169"/>
      <c r="W214" s="169"/>
      <c r="X214" s="169"/>
      <c r="Y214" s="169"/>
    </row>
    <row r="215" spans="1:25" outlineLevel="1" x14ac:dyDescent="0.25">
      <c r="A215" s="114" t="str">
        <f t="shared" ref="A215:A217" si="95">B215&amp;D215&amp;F215&amp;G215</f>
        <v>Parks, Recreation &amp; LibrariesGolf CourseFairway MowerGF</v>
      </c>
      <c r="B215" s="11" t="s">
        <v>366</v>
      </c>
      <c r="C215" s="11">
        <v>43</v>
      </c>
      <c r="D215" s="11" t="s">
        <v>438</v>
      </c>
      <c r="F215" s="272" t="s">
        <v>894</v>
      </c>
      <c r="G215" s="11" t="s">
        <v>16</v>
      </c>
      <c r="K215" s="169"/>
      <c r="L215" s="169"/>
      <c r="M215" s="169"/>
      <c r="N215" s="172"/>
      <c r="O215" s="169"/>
      <c r="P215" s="169">
        <f>68232*0</f>
        <v>0</v>
      </c>
      <c r="Q215" s="169">
        <v>68232</v>
      </c>
      <c r="R215" s="169"/>
      <c r="S215" s="169"/>
      <c r="T215" s="169">
        <f t="shared" si="91"/>
        <v>84607</v>
      </c>
      <c r="U215" s="169"/>
      <c r="V215" s="169"/>
      <c r="W215" s="169"/>
      <c r="X215" s="169"/>
      <c r="Y215" s="169">
        <v>84607</v>
      </c>
    </row>
    <row r="216" spans="1:25" outlineLevel="1" x14ac:dyDescent="0.25">
      <c r="A216" s="114" t="str">
        <f t="shared" si="95"/>
        <v>Parks, Recreation &amp; LibrariesGolf CourseGreens MowerGF</v>
      </c>
      <c r="B216" s="11" t="s">
        <v>366</v>
      </c>
      <c r="C216" s="11">
        <v>43</v>
      </c>
      <c r="D216" s="11" t="s">
        <v>438</v>
      </c>
      <c r="F216" s="272" t="s">
        <v>895</v>
      </c>
      <c r="G216" s="11" t="s">
        <v>16</v>
      </c>
      <c r="K216" s="169"/>
      <c r="L216" s="169"/>
      <c r="M216" s="169"/>
      <c r="N216" s="172"/>
      <c r="O216" s="169"/>
      <c r="P216" s="169"/>
      <c r="Q216" s="169">
        <f>35359*0</f>
        <v>0</v>
      </c>
      <c r="R216" s="169"/>
      <c r="S216" s="169"/>
      <c r="T216" s="169">
        <f t="shared" si="91"/>
        <v>35359</v>
      </c>
      <c r="U216" s="169">
        <f>35359</f>
        <v>35359</v>
      </c>
      <c r="V216" s="169"/>
      <c r="W216" s="169"/>
      <c r="X216" s="169"/>
      <c r="Y216" s="169"/>
    </row>
    <row r="217" spans="1:25" outlineLevel="1" x14ac:dyDescent="0.25">
      <c r="A217" s="114" t="str">
        <f t="shared" si="95"/>
        <v>Parks, Recreation &amp; LibrariesGolf CourseLarge Rough MowerGF</v>
      </c>
      <c r="B217" s="11" t="s">
        <v>366</v>
      </c>
      <c r="C217" s="11">
        <v>43</v>
      </c>
      <c r="D217" s="11" t="s">
        <v>438</v>
      </c>
      <c r="F217" s="263" t="s">
        <v>896</v>
      </c>
      <c r="G217" s="11" t="s">
        <v>16</v>
      </c>
      <c r="K217" s="169"/>
      <c r="L217" s="169"/>
      <c r="M217" s="169"/>
      <c r="N217" s="172"/>
      <c r="O217" s="169"/>
      <c r="P217" s="169"/>
      <c r="Q217" s="169"/>
      <c r="R217" s="169">
        <f>75732*0</f>
        <v>0</v>
      </c>
      <c r="S217" s="169"/>
      <c r="T217" s="169">
        <f t="shared" si="91"/>
        <v>75732</v>
      </c>
      <c r="U217" s="169"/>
      <c r="V217" s="169">
        <v>75732</v>
      </c>
      <c r="W217" s="169"/>
      <c r="X217" s="169"/>
      <c r="Y217" s="169"/>
    </row>
    <row r="218" spans="1:25" outlineLevel="1" x14ac:dyDescent="0.25">
      <c r="A218" s="114" t="str">
        <f t="shared" ref="A218:A220" si="96">B218&amp;D218&amp;F218&amp;G218</f>
        <v>Parks, Recreation &amp; LibrariesGolf CourseChemical SprayerGF</v>
      </c>
      <c r="B218" s="11" t="s">
        <v>366</v>
      </c>
      <c r="C218" s="11">
        <v>43</v>
      </c>
      <c r="D218" s="11" t="s">
        <v>438</v>
      </c>
      <c r="F218" s="272" t="s">
        <v>897</v>
      </c>
      <c r="G218" s="11" t="s">
        <v>16</v>
      </c>
      <c r="K218" s="169"/>
      <c r="L218" s="169"/>
      <c r="M218" s="169"/>
      <c r="N218" s="172"/>
      <c r="O218" s="169"/>
      <c r="P218" s="169"/>
      <c r="Q218" s="169"/>
      <c r="R218" s="169"/>
      <c r="S218" s="169"/>
      <c r="T218" s="169">
        <f t="shared" si="91"/>
        <v>61421</v>
      </c>
      <c r="U218" s="169">
        <v>61421</v>
      </c>
      <c r="V218" s="169"/>
      <c r="W218" s="169"/>
      <c r="X218" s="169"/>
      <c r="Y218" s="169"/>
    </row>
    <row r="219" spans="1:25" outlineLevel="1" x14ac:dyDescent="0.25">
      <c r="A219" s="114" t="str">
        <f t="shared" si="96"/>
        <v>Parks, Recreation &amp; LibrariesGolf CourseDump Body Utility VehicleGF</v>
      </c>
      <c r="B219" s="11" t="s">
        <v>366</v>
      </c>
      <c r="C219" s="11">
        <v>43</v>
      </c>
      <c r="D219" s="11" t="s">
        <v>438</v>
      </c>
      <c r="F219" s="272" t="s">
        <v>898</v>
      </c>
      <c r="G219" s="11" t="s">
        <v>16</v>
      </c>
      <c r="K219" s="169"/>
      <c r="L219" s="169"/>
      <c r="M219" s="169"/>
      <c r="N219" s="172"/>
      <c r="O219" s="169"/>
      <c r="P219" s="169"/>
      <c r="Q219" s="169"/>
      <c r="R219" s="169"/>
      <c r="S219" s="169"/>
      <c r="T219" s="169">
        <f t="shared" si="91"/>
        <v>29680</v>
      </c>
      <c r="U219" s="169"/>
      <c r="V219" s="169"/>
      <c r="W219" s="169">
        <v>29680</v>
      </c>
      <c r="X219" s="169"/>
      <c r="Y219" s="169"/>
    </row>
    <row r="220" spans="1:25" outlineLevel="1" x14ac:dyDescent="0.25">
      <c r="A220" s="114" t="str">
        <f t="shared" si="96"/>
        <v>Parks, Recreation &amp; LibrariesGolf CourseHauling TractorGF</v>
      </c>
      <c r="B220" s="11" t="s">
        <v>366</v>
      </c>
      <c r="C220" s="11">
        <v>43</v>
      </c>
      <c r="D220" s="11" t="s">
        <v>438</v>
      </c>
      <c r="F220" s="272" t="s">
        <v>899</v>
      </c>
      <c r="G220" s="11" t="s">
        <v>16</v>
      </c>
      <c r="K220" s="169"/>
      <c r="L220" s="169"/>
      <c r="M220" s="169"/>
      <c r="N220" s="172"/>
      <c r="O220" s="169"/>
      <c r="P220" s="169"/>
      <c r="Q220" s="169"/>
      <c r="R220" s="169"/>
      <c r="S220" s="169"/>
      <c r="T220" s="169">
        <f t="shared" si="91"/>
        <v>48534</v>
      </c>
      <c r="U220" s="169"/>
      <c r="V220" s="169"/>
      <c r="W220" s="169"/>
      <c r="X220" s="169">
        <v>48534</v>
      </c>
      <c r="Y220" s="169"/>
    </row>
    <row r="221" spans="1:25" ht="15.75" outlineLevel="1" thickBot="1" x14ac:dyDescent="0.3">
      <c r="C221" s="11"/>
      <c r="K221" s="168">
        <f>SUM(K207:K220)</f>
        <v>6419</v>
      </c>
      <c r="L221" s="168">
        <f>SUM(L207:L220)</f>
        <v>26419</v>
      </c>
      <c r="M221" s="168">
        <f>SUM(M207:M220)</f>
        <v>6419</v>
      </c>
      <c r="N221" s="171"/>
      <c r="O221" s="168">
        <f t="shared" ref="O221:Y221" si="97">SUM(O207:O220)</f>
        <v>0</v>
      </c>
      <c r="P221" s="168">
        <f t="shared" si="97"/>
        <v>25000</v>
      </c>
      <c r="Q221" s="168">
        <f t="shared" si="97"/>
        <v>168232</v>
      </c>
      <c r="R221" s="168">
        <f t="shared" si="97"/>
        <v>25000</v>
      </c>
      <c r="S221" s="168">
        <f t="shared" si="97"/>
        <v>51565</v>
      </c>
      <c r="T221" s="168">
        <f t="shared" si="97"/>
        <v>380333</v>
      </c>
      <c r="U221" s="168">
        <f t="shared" si="97"/>
        <v>96780</v>
      </c>
      <c r="V221" s="168">
        <f t="shared" si="97"/>
        <v>120732</v>
      </c>
      <c r="W221" s="168">
        <f t="shared" si="97"/>
        <v>29680</v>
      </c>
      <c r="X221" s="168">
        <f t="shared" si="97"/>
        <v>48534</v>
      </c>
      <c r="Y221" s="168">
        <f t="shared" si="97"/>
        <v>84607</v>
      </c>
    </row>
    <row r="222" spans="1:25" ht="15.75" outlineLevel="1" thickTop="1" x14ac:dyDescent="0.25">
      <c r="C222" s="11"/>
      <c r="K222" s="169"/>
      <c r="L222" s="169"/>
      <c r="M222" s="169"/>
      <c r="N222" s="172"/>
      <c r="O222" s="169"/>
      <c r="P222" s="169"/>
      <c r="Q222" s="169"/>
      <c r="R222" s="169"/>
      <c r="S222" s="169"/>
      <c r="T222" s="169"/>
      <c r="U222" s="169"/>
      <c r="V222" s="169"/>
      <c r="W222" s="169"/>
      <c r="X222" s="169"/>
      <c r="Y222" s="169"/>
    </row>
    <row r="223" spans="1:25" outlineLevel="1" x14ac:dyDescent="0.25">
      <c r="A223" s="114" t="str">
        <f>B223&amp;D223&amp;F223&amp;G223</f>
        <v>Parks, Recreation &amp; LibrariesLibraryMakerspace EquipmentGF</v>
      </c>
      <c r="B223" s="11" t="s">
        <v>366</v>
      </c>
      <c r="C223" s="11">
        <v>44</v>
      </c>
      <c r="D223" s="11" t="s">
        <v>435</v>
      </c>
      <c r="F223" s="197" t="s">
        <v>351</v>
      </c>
      <c r="G223" s="11" t="s">
        <v>16</v>
      </c>
      <c r="H223" s="11" t="s">
        <v>531</v>
      </c>
      <c r="K223" s="169"/>
      <c r="L223" s="169"/>
      <c r="M223" s="169"/>
      <c r="N223" s="172"/>
      <c r="O223" s="169"/>
      <c r="P223" s="169"/>
      <c r="Q223" s="169"/>
      <c r="R223" s="169"/>
      <c r="S223" s="169">
        <f>50000*0</f>
        <v>0</v>
      </c>
      <c r="T223" s="169">
        <f t="shared" ref="T223:T224" si="98">SUM(U223:Y223)</f>
        <v>50000</v>
      </c>
      <c r="U223" s="169"/>
      <c r="V223" s="169"/>
      <c r="W223" s="169"/>
      <c r="X223" s="169"/>
      <c r="Y223" s="169">
        <v>50000</v>
      </c>
    </row>
    <row r="224" spans="1:25" outlineLevel="1" x14ac:dyDescent="0.25">
      <c r="A224" s="114" t="str">
        <f>B224&amp;D224&amp;F224&amp;G224</f>
        <v>Parks, Recreation &amp; LibrariesLibraryGlass Enclosure for digital media lab/makerspaceGF</v>
      </c>
      <c r="B224" s="11" t="s">
        <v>366</v>
      </c>
      <c r="C224" s="11">
        <v>44</v>
      </c>
      <c r="D224" s="11" t="s">
        <v>435</v>
      </c>
      <c r="F224" s="275" t="s">
        <v>947</v>
      </c>
      <c r="G224" s="11" t="s">
        <v>16</v>
      </c>
      <c r="H224" s="11" t="s">
        <v>531</v>
      </c>
      <c r="K224" s="169"/>
      <c r="L224" s="169"/>
      <c r="M224" s="169"/>
      <c r="N224" s="172"/>
      <c r="O224" s="169"/>
      <c r="P224" s="169"/>
      <c r="Q224" s="169"/>
      <c r="R224" s="169">
        <f>50000*0</f>
        <v>0</v>
      </c>
      <c r="S224" s="169"/>
      <c r="T224" s="169">
        <f t="shared" si="98"/>
        <v>50000</v>
      </c>
      <c r="U224" s="169"/>
      <c r="V224" s="169"/>
      <c r="W224" s="169"/>
      <c r="X224" s="169">
        <v>50000</v>
      </c>
      <c r="Y224" s="169"/>
    </row>
    <row r="225" spans="1:26" ht="15.75" outlineLevel="1" thickBot="1" x14ac:dyDescent="0.3">
      <c r="C225" s="11"/>
      <c r="K225" s="168">
        <f>SUM(K223:K224)</f>
        <v>0</v>
      </c>
      <c r="L225" s="168">
        <f>SUM(L223:L224)</f>
        <v>0</v>
      </c>
      <c r="M225" s="168">
        <f>SUM(M223:M224)</f>
        <v>0</v>
      </c>
      <c r="N225" s="171"/>
      <c r="O225" s="168">
        <f t="shared" ref="O225:Y225" si="99">SUM(O223:O224)</f>
        <v>0</v>
      </c>
      <c r="P225" s="168">
        <f t="shared" si="99"/>
        <v>0</v>
      </c>
      <c r="Q225" s="168">
        <f t="shared" si="99"/>
        <v>0</v>
      </c>
      <c r="R225" s="168">
        <f t="shared" si="99"/>
        <v>0</v>
      </c>
      <c r="S225" s="168">
        <f t="shared" si="99"/>
        <v>0</v>
      </c>
      <c r="T225" s="168">
        <f t="shared" si="99"/>
        <v>100000</v>
      </c>
      <c r="U225" s="168">
        <f t="shared" si="99"/>
        <v>0</v>
      </c>
      <c r="V225" s="168">
        <f t="shared" si="99"/>
        <v>0</v>
      </c>
      <c r="W225" s="168">
        <f t="shared" si="99"/>
        <v>0</v>
      </c>
      <c r="X225" s="168">
        <f t="shared" si="99"/>
        <v>50000</v>
      </c>
      <c r="Y225" s="168">
        <f t="shared" si="99"/>
        <v>50000</v>
      </c>
      <c r="Z225" s="124"/>
    </row>
    <row r="226" spans="1:26" ht="15.75" outlineLevel="1" thickTop="1" x14ac:dyDescent="0.25">
      <c r="C226" s="11"/>
      <c r="K226" s="169"/>
      <c r="L226" s="169"/>
      <c r="M226" s="169"/>
      <c r="N226" s="172"/>
      <c r="O226" s="169"/>
      <c r="P226" s="169"/>
      <c r="Q226" s="169"/>
      <c r="R226" s="169"/>
      <c r="S226" s="169"/>
      <c r="T226" s="169"/>
      <c r="U226" s="169"/>
      <c r="V226" s="169"/>
      <c r="W226" s="169"/>
      <c r="X226" s="169"/>
      <c r="Y226" s="169"/>
      <c r="Z226" s="124"/>
    </row>
    <row r="227" spans="1:26" outlineLevel="1" x14ac:dyDescent="0.25">
      <c r="A227" s="114" t="str">
        <f t="shared" ref="A227:A260" si="100">B227&amp;D227&amp;F227&amp;G227</f>
        <v>Parks, Recreation &amp; LibrariesPublic GroundsLarge rotary mowerGF</v>
      </c>
      <c r="B227" s="11" t="s">
        <v>366</v>
      </c>
      <c r="C227" s="11">
        <v>45</v>
      </c>
      <c r="D227" s="11" t="s">
        <v>46</v>
      </c>
      <c r="F227" s="197" t="s">
        <v>20</v>
      </c>
      <c r="G227" s="11" t="s">
        <v>16</v>
      </c>
      <c r="H227" s="11" t="s">
        <v>531</v>
      </c>
      <c r="K227" s="169"/>
      <c r="L227" s="169">
        <v>105000</v>
      </c>
      <c r="M227" s="169"/>
      <c r="N227" s="172"/>
      <c r="O227" s="169"/>
      <c r="P227" s="169"/>
      <c r="Q227" s="169"/>
      <c r="R227" s="169">
        <f>125000*0</f>
        <v>0</v>
      </c>
      <c r="S227" s="169"/>
      <c r="T227" s="169">
        <f t="shared" ref="T227:T260" si="101">SUM(U227:Y227)</f>
        <v>125000</v>
      </c>
      <c r="U227" s="169">
        <v>125000</v>
      </c>
      <c r="V227" s="169"/>
      <c r="W227" s="169"/>
      <c r="X227" s="169"/>
      <c r="Y227" s="169"/>
    </row>
    <row r="228" spans="1:26" outlineLevel="1" x14ac:dyDescent="0.25">
      <c r="A228" s="114" t="str">
        <f t="shared" si="100"/>
        <v>Parks, Recreation &amp; LibrariesPublic GroundsEast Berlin Pool Parking LotGF</v>
      </c>
      <c r="B228" s="11" t="s">
        <v>366</v>
      </c>
      <c r="C228" s="11">
        <v>45</v>
      </c>
      <c r="D228" s="11" t="s">
        <v>46</v>
      </c>
      <c r="F228" s="197" t="s">
        <v>487</v>
      </c>
      <c r="G228" s="11" t="s">
        <v>16</v>
      </c>
      <c r="H228" s="11" t="s">
        <v>531</v>
      </c>
      <c r="I228" s="11" t="s">
        <v>539</v>
      </c>
      <c r="K228" s="169"/>
      <c r="L228" s="169"/>
      <c r="M228" s="169"/>
      <c r="N228" s="172"/>
      <c r="O228" s="169"/>
      <c r="P228" s="169"/>
      <c r="Q228" s="169"/>
      <c r="R228" s="169"/>
      <c r="S228" s="169"/>
      <c r="T228" s="169">
        <f t="shared" si="101"/>
        <v>0</v>
      </c>
      <c r="U228" s="169"/>
      <c r="V228" s="169"/>
      <c r="W228" s="169"/>
      <c r="X228" s="169"/>
      <c r="Y228" s="169"/>
    </row>
    <row r="229" spans="1:26" outlineLevel="1" x14ac:dyDescent="0.25">
      <c r="A229" s="114" t="str">
        <f t="shared" si="100"/>
        <v>Parks, Recreation &amp; LibrariesPublic GroundsTimberlin Parking LotGF</v>
      </c>
      <c r="B229" s="11" t="s">
        <v>366</v>
      </c>
      <c r="C229" s="11">
        <v>45</v>
      </c>
      <c r="D229" s="11" t="s">
        <v>46</v>
      </c>
      <c r="F229" s="197" t="s">
        <v>488</v>
      </c>
      <c r="G229" s="11" t="s">
        <v>16</v>
      </c>
      <c r="H229" s="11" t="s">
        <v>531</v>
      </c>
      <c r="I229" s="11" t="s">
        <v>539</v>
      </c>
      <c r="K229" s="169"/>
      <c r="L229" s="169"/>
      <c r="M229" s="169"/>
      <c r="N229" s="172"/>
      <c r="O229" s="169"/>
      <c r="P229" s="169"/>
      <c r="Q229" s="169"/>
      <c r="R229" s="169"/>
      <c r="S229" s="169"/>
      <c r="T229" s="169">
        <f t="shared" si="101"/>
        <v>0</v>
      </c>
      <c r="U229" s="169"/>
      <c r="V229" s="169"/>
      <c r="W229" s="169"/>
      <c r="X229" s="169"/>
      <c r="Y229" s="169"/>
    </row>
    <row r="230" spans="1:26" outlineLevel="1" x14ac:dyDescent="0.25">
      <c r="A230" s="114" t="str">
        <f t="shared" ref="A230:A238" si="102">B230&amp;D230&amp;F230&amp;G230</f>
        <v>Parks, Recreation &amp; LibrariesPublic GroundsField Improvements - Centurelli FieldGF</v>
      </c>
      <c r="B230" s="11" t="s">
        <v>366</v>
      </c>
      <c r="C230" s="11">
        <v>45</v>
      </c>
      <c r="D230" s="11" t="s">
        <v>46</v>
      </c>
      <c r="F230" s="272" t="s">
        <v>900</v>
      </c>
      <c r="G230" s="11" t="s">
        <v>16</v>
      </c>
      <c r="K230" s="169"/>
      <c r="L230" s="169"/>
      <c r="M230" s="169"/>
      <c r="N230" s="172"/>
      <c r="O230" s="169"/>
      <c r="P230" s="169"/>
      <c r="Q230" s="169"/>
      <c r="R230" s="169"/>
      <c r="S230" s="169">
        <f>30000*0</f>
        <v>0</v>
      </c>
      <c r="T230" s="169">
        <f t="shared" si="101"/>
        <v>30000</v>
      </c>
      <c r="U230" s="169"/>
      <c r="V230" s="169">
        <v>30000</v>
      </c>
      <c r="W230" s="169"/>
      <c r="X230" s="169"/>
      <c r="Y230" s="169"/>
    </row>
    <row r="231" spans="1:26" outlineLevel="1" x14ac:dyDescent="0.25">
      <c r="A231" s="114" t="str">
        <f t="shared" si="102"/>
        <v>Parks, Recreation &amp; LibrariesPublic GroundsField Improvements - Dennehy &amp; Smith FieldsGF</v>
      </c>
      <c r="B231" s="11" t="s">
        <v>366</v>
      </c>
      <c r="C231" s="11">
        <v>45</v>
      </c>
      <c r="D231" s="11" t="s">
        <v>46</v>
      </c>
      <c r="F231" s="272" t="s">
        <v>901</v>
      </c>
      <c r="G231" s="11" t="s">
        <v>16</v>
      </c>
      <c r="K231" s="169"/>
      <c r="L231" s="169"/>
      <c r="M231" s="169"/>
      <c r="N231" s="172"/>
      <c r="O231" s="169"/>
      <c r="P231" s="169"/>
      <c r="Q231" s="169"/>
      <c r="R231" s="169"/>
      <c r="S231" s="169">
        <f>120000*0</f>
        <v>0</v>
      </c>
      <c r="T231" s="169">
        <f t="shared" si="101"/>
        <v>120000</v>
      </c>
      <c r="U231" s="169"/>
      <c r="V231" s="169">
        <v>120000</v>
      </c>
      <c r="W231" s="169"/>
      <c r="X231" s="169"/>
      <c r="Y231" s="169"/>
    </row>
    <row r="232" spans="1:26" outlineLevel="1" x14ac:dyDescent="0.25">
      <c r="A232" s="114" t="str">
        <f t="shared" si="102"/>
        <v>Parks, Recreation &amp; LibrariesPublic GroundsField Improvements - Baretta FieldGF</v>
      </c>
      <c r="B232" s="11" t="s">
        <v>366</v>
      </c>
      <c r="C232" s="11">
        <v>45</v>
      </c>
      <c r="D232" s="11" t="s">
        <v>46</v>
      </c>
      <c r="F232" s="272" t="s">
        <v>902</v>
      </c>
      <c r="G232" s="11" t="s">
        <v>16</v>
      </c>
      <c r="K232" s="169"/>
      <c r="L232" s="169"/>
      <c r="M232" s="169"/>
      <c r="N232" s="172"/>
      <c r="O232" s="169"/>
      <c r="P232" s="169"/>
      <c r="Q232" s="169"/>
      <c r="R232" s="169"/>
      <c r="S232" s="169"/>
      <c r="T232" s="169">
        <f t="shared" si="101"/>
        <v>100000</v>
      </c>
      <c r="U232" s="169">
        <f>100000*0</f>
        <v>0</v>
      </c>
      <c r="V232" s="169"/>
      <c r="W232" s="169">
        <v>100000</v>
      </c>
      <c r="X232" s="169"/>
      <c r="Y232" s="169"/>
    </row>
    <row r="233" spans="1:26" outlineLevel="1" x14ac:dyDescent="0.25">
      <c r="A233" s="114" t="str">
        <f t="shared" si="102"/>
        <v>Parks, Recreation &amp; LibrariesPublic GroundsField Improvements - Percival FieldBond</v>
      </c>
      <c r="B233" s="11" t="s">
        <v>366</v>
      </c>
      <c r="C233" s="11">
        <v>45</v>
      </c>
      <c r="D233" s="11" t="s">
        <v>46</v>
      </c>
      <c r="F233" s="272" t="s">
        <v>903</v>
      </c>
      <c r="G233" s="11" t="s">
        <v>19</v>
      </c>
      <c r="K233" s="169"/>
      <c r="L233" s="169"/>
      <c r="M233" s="169"/>
      <c r="N233" s="172"/>
      <c r="O233" s="169">
        <v>350000</v>
      </c>
      <c r="P233" s="169"/>
      <c r="Q233" s="169"/>
      <c r="R233" s="169"/>
      <c r="S233" s="169"/>
      <c r="T233" s="169">
        <f t="shared" si="101"/>
        <v>0</v>
      </c>
      <c r="U233" s="169"/>
      <c r="V233" s="169"/>
      <c r="W233" s="169"/>
      <c r="X233" s="169"/>
      <c r="Y233" s="169"/>
    </row>
    <row r="234" spans="1:26" outlineLevel="1" x14ac:dyDescent="0.25">
      <c r="A234" s="114" t="str">
        <f t="shared" si="102"/>
        <v>Parks, Recreation &amp; LibrariesPublic GroundsField Improvements - Petit 1 FieldGF</v>
      </c>
      <c r="B234" s="11" t="s">
        <v>366</v>
      </c>
      <c r="C234" s="11">
        <v>45</v>
      </c>
      <c r="D234" s="11" t="s">
        <v>46</v>
      </c>
      <c r="F234" s="272" t="s">
        <v>904</v>
      </c>
      <c r="G234" s="11" t="s">
        <v>16</v>
      </c>
      <c r="K234" s="169"/>
      <c r="L234" s="169"/>
      <c r="M234" s="169"/>
      <c r="N234" s="172"/>
      <c r="O234" s="169"/>
      <c r="P234" s="169"/>
      <c r="Q234" s="169"/>
      <c r="R234" s="169"/>
      <c r="S234" s="169"/>
      <c r="T234" s="169">
        <f t="shared" si="101"/>
        <v>50000</v>
      </c>
      <c r="U234" s="169"/>
      <c r="V234" s="169">
        <v>50000</v>
      </c>
      <c r="W234" s="169"/>
      <c r="X234" s="169"/>
      <c r="Y234" s="169"/>
    </row>
    <row r="235" spans="1:26" outlineLevel="1" x14ac:dyDescent="0.25">
      <c r="A235" s="114" t="str">
        <f t="shared" si="102"/>
        <v>Parks, Recreation &amp; LibrariesPublic GroundsField Improvements - Petit 2 FieldGF</v>
      </c>
      <c r="B235" s="11" t="s">
        <v>366</v>
      </c>
      <c r="C235" s="11">
        <v>45</v>
      </c>
      <c r="D235" s="11" t="s">
        <v>46</v>
      </c>
      <c r="F235" s="272" t="s">
        <v>905</v>
      </c>
      <c r="G235" s="11" t="s">
        <v>16</v>
      </c>
      <c r="K235" s="169"/>
      <c r="L235" s="169"/>
      <c r="M235" s="169"/>
      <c r="N235" s="172"/>
      <c r="O235" s="169"/>
      <c r="P235" s="169"/>
      <c r="Q235" s="169"/>
      <c r="R235" s="169"/>
      <c r="S235" s="169"/>
      <c r="T235" s="169">
        <f t="shared" si="101"/>
        <v>50000</v>
      </c>
      <c r="U235" s="169"/>
      <c r="V235" s="169">
        <v>50000</v>
      </c>
      <c r="W235" s="169"/>
      <c r="X235" s="169"/>
      <c r="Y235" s="169"/>
    </row>
    <row r="236" spans="1:26" outlineLevel="1" x14ac:dyDescent="0.25">
      <c r="A236" s="114" t="str">
        <f>B236&amp;D236&amp;F236&amp;G236</f>
        <v>Parks, Recreation &amp; LibrariesPublic GroundsReplace artificial turf at Scalise FieldBond</v>
      </c>
      <c r="B236" s="11" t="s">
        <v>366</v>
      </c>
      <c r="C236" s="11">
        <v>45</v>
      </c>
      <c r="D236" s="11" t="s">
        <v>46</v>
      </c>
      <c r="F236" s="197" t="s">
        <v>907</v>
      </c>
      <c r="G236" s="11" t="s">
        <v>19</v>
      </c>
      <c r="H236" s="11" t="s">
        <v>531</v>
      </c>
      <c r="I236" s="11" t="s">
        <v>537</v>
      </c>
      <c r="K236" s="169"/>
      <c r="L236" s="169"/>
      <c r="M236" s="169">
        <v>1000000</v>
      </c>
      <c r="N236" s="172"/>
      <c r="O236" s="169"/>
      <c r="P236" s="169"/>
      <c r="Q236" s="169"/>
      <c r="R236" s="169"/>
      <c r="S236" s="169"/>
      <c r="T236" s="169">
        <f t="shared" si="101"/>
        <v>1000000</v>
      </c>
      <c r="U236" s="169"/>
      <c r="V236" s="169"/>
      <c r="W236" s="169"/>
      <c r="X236" s="169">
        <v>1000000</v>
      </c>
      <c r="Y236" s="169"/>
    </row>
    <row r="237" spans="1:26" outlineLevel="1" x14ac:dyDescent="0.25">
      <c r="A237" s="114" t="str">
        <f>B237&amp;D237&amp;F237&amp;G237</f>
        <v>Parks, Recreation &amp; LibrariesPublic GroundsRebuild Zipadelli infieldBond - E</v>
      </c>
      <c r="B237" s="11" t="s">
        <v>366</v>
      </c>
      <c r="C237" s="11">
        <v>45</v>
      </c>
      <c r="D237" s="11" t="s">
        <v>46</v>
      </c>
      <c r="F237" s="197" t="s">
        <v>14</v>
      </c>
      <c r="G237" s="11" t="s">
        <v>243</v>
      </c>
      <c r="H237" s="11" t="s">
        <v>531</v>
      </c>
      <c r="K237" s="169">
        <v>85000</v>
      </c>
      <c r="L237" s="169"/>
      <c r="M237" s="169"/>
      <c r="N237" s="172"/>
      <c r="O237" s="169"/>
      <c r="P237" s="169"/>
      <c r="Q237" s="169"/>
      <c r="R237" s="169"/>
      <c r="S237" s="169"/>
      <c r="T237" s="169">
        <f t="shared" si="101"/>
        <v>0</v>
      </c>
      <c r="U237" s="169"/>
      <c r="V237" s="169"/>
      <c r="W237" s="169"/>
      <c r="X237" s="169"/>
      <c r="Y237" s="169"/>
    </row>
    <row r="238" spans="1:26" outlineLevel="1" x14ac:dyDescent="0.25">
      <c r="A238" s="114" t="str">
        <f t="shared" si="102"/>
        <v>Parks, Recreation &amp; LibrariesPublic GroundsField Improvements - Zipadelli FieldGF</v>
      </c>
      <c r="B238" s="11" t="s">
        <v>366</v>
      </c>
      <c r="C238" s="11">
        <v>45</v>
      </c>
      <c r="D238" s="11" t="s">
        <v>46</v>
      </c>
      <c r="F238" s="272" t="s">
        <v>906</v>
      </c>
      <c r="G238" s="11" t="s">
        <v>16</v>
      </c>
      <c r="K238" s="169"/>
      <c r="L238" s="169"/>
      <c r="M238" s="169"/>
      <c r="N238" s="172"/>
      <c r="O238" s="169"/>
      <c r="P238" s="169"/>
      <c r="Q238" s="169"/>
      <c r="R238" s="169"/>
      <c r="S238" s="169"/>
      <c r="T238" s="169">
        <f t="shared" si="101"/>
        <v>100000</v>
      </c>
      <c r="U238" s="169">
        <v>100000</v>
      </c>
      <c r="V238" s="169"/>
      <c r="W238" s="169"/>
      <c r="X238" s="169"/>
      <c r="Y238" s="169"/>
    </row>
    <row r="239" spans="1:26" outlineLevel="1" x14ac:dyDescent="0.25">
      <c r="A239" s="114" t="str">
        <f t="shared" si="100"/>
        <v>Parks, Recreation &amp; LibrariesPublic GroundsSage 1 Field ImprovementsBond</v>
      </c>
      <c r="B239" s="11" t="s">
        <v>366</v>
      </c>
      <c r="C239" s="11">
        <v>45</v>
      </c>
      <c r="D239" s="11" t="s">
        <v>46</v>
      </c>
      <c r="F239" s="197" t="s">
        <v>685</v>
      </c>
      <c r="G239" s="11" t="s">
        <v>19</v>
      </c>
      <c r="H239" s="11" t="s">
        <v>531</v>
      </c>
      <c r="K239" s="169"/>
      <c r="L239" s="169"/>
      <c r="M239" s="169">
        <f>402000*0+385000*0</f>
        <v>0</v>
      </c>
      <c r="N239" s="172"/>
      <c r="O239" s="169">
        <v>500000</v>
      </c>
      <c r="P239" s="169"/>
      <c r="Q239" s="169"/>
      <c r="R239" s="169"/>
      <c r="S239" s="169"/>
      <c r="T239" s="169">
        <f t="shared" si="101"/>
        <v>0</v>
      </c>
      <c r="U239" s="169"/>
      <c r="V239" s="169"/>
      <c r="W239" s="124"/>
      <c r="X239" s="124"/>
      <c r="Y239" s="124"/>
    </row>
    <row r="240" spans="1:26" outlineLevel="1" x14ac:dyDescent="0.25">
      <c r="A240" s="114" t="str">
        <f t="shared" ref="A240:A241" si="103">B240&amp;D240&amp;F240&amp;G240</f>
        <v>Parks, Recreation &amp; LibrariesPublic GroundsSage 2 Field ImprovementsGF</v>
      </c>
      <c r="B240" s="11" t="s">
        <v>366</v>
      </c>
      <c r="C240" s="11">
        <v>45</v>
      </c>
      <c r="D240" s="11" t="s">
        <v>46</v>
      </c>
      <c r="F240" s="197" t="s">
        <v>687</v>
      </c>
      <c r="G240" s="11" t="s">
        <v>16</v>
      </c>
      <c r="H240" s="11" t="s">
        <v>531</v>
      </c>
      <c r="K240" s="169"/>
      <c r="L240" s="169"/>
      <c r="M240" s="169"/>
      <c r="N240" s="172"/>
      <c r="O240" s="169"/>
      <c r="P240" s="169"/>
      <c r="Q240" s="169"/>
      <c r="R240" s="169"/>
      <c r="S240" s="169"/>
      <c r="T240" s="169">
        <f t="shared" si="101"/>
        <v>40000</v>
      </c>
      <c r="U240" s="169"/>
      <c r="V240" s="169">
        <v>40000</v>
      </c>
      <c r="W240" s="124"/>
      <c r="X240" s="124"/>
      <c r="Y240" s="124"/>
    </row>
    <row r="241" spans="1:25" outlineLevel="1" x14ac:dyDescent="0.25">
      <c r="A241" s="114" t="str">
        <f t="shared" si="103"/>
        <v>Parks, Recreation &amp; LibrariesPublic GroundsScalise Field ScoreboardGrants</v>
      </c>
      <c r="B241" s="11" t="s">
        <v>366</v>
      </c>
      <c r="C241" s="11">
        <v>45</v>
      </c>
      <c r="D241" s="11" t="s">
        <v>46</v>
      </c>
      <c r="F241" s="276" t="s">
        <v>950</v>
      </c>
      <c r="G241" s="11" t="s">
        <v>38</v>
      </c>
      <c r="H241" s="11" t="s">
        <v>531</v>
      </c>
      <c r="K241" s="169"/>
      <c r="L241" s="169"/>
      <c r="M241" s="169">
        <f>82841*0</f>
        <v>0</v>
      </c>
      <c r="N241" s="172"/>
      <c r="O241" s="169">
        <v>250000</v>
      </c>
      <c r="P241" s="169"/>
      <c r="Q241" s="169"/>
      <c r="R241" s="169"/>
      <c r="S241" s="169"/>
      <c r="T241" s="169">
        <f t="shared" si="101"/>
        <v>0</v>
      </c>
      <c r="U241" s="169"/>
      <c r="V241" s="169"/>
      <c r="W241" s="169"/>
      <c r="X241" s="169"/>
      <c r="Y241" s="169"/>
    </row>
    <row r="242" spans="1:25" outlineLevel="1" x14ac:dyDescent="0.25">
      <c r="A242" s="114" t="str">
        <f t="shared" ref="A242:A245" si="104">B242&amp;D242&amp;F242&amp;G242</f>
        <v>Parks, Recreation &amp; LibrariesPublic GroundsReplace equipment at Community PlaygroundGF</v>
      </c>
      <c r="B242" s="11" t="s">
        <v>366</v>
      </c>
      <c r="C242" s="11">
        <v>45</v>
      </c>
      <c r="D242" s="11" t="s">
        <v>46</v>
      </c>
      <c r="F242" s="272" t="s">
        <v>908</v>
      </c>
      <c r="G242" s="11" t="s">
        <v>16</v>
      </c>
      <c r="K242" s="169"/>
      <c r="L242" s="169"/>
      <c r="M242" s="169"/>
      <c r="N242" s="172"/>
      <c r="O242" s="169"/>
      <c r="P242" s="169"/>
      <c r="Q242" s="169"/>
      <c r="R242" s="169">
        <f>250000*0</f>
        <v>0</v>
      </c>
      <c r="S242" s="169"/>
      <c r="T242" s="169">
        <f t="shared" si="101"/>
        <v>250000</v>
      </c>
      <c r="U242" s="169">
        <v>250000</v>
      </c>
      <c r="V242" s="169"/>
      <c r="W242" s="169"/>
      <c r="X242" s="169"/>
      <c r="Y242" s="169"/>
    </row>
    <row r="243" spans="1:25" outlineLevel="1" x14ac:dyDescent="0.25">
      <c r="A243" s="114" t="str">
        <f t="shared" si="104"/>
        <v>Parks, Recreation &amp; LibrariesPublic GroundsReplace equipment at Little People's PlaygroundGF</v>
      </c>
      <c r="B243" s="11" t="s">
        <v>366</v>
      </c>
      <c r="C243" s="11">
        <v>45</v>
      </c>
      <c r="D243" s="11" t="s">
        <v>46</v>
      </c>
      <c r="F243" s="272" t="s">
        <v>909</v>
      </c>
      <c r="G243" s="11" t="s">
        <v>16</v>
      </c>
      <c r="K243" s="169"/>
      <c r="L243" s="169"/>
      <c r="M243" s="169"/>
      <c r="N243" s="172"/>
      <c r="O243" s="169"/>
      <c r="P243" s="169"/>
      <c r="Q243" s="169"/>
      <c r="R243" s="169"/>
      <c r="S243" s="169">
        <f>250000*0</f>
        <v>0</v>
      </c>
      <c r="T243" s="169">
        <f t="shared" si="101"/>
        <v>250000</v>
      </c>
      <c r="U243" s="169"/>
      <c r="V243" s="169">
        <v>250000</v>
      </c>
      <c r="W243" s="169"/>
      <c r="X243" s="169"/>
      <c r="Y243" s="169"/>
    </row>
    <row r="244" spans="1:25" outlineLevel="1" x14ac:dyDescent="0.25">
      <c r="A244" s="114" t="str">
        <f t="shared" si="104"/>
        <v>Parks, Recreation &amp; LibrariesPublic GroundsPercival Pool MaintenanceGF</v>
      </c>
      <c r="B244" s="11" t="s">
        <v>366</v>
      </c>
      <c r="C244" s="11">
        <v>45</v>
      </c>
      <c r="D244" s="11" t="s">
        <v>46</v>
      </c>
      <c r="F244" s="272" t="s">
        <v>910</v>
      </c>
      <c r="G244" s="11" t="s">
        <v>16</v>
      </c>
      <c r="K244" s="169"/>
      <c r="L244" s="169"/>
      <c r="M244" s="169"/>
      <c r="N244" s="172"/>
      <c r="O244" s="169"/>
      <c r="P244" s="169"/>
      <c r="Q244" s="169"/>
      <c r="R244" s="169"/>
      <c r="S244" s="169"/>
      <c r="T244" s="169">
        <f t="shared" si="101"/>
        <v>150000</v>
      </c>
      <c r="U244" s="169"/>
      <c r="V244" s="169">
        <v>150000</v>
      </c>
      <c r="W244" s="169"/>
      <c r="X244" s="169"/>
      <c r="Y244" s="169"/>
    </row>
    <row r="245" spans="1:25" outlineLevel="1" x14ac:dyDescent="0.25">
      <c r="A245" s="114" t="str">
        <f t="shared" si="104"/>
        <v>Parks, Recreation &amp; LibrariesPublic GroundsDemore, Dinda, Bittner Jr. Memorial Pool MaintenanceGF</v>
      </c>
      <c r="B245" s="11" t="s">
        <v>366</v>
      </c>
      <c r="C245" s="11">
        <v>45</v>
      </c>
      <c r="D245" s="11" t="s">
        <v>46</v>
      </c>
      <c r="F245" s="272" t="s">
        <v>911</v>
      </c>
      <c r="G245" s="11" t="s">
        <v>16</v>
      </c>
      <c r="K245" s="169"/>
      <c r="L245" s="169"/>
      <c r="M245" s="169"/>
      <c r="N245" s="172"/>
      <c r="O245" s="169"/>
      <c r="P245" s="169"/>
      <c r="Q245" s="169">
        <f>150000*0</f>
        <v>0</v>
      </c>
      <c r="R245" s="169"/>
      <c r="S245" s="169">
        <v>150000</v>
      </c>
      <c r="T245" s="169">
        <f t="shared" si="101"/>
        <v>0</v>
      </c>
      <c r="U245" s="169"/>
      <c r="V245" s="169"/>
      <c r="W245" s="169"/>
      <c r="X245" s="169"/>
      <c r="Y245" s="169"/>
    </row>
    <row r="246" spans="1:25" outlineLevel="1" x14ac:dyDescent="0.25">
      <c r="A246" s="114" t="str">
        <f t="shared" si="100"/>
        <v>Parks, Recreation &amp; LibrariesPublic GroundsMini excavator (used)Surplus</v>
      </c>
      <c r="B246" s="11" t="s">
        <v>366</v>
      </c>
      <c r="C246" s="11">
        <v>45</v>
      </c>
      <c r="D246" s="11" t="s">
        <v>46</v>
      </c>
      <c r="F246" s="197" t="s">
        <v>25</v>
      </c>
      <c r="G246" s="11" t="s">
        <v>1036</v>
      </c>
      <c r="H246" s="11" t="s">
        <v>531</v>
      </c>
      <c r="K246" s="169"/>
      <c r="L246" s="169"/>
      <c r="M246" s="169">
        <f>(78000-28000)*0</f>
        <v>0</v>
      </c>
      <c r="N246" s="172"/>
      <c r="O246" s="169"/>
      <c r="P246" s="169"/>
      <c r="Q246" s="169"/>
      <c r="R246" s="169">
        <v>50000</v>
      </c>
      <c r="S246" s="169"/>
      <c r="T246" s="169">
        <f t="shared" si="101"/>
        <v>0</v>
      </c>
      <c r="U246" s="169"/>
      <c r="V246" s="169"/>
      <c r="W246" s="124"/>
      <c r="X246" s="124"/>
      <c r="Y246" s="124"/>
    </row>
    <row r="247" spans="1:25" outlineLevel="1" x14ac:dyDescent="0.25">
      <c r="A247" s="114" t="str">
        <f t="shared" si="100"/>
        <v>Parks, Recreation &amp; LibrariesPublic GroundsDennehy Field Parking LotGrants</v>
      </c>
      <c r="B247" s="11" t="s">
        <v>366</v>
      </c>
      <c r="C247" s="11">
        <v>45</v>
      </c>
      <c r="D247" s="11" t="s">
        <v>46</v>
      </c>
      <c r="F247" s="197" t="s">
        <v>489</v>
      </c>
      <c r="G247" s="11" t="s">
        <v>38</v>
      </c>
      <c r="H247" s="11" t="s">
        <v>531</v>
      </c>
      <c r="I247" s="11" t="s">
        <v>539</v>
      </c>
      <c r="K247" s="169"/>
      <c r="L247" s="169"/>
      <c r="M247" s="169"/>
      <c r="N247" s="172"/>
      <c r="O247" s="169"/>
      <c r="P247" s="169"/>
      <c r="Q247" s="169"/>
      <c r="R247" s="169"/>
      <c r="S247" s="169"/>
      <c r="T247" s="169">
        <f t="shared" si="101"/>
        <v>0</v>
      </c>
      <c r="U247" s="169"/>
      <c r="V247" s="169"/>
      <c r="W247" s="169"/>
      <c r="X247" s="169"/>
      <c r="Y247" s="169"/>
    </row>
    <row r="248" spans="1:25" outlineLevel="1" x14ac:dyDescent="0.25">
      <c r="A248" s="114" t="str">
        <f t="shared" si="100"/>
        <v>Parks, Recreation &amp; LibrariesPublic GroundsPick UpsGF</v>
      </c>
      <c r="B248" s="11" t="s">
        <v>366</v>
      </c>
      <c r="C248" s="11">
        <v>45</v>
      </c>
      <c r="D248" s="11" t="s">
        <v>46</v>
      </c>
      <c r="F248" s="197" t="s">
        <v>476</v>
      </c>
      <c r="G248" s="11" t="s">
        <v>16</v>
      </c>
      <c r="H248" s="11" t="s">
        <v>531</v>
      </c>
      <c r="K248" s="169"/>
      <c r="L248" s="169"/>
      <c r="M248" s="169"/>
      <c r="N248" s="172"/>
      <c r="O248" s="169"/>
      <c r="P248" s="169">
        <f>42000*0</f>
        <v>0</v>
      </c>
      <c r="Q248" s="169">
        <f>42000*0</f>
        <v>0</v>
      </c>
      <c r="R248" s="169"/>
      <c r="S248" s="169">
        <v>42000</v>
      </c>
      <c r="T248" s="169">
        <f t="shared" si="101"/>
        <v>84000</v>
      </c>
      <c r="U248" s="169">
        <v>42000</v>
      </c>
      <c r="V248" s="169"/>
      <c r="W248" s="169">
        <v>42000</v>
      </c>
      <c r="X248" s="169"/>
      <c r="Y248" s="169"/>
    </row>
    <row r="249" spans="1:25" outlineLevel="1" x14ac:dyDescent="0.25">
      <c r="A249" s="114" t="str">
        <f t="shared" si="100"/>
        <v>Parks, Recreation &amp; LibrariesPublic GroundsReplace locks  at Sage ParkGF</v>
      </c>
      <c r="B249" s="11" t="s">
        <v>366</v>
      </c>
      <c r="C249" s="11">
        <v>45</v>
      </c>
      <c r="D249" s="11" t="s">
        <v>46</v>
      </c>
      <c r="F249" s="197" t="s">
        <v>282</v>
      </c>
      <c r="G249" s="11" t="s">
        <v>16</v>
      </c>
      <c r="H249" s="11" t="s">
        <v>531</v>
      </c>
      <c r="K249" s="169"/>
      <c r="L249" s="169"/>
      <c r="M249" s="169"/>
      <c r="N249" s="172"/>
      <c r="O249" s="169"/>
      <c r="P249" s="169"/>
      <c r="Q249" s="169"/>
      <c r="R249" s="169"/>
      <c r="S249" s="169">
        <v>40000</v>
      </c>
      <c r="T249" s="169">
        <f t="shared" si="101"/>
        <v>0</v>
      </c>
      <c r="U249" s="169"/>
      <c r="V249" s="169"/>
      <c r="W249" s="169"/>
      <c r="X249" s="169"/>
      <c r="Y249" s="169"/>
    </row>
    <row r="250" spans="1:25" outlineLevel="1" x14ac:dyDescent="0.25">
      <c r="A250" s="114" t="str">
        <f t="shared" si="100"/>
        <v>Parks, Recreation &amp; LibrariesPublic GroundsDump TrucksGF</v>
      </c>
      <c r="B250" s="11" t="s">
        <v>366</v>
      </c>
      <c r="C250" s="11">
        <v>45</v>
      </c>
      <c r="D250" s="11" t="s">
        <v>46</v>
      </c>
      <c r="F250" s="197" t="s">
        <v>474</v>
      </c>
      <c r="G250" s="11" t="s">
        <v>16</v>
      </c>
      <c r="H250" s="11" t="s">
        <v>531</v>
      </c>
      <c r="K250" s="169"/>
      <c r="L250" s="169"/>
      <c r="M250" s="169"/>
      <c r="N250" s="172"/>
      <c r="O250" s="169"/>
      <c r="P250" s="169"/>
      <c r="Q250" s="169">
        <f>80000*0</f>
        <v>0</v>
      </c>
      <c r="R250" s="169">
        <f>80000*0</f>
        <v>0</v>
      </c>
      <c r="S250" s="169"/>
      <c r="T250" s="169">
        <f t="shared" si="101"/>
        <v>160000</v>
      </c>
      <c r="U250" s="169">
        <v>80000</v>
      </c>
      <c r="V250" s="169">
        <v>80000</v>
      </c>
      <c r="W250" s="169"/>
      <c r="X250" s="169"/>
      <c r="Y250" s="169"/>
    </row>
    <row r="251" spans="1:25" outlineLevel="1" x14ac:dyDescent="0.25">
      <c r="A251" s="114" t="str">
        <f t="shared" si="100"/>
        <v>Parks, Recreation &amp; LibrariesPublic GroundsDredging Sage PondGF</v>
      </c>
      <c r="B251" s="11" t="s">
        <v>366</v>
      </c>
      <c r="C251" s="11">
        <v>45</v>
      </c>
      <c r="D251" s="11" t="s">
        <v>46</v>
      </c>
      <c r="F251" s="197" t="s">
        <v>29</v>
      </c>
      <c r="G251" s="11" t="s">
        <v>16</v>
      </c>
      <c r="H251" s="11" t="s">
        <v>531</v>
      </c>
      <c r="K251" s="169"/>
      <c r="L251" s="169"/>
      <c r="M251" s="169"/>
      <c r="N251" s="172"/>
      <c r="O251" s="169"/>
      <c r="P251" s="169"/>
      <c r="Q251" s="169"/>
      <c r="R251" s="169"/>
      <c r="S251" s="169">
        <f>80000*0</f>
        <v>0</v>
      </c>
      <c r="T251" s="169">
        <f t="shared" si="101"/>
        <v>80000</v>
      </c>
      <c r="U251" s="169">
        <v>80000</v>
      </c>
      <c r="V251" s="169"/>
      <c r="W251" s="124"/>
      <c r="X251" s="124"/>
      <c r="Y251" s="124"/>
    </row>
    <row r="252" spans="1:25" outlineLevel="1" x14ac:dyDescent="0.25">
      <c r="A252" s="114" t="str">
        <f t="shared" ref="A252" si="105">B252&amp;D252&amp;F252&amp;G252</f>
        <v>Parks, Recreation &amp; LibrariesPublic GroundsBobcatGF</v>
      </c>
      <c r="B252" s="11" t="s">
        <v>366</v>
      </c>
      <c r="C252" s="11">
        <v>45</v>
      </c>
      <c r="D252" s="11" t="s">
        <v>46</v>
      </c>
      <c r="F252" s="197" t="s">
        <v>688</v>
      </c>
      <c r="G252" s="11" t="s">
        <v>16</v>
      </c>
      <c r="H252" s="11" t="s">
        <v>531</v>
      </c>
      <c r="K252" s="169"/>
      <c r="L252" s="169"/>
      <c r="M252" s="169"/>
      <c r="N252" s="172"/>
      <c r="O252" s="169"/>
      <c r="P252" s="169"/>
      <c r="Q252" s="169"/>
      <c r="R252" s="169"/>
      <c r="S252" s="169"/>
      <c r="T252" s="169">
        <f t="shared" si="101"/>
        <v>70000</v>
      </c>
      <c r="U252" s="169"/>
      <c r="V252" s="169"/>
      <c r="W252" s="169">
        <v>70000</v>
      </c>
      <c r="X252" s="169"/>
      <c r="Y252" s="124"/>
    </row>
    <row r="253" spans="1:25" outlineLevel="1" x14ac:dyDescent="0.25">
      <c r="A253" s="114" t="str">
        <f t="shared" ref="A253:A255" si="106">B253&amp;D253&amp;F253&amp;G253</f>
        <v>Parks, Recreation &amp; LibrariesPublic GroundsBackhoeGF</v>
      </c>
      <c r="B253" s="11" t="s">
        <v>366</v>
      </c>
      <c r="C253" s="11">
        <v>45</v>
      </c>
      <c r="D253" s="11" t="s">
        <v>46</v>
      </c>
      <c r="F253" s="276" t="s">
        <v>521</v>
      </c>
      <c r="G253" s="11" t="s">
        <v>16</v>
      </c>
      <c r="H253" s="11" t="s">
        <v>531</v>
      </c>
      <c r="K253" s="169"/>
      <c r="L253" s="169"/>
      <c r="M253" s="169"/>
      <c r="N253" s="172"/>
      <c r="O253" s="169"/>
      <c r="P253" s="169"/>
      <c r="Q253" s="169"/>
      <c r="R253" s="169"/>
      <c r="S253" s="169"/>
      <c r="T253" s="169">
        <f t="shared" si="101"/>
        <v>140000</v>
      </c>
      <c r="U253" s="169">
        <v>140000</v>
      </c>
      <c r="V253" s="169"/>
      <c r="W253" s="169"/>
      <c r="X253" s="169"/>
      <c r="Y253" s="124"/>
    </row>
    <row r="254" spans="1:25" outlineLevel="1" x14ac:dyDescent="0.25">
      <c r="A254" s="114" t="str">
        <f t="shared" si="106"/>
        <v>Parks, Recreation &amp; LibrariesPublic GroundsTracklessGF</v>
      </c>
      <c r="B254" s="11" t="s">
        <v>366</v>
      </c>
      <c r="C254" s="11">
        <v>45</v>
      </c>
      <c r="D254" s="11" t="s">
        <v>46</v>
      </c>
      <c r="F254" s="276" t="s">
        <v>948</v>
      </c>
      <c r="G254" s="11" t="s">
        <v>16</v>
      </c>
      <c r="H254" s="11" t="s">
        <v>531</v>
      </c>
      <c r="K254" s="169"/>
      <c r="L254" s="169"/>
      <c r="M254" s="169"/>
      <c r="N254" s="172"/>
      <c r="O254" s="169"/>
      <c r="P254" s="169"/>
      <c r="Q254" s="169"/>
      <c r="R254" s="169"/>
      <c r="S254" s="169"/>
      <c r="T254" s="169">
        <f t="shared" si="101"/>
        <v>140000</v>
      </c>
      <c r="U254" s="169"/>
      <c r="V254" s="169">
        <v>140000</v>
      </c>
      <c r="W254" s="169"/>
      <c r="X254" s="169"/>
      <c r="Y254" s="124"/>
    </row>
    <row r="255" spans="1:25" outlineLevel="1" x14ac:dyDescent="0.25">
      <c r="A255" s="114" t="str">
        <f t="shared" si="106"/>
        <v>Parks, Recreation &amp; LibrariesPublic GroundsTrack Snow MachineGF</v>
      </c>
      <c r="B255" s="11" t="s">
        <v>366</v>
      </c>
      <c r="C255" s="11">
        <v>45</v>
      </c>
      <c r="D255" s="11" t="s">
        <v>46</v>
      </c>
      <c r="F255" s="276" t="s">
        <v>949</v>
      </c>
      <c r="G255" s="11" t="s">
        <v>16</v>
      </c>
      <c r="H255" s="11" t="s">
        <v>531</v>
      </c>
      <c r="K255" s="169"/>
      <c r="L255" s="169"/>
      <c r="M255" s="169"/>
      <c r="N255" s="172"/>
      <c r="O255" s="169"/>
      <c r="P255" s="169"/>
      <c r="Q255" s="169"/>
      <c r="R255" s="169"/>
      <c r="S255" s="169"/>
      <c r="T255" s="169">
        <f t="shared" si="101"/>
        <v>60000</v>
      </c>
      <c r="U255" s="169">
        <v>60000</v>
      </c>
      <c r="V255" s="169"/>
      <c r="W255" s="169"/>
      <c r="X255" s="169"/>
      <c r="Y255" s="124"/>
    </row>
    <row r="256" spans="1:25" outlineLevel="1" x14ac:dyDescent="0.25">
      <c r="A256" s="114" t="str">
        <f t="shared" si="100"/>
        <v>Parks, Recreation &amp; LibrariesPublic GroundsRagged Mountain Walking TrailsGF</v>
      </c>
      <c r="B256" s="11" t="s">
        <v>366</v>
      </c>
      <c r="C256" s="11">
        <v>45</v>
      </c>
      <c r="D256" s="11" t="s">
        <v>46</v>
      </c>
      <c r="F256" s="197" t="s">
        <v>30</v>
      </c>
      <c r="G256" s="11" t="s">
        <v>16</v>
      </c>
      <c r="H256" s="11" t="s">
        <v>531</v>
      </c>
      <c r="K256" s="169"/>
      <c r="L256" s="169"/>
      <c r="M256" s="169"/>
      <c r="N256" s="172"/>
      <c r="O256" s="169"/>
      <c r="P256" s="169"/>
      <c r="Q256" s="169"/>
      <c r="R256" s="169">
        <f>25000*0</f>
        <v>0</v>
      </c>
      <c r="S256" s="169"/>
      <c r="T256" s="169">
        <f t="shared" si="101"/>
        <v>25000</v>
      </c>
      <c r="U256" s="169"/>
      <c r="V256" s="169"/>
      <c r="W256" s="169">
        <v>25000</v>
      </c>
      <c r="X256" s="124"/>
      <c r="Y256" s="124"/>
    </row>
    <row r="257" spans="1:25" outlineLevel="1" x14ac:dyDescent="0.25">
      <c r="A257" s="114" t="str">
        <f t="shared" si="100"/>
        <v>Parks, Recreation &amp; LibrariesPublic GroundsRiding mower (w/ cab, plow &amp; broom)GF</v>
      </c>
      <c r="B257" s="11" t="s">
        <v>366</v>
      </c>
      <c r="C257" s="11">
        <v>45</v>
      </c>
      <c r="D257" s="11" t="s">
        <v>46</v>
      </c>
      <c r="F257" s="197" t="s">
        <v>39</v>
      </c>
      <c r="G257" s="11" t="s">
        <v>16</v>
      </c>
      <c r="H257" s="11" t="s">
        <v>531</v>
      </c>
      <c r="K257" s="169"/>
      <c r="L257" s="169"/>
      <c r="M257" s="169"/>
      <c r="N257" s="172"/>
      <c r="O257" s="169"/>
      <c r="P257" s="169"/>
      <c r="Q257" s="169">
        <f>75000*0</f>
        <v>0</v>
      </c>
      <c r="R257" s="169"/>
      <c r="S257" s="169"/>
      <c r="T257" s="169">
        <f t="shared" si="101"/>
        <v>75000</v>
      </c>
      <c r="U257" s="169">
        <v>75000</v>
      </c>
      <c r="V257" s="169"/>
      <c r="W257" s="124"/>
      <c r="X257" s="124"/>
      <c r="Y257" s="124"/>
    </row>
    <row r="258" spans="1:25" outlineLevel="1" x14ac:dyDescent="0.25">
      <c r="A258" s="114" t="str">
        <f t="shared" si="100"/>
        <v>Parks, Recreation &amp; LibrariesPublic GroundsFuture bikewaysGF</v>
      </c>
      <c r="B258" s="11" t="s">
        <v>366</v>
      </c>
      <c r="C258" s="11">
        <v>45</v>
      </c>
      <c r="D258" s="11" t="s">
        <v>46</v>
      </c>
      <c r="F258" s="197" t="s">
        <v>40</v>
      </c>
      <c r="G258" s="11" t="s">
        <v>16</v>
      </c>
      <c r="H258" s="11" t="s">
        <v>531</v>
      </c>
      <c r="K258" s="169"/>
      <c r="L258" s="169"/>
      <c r="M258" s="169"/>
      <c r="N258" s="172"/>
      <c r="O258" s="169"/>
      <c r="P258" s="169"/>
      <c r="Q258" s="169"/>
      <c r="R258" s="169"/>
      <c r="S258" s="169">
        <f>60000*0</f>
        <v>0</v>
      </c>
      <c r="T258" s="169">
        <f t="shared" si="101"/>
        <v>60000</v>
      </c>
      <c r="U258" s="169"/>
      <c r="V258" s="169"/>
      <c r="W258" s="124"/>
      <c r="X258" s="124"/>
      <c r="Y258" s="169">
        <v>60000</v>
      </c>
    </row>
    <row r="259" spans="1:25" outlineLevel="1" x14ac:dyDescent="0.25">
      <c r="A259" s="114" t="str">
        <f t="shared" si="100"/>
        <v>Parks, Recreation &amp; LibrariesPublic GroundsPaper Goods PondGF</v>
      </c>
      <c r="B259" s="11" t="s">
        <v>366</v>
      </c>
      <c r="C259" s="11">
        <v>45</v>
      </c>
      <c r="D259" s="11" t="s">
        <v>46</v>
      </c>
      <c r="F259" s="197" t="s">
        <v>90</v>
      </c>
      <c r="G259" s="11" t="s">
        <v>16</v>
      </c>
      <c r="H259" s="11" t="s">
        <v>531</v>
      </c>
      <c r="K259" s="169"/>
      <c r="L259" s="169"/>
      <c r="M259" s="169"/>
      <c r="N259" s="172"/>
      <c r="O259" s="169"/>
      <c r="P259" s="169"/>
      <c r="Q259" s="169"/>
      <c r="R259" s="169"/>
      <c r="S259" s="169"/>
      <c r="T259" s="169">
        <f t="shared" si="101"/>
        <v>25000</v>
      </c>
      <c r="U259" s="169">
        <v>25000</v>
      </c>
      <c r="V259" s="169"/>
      <c r="W259" s="169"/>
      <c r="X259" s="169"/>
      <c r="Y259" s="169"/>
    </row>
    <row r="260" spans="1:25" outlineLevel="1" x14ac:dyDescent="0.25">
      <c r="A260" s="114" t="str">
        <f t="shared" si="100"/>
        <v>Parks, Recreation &amp; LibrariesPublic GroundsService TrucksGF</v>
      </c>
      <c r="B260" s="11" t="s">
        <v>366</v>
      </c>
      <c r="C260" s="11">
        <v>45</v>
      </c>
      <c r="D260" s="11" t="s">
        <v>46</v>
      </c>
      <c r="F260" s="197" t="s">
        <v>475</v>
      </c>
      <c r="G260" s="11" t="s">
        <v>16</v>
      </c>
      <c r="H260" s="11" t="s">
        <v>531</v>
      </c>
      <c r="K260" s="169">
        <v>8000</v>
      </c>
      <c r="L260" s="169"/>
      <c r="M260" s="169"/>
      <c r="N260" s="172"/>
      <c r="O260" s="169"/>
      <c r="P260" s="169"/>
      <c r="Q260" s="169"/>
      <c r="R260" s="169"/>
      <c r="S260" s="169"/>
      <c r="T260" s="169">
        <f t="shared" si="101"/>
        <v>0</v>
      </c>
      <c r="U260" s="169"/>
      <c r="V260" s="169"/>
      <c r="W260" s="169"/>
      <c r="X260" s="169"/>
      <c r="Y260" s="169"/>
    </row>
    <row r="261" spans="1:25" ht="15.75" outlineLevel="1" thickBot="1" x14ac:dyDescent="0.3">
      <c r="C261" s="11"/>
      <c r="K261" s="168">
        <f>SUM(K227:K260)</f>
        <v>93000</v>
      </c>
      <c r="L261" s="168">
        <f>SUM(L227:L260)</f>
        <v>105000</v>
      </c>
      <c r="M261" s="168">
        <f>SUM(M227:M260)</f>
        <v>1000000</v>
      </c>
      <c r="N261" s="171"/>
      <c r="O261" s="168">
        <f t="shared" ref="O261:Y261" si="107">SUM(O227:O260)</f>
        <v>1100000</v>
      </c>
      <c r="P261" s="168">
        <f t="shared" si="107"/>
        <v>0</v>
      </c>
      <c r="Q261" s="168">
        <f t="shared" si="107"/>
        <v>0</v>
      </c>
      <c r="R261" s="168">
        <f t="shared" si="107"/>
        <v>50000</v>
      </c>
      <c r="S261" s="168">
        <f t="shared" si="107"/>
        <v>232000</v>
      </c>
      <c r="T261" s="168">
        <f t="shared" si="107"/>
        <v>3184000</v>
      </c>
      <c r="U261" s="168">
        <f t="shared" si="107"/>
        <v>977000</v>
      </c>
      <c r="V261" s="168">
        <f t="shared" si="107"/>
        <v>910000</v>
      </c>
      <c r="W261" s="168">
        <f t="shared" si="107"/>
        <v>237000</v>
      </c>
      <c r="X261" s="168">
        <f t="shared" si="107"/>
        <v>1000000</v>
      </c>
      <c r="Y261" s="168">
        <f t="shared" si="107"/>
        <v>60000</v>
      </c>
    </row>
    <row r="262" spans="1:25" ht="15.75" outlineLevel="1" thickTop="1" x14ac:dyDescent="0.25">
      <c r="C262" s="11"/>
      <c r="K262" s="169"/>
      <c r="L262" s="169"/>
      <c r="M262" s="169"/>
      <c r="N262" s="172"/>
      <c r="O262" s="169"/>
      <c r="P262" s="169"/>
      <c r="Q262" s="169"/>
      <c r="R262" s="169"/>
      <c r="S262" s="169"/>
      <c r="T262" s="169"/>
      <c r="U262" s="169"/>
      <c r="V262" s="169"/>
      <c r="W262" s="169"/>
      <c r="X262" s="169"/>
      <c r="Y262" s="169"/>
    </row>
    <row r="263" spans="1:25" outlineLevel="1" x14ac:dyDescent="0.25">
      <c r="C263" s="11"/>
      <c r="K263" s="169"/>
      <c r="L263" s="169"/>
      <c r="M263" s="169"/>
      <c r="N263" s="172"/>
      <c r="O263" s="169"/>
      <c r="P263" s="169"/>
      <c r="Q263" s="169"/>
      <c r="R263" s="169"/>
      <c r="S263" s="169"/>
      <c r="T263" s="169"/>
      <c r="U263" s="169"/>
      <c r="V263" s="169"/>
      <c r="W263" s="169"/>
      <c r="X263" s="169"/>
      <c r="Y263" s="169"/>
    </row>
    <row r="264" spans="1:25" outlineLevel="1" x14ac:dyDescent="0.25">
      <c r="A264" s="114" t="str">
        <f>B264&amp;D264&amp;F264&amp;G264</f>
        <v>Parks, Recreation &amp; LibrariesSenior Center9 Passenger VanGF</v>
      </c>
      <c r="B264" s="11" t="s">
        <v>366</v>
      </c>
      <c r="C264" s="11">
        <v>55</v>
      </c>
      <c r="D264" s="11" t="s">
        <v>85</v>
      </c>
      <c r="F264" s="197" t="s">
        <v>689</v>
      </c>
      <c r="G264" s="11" t="s">
        <v>16</v>
      </c>
      <c r="H264" s="11" t="s">
        <v>531</v>
      </c>
      <c r="I264" s="11" t="s">
        <v>562</v>
      </c>
      <c r="K264" s="169"/>
      <c r="L264" s="169">
        <v>12800</v>
      </c>
      <c r="M264" s="169"/>
      <c r="N264" s="172"/>
      <c r="O264" s="169"/>
      <c r="P264" s="169"/>
      <c r="Q264" s="169"/>
      <c r="R264" s="169"/>
      <c r="S264" s="169"/>
      <c r="T264" s="169">
        <f t="shared" ref="T264:T268" si="108">SUM(U264:Y264)</f>
        <v>0</v>
      </c>
      <c r="U264" s="169"/>
      <c r="V264" s="169"/>
      <c r="W264" s="169"/>
      <c r="X264" s="169"/>
      <c r="Y264" s="169"/>
    </row>
    <row r="265" spans="1:25" outlineLevel="1" x14ac:dyDescent="0.25">
      <c r="A265" s="114" t="str">
        <f>B265&amp;D265&amp;F265&amp;G265</f>
        <v>Parks, Recreation &amp; LibrariesSenior Center9 Passenger VanGrants</v>
      </c>
      <c r="B265" s="11" t="s">
        <v>366</v>
      </c>
      <c r="C265" s="11">
        <v>55</v>
      </c>
      <c r="D265" s="11" t="s">
        <v>85</v>
      </c>
      <c r="F265" s="262" t="s">
        <v>689</v>
      </c>
      <c r="G265" s="11" t="s">
        <v>38</v>
      </c>
      <c r="H265" s="11" t="s">
        <v>531</v>
      </c>
      <c r="I265" s="11" t="s">
        <v>562</v>
      </c>
      <c r="K265" s="169"/>
      <c r="L265" s="169"/>
      <c r="M265" s="169"/>
      <c r="N265" s="172"/>
      <c r="O265" s="169">
        <v>53600</v>
      </c>
      <c r="P265" s="169"/>
      <c r="Q265" s="169"/>
      <c r="R265" s="169"/>
      <c r="S265" s="169"/>
      <c r="T265" s="169">
        <f t="shared" si="108"/>
        <v>0</v>
      </c>
      <c r="U265" s="169"/>
      <c r="V265" s="169"/>
      <c r="W265" s="169"/>
      <c r="X265" s="169"/>
      <c r="Y265" s="169"/>
    </row>
    <row r="266" spans="1:25" ht="30" outlineLevel="1" x14ac:dyDescent="0.25">
      <c r="A266" s="114" t="str">
        <f>B266&amp;D266&amp;F266&amp;G266</f>
        <v>Parks, Recreation &amp; LibrariesSenior Center9 Passenger Van (carryover capital from FY19 when Town was not awarded grant)Capital</v>
      </c>
      <c r="B266" s="11" t="s">
        <v>366</v>
      </c>
      <c r="C266" s="11">
        <v>55</v>
      </c>
      <c r="D266" s="11" t="s">
        <v>85</v>
      </c>
      <c r="F266" s="197" t="s">
        <v>690</v>
      </c>
      <c r="G266" s="11" t="s">
        <v>533</v>
      </c>
      <c r="H266" s="11" t="s">
        <v>531</v>
      </c>
      <c r="I266" s="11" t="s">
        <v>562</v>
      </c>
      <c r="K266" s="169"/>
      <c r="L266" s="169"/>
      <c r="M266" s="169"/>
      <c r="N266" s="172"/>
      <c r="O266" s="169">
        <f>68801-O265</f>
        <v>15201</v>
      </c>
      <c r="P266" s="169"/>
      <c r="Q266" s="169"/>
      <c r="R266" s="169"/>
      <c r="S266" s="169"/>
      <c r="T266" s="169">
        <f t="shared" si="108"/>
        <v>0</v>
      </c>
      <c r="U266" s="169"/>
      <c r="V266" s="169"/>
      <c r="W266" s="169"/>
      <c r="X266" s="169"/>
      <c r="Y266" s="169"/>
    </row>
    <row r="267" spans="1:25" outlineLevel="1" x14ac:dyDescent="0.25">
      <c r="A267" s="114" t="str">
        <f>B267&amp;D267&amp;F267&amp;G267</f>
        <v>Parks, Recreation &amp; LibrariesSenior Center12 Passenger VanGF</v>
      </c>
      <c r="B267" s="11" t="s">
        <v>366</v>
      </c>
      <c r="C267" s="11">
        <v>55</v>
      </c>
      <c r="D267" s="11" t="s">
        <v>85</v>
      </c>
      <c r="F267" s="262" t="s">
        <v>691</v>
      </c>
      <c r="G267" s="11" t="s">
        <v>16</v>
      </c>
      <c r="H267" s="11" t="s">
        <v>531</v>
      </c>
      <c r="I267" s="11" t="s">
        <v>562</v>
      </c>
      <c r="K267" s="169"/>
      <c r="L267" s="169"/>
      <c r="M267" s="169"/>
      <c r="N267" s="172"/>
      <c r="O267" s="169"/>
      <c r="P267" s="169"/>
      <c r="Q267" s="169"/>
      <c r="R267" s="169"/>
      <c r="S267" s="169"/>
      <c r="T267" s="169">
        <f t="shared" si="108"/>
        <v>12800</v>
      </c>
      <c r="U267" s="169"/>
      <c r="V267" s="169">
        <v>12800</v>
      </c>
      <c r="W267" s="169"/>
      <c r="X267" s="169"/>
      <c r="Y267" s="169"/>
    </row>
    <row r="268" spans="1:25" outlineLevel="1" x14ac:dyDescent="0.25">
      <c r="A268" s="114" t="str">
        <f>B268&amp;D268&amp;F268&amp;G268</f>
        <v>Parks, Recreation &amp; LibrariesSenior Center12 Passenger VanGrants</v>
      </c>
      <c r="B268" s="11" t="s">
        <v>366</v>
      </c>
      <c r="C268" s="11">
        <v>55</v>
      </c>
      <c r="D268" s="11" t="s">
        <v>85</v>
      </c>
      <c r="F268" s="197" t="s">
        <v>691</v>
      </c>
      <c r="G268" s="11" t="s">
        <v>38</v>
      </c>
      <c r="H268" s="11" t="s">
        <v>531</v>
      </c>
      <c r="I268" s="11" t="s">
        <v>562</v>
      </c>
      <c r="K268" s="169"/>
      <c r="L268" s="169"/>
      <c r="M268" s="169"/>
      <c r="N268" s="172"/>
      <c r="O268" s="169"/>
      <c r="P268" s="169"/>
      <c r="Q268" s="169"/>
      <c r="R268" s="169"/>
      <c r="S268" s="169"/>
      <c r="T268" s="169">
        <f t="shared" si="108"/>
        <v>67200</v>
      </c>
      <c r="U268" s="169"/>
      <c r="V268" s="169">
        <f>80000-V267</f>
        <v>67200</v>
      </c>
      <c r="W268" s="169"/>
      <c r="X268" s="169"/>
      <c r="Y268" s="169"/>
    </row>
    <row r="269" spans="1:25" ht="15.75" outlineLevel="1" thickBot="1" x14ac:dyDescent="0.3">
      <c r="C269" s="11"/>
      <c r="K269" s="168">
        <f>SUM(K264:K268)</f>
        <v>0</v>
      </c>
      <c r="L269" s="168">
        <f>SUM(L264:L268)</f>
        <v>12800</v>
      </c>
      <c r="M269" s="168">
        <f>SUM(M264:M268)</f>
        <v>0</v>
      </c>
      <c r="N269" s="171"/>
      <c r="O269" s="168">
        <f t="shared" ref="O269:Y269" si="109">SUM(O264:O268)</f>
        <v>68801</v>
      </c>
      <c r="P269" s="168">
        <f t="shared" si="109"/>
        <v>0</v>
      </c>
      <c r="Q269" s="168">
        <f t="shared" si="109"/>
        <v>0</v>
      </c>
      <c r="R269" s="168">
        <f t="shared" si="109"/>
        <v>0</v>
      </c>
      <c r="S269" s="168">
        <f t="shared" si="109"/>
        <v>0</v>
      </c>
      <c r="T269" s="168">
        <f t="shared" si="109"/>
        <v>80000</v>
      </c>
      <c r="U269" s="168">
        <f t="shared" si="109"/>
        <v>0</v>
      </c>
      <c r="V269" s="168">
        <f t="shared" si="109"/>
        <v>80000</v>
      </c>
      <c r="W269" s="168">
        <f t="shared" si="109"/>
        <v>0</v>
      </c>
      <c r="X269" s="168">
        <f t="shared" si="109"/>
        <v>0</v>
      </c>
      <c r="Y269" s="168">
        <f t="shared" si="109"/>
        <v>0</v>
      </c>
    </row>
    <row r="270" spans="1:25" ht="15.75" outlineLevel="1" thickTop="1" x14ac:dyDescent="0.25">
      <c r="C270" s="11"/>
      <c r="K270" s="169"/>
      <c r="L270" s="169"/>
      <c r="M270" s="169"/>
      <c r="N270" s="172"/>
      <c r="O270" s="169"/>
      <c r="P270" s="169"/>
      <c r="Q270" s="169"/>
      <c r="R270" s="169"/>
      <c r="S270" s="169"/>
      <c r="T270" s="169"/>
      <c r="U270" s="169"/>
      <c r="V270" s="169"/>
      <c r="W270" s="169"/>
      <c r="X270" s="169"/>
      <c r="Y270" s="169"/>
    </row>
    <row r="271" spans="1:25" outlineLevel="1" x14ac:dyDescent="0.25">
      <c r="A271" s="114" t="str">
        <f>B271&amp;D271&amp;F271&amp;G271</f>
        <v>Parks, Recreation &amp; LibrariesSocial ServicesSocial Services VanGF</v>
      </c>
      <c r="B271" s="11" t="s">
        <v>366</v>
      </c>
      <c r="C271" s="11">
        <v>54</v>
      </c>
      <c r="D271" s="11" t="s">
        <v>693</v>
      </c>
      <c r="F271" s="197" t="s">
        <v>692</v>
      </c>
      <c r="G271" s="11" t="s">
        <v>16</v>
      </c>
      <c r="H271" s="11" t="s">
        <v>531</v>
      </c>
      <c r="I271" s="11" t="s">
        <v>562</v>
      </c>
      <c r="K271" s="169"/>
      <c r="L271" s="169">
        <v>15000</v>
      </c>
      <c r="M271" s="169"/>
      <c r="N271" s="172"/>
      <c r="O271" s="169"/>
      <c r="P271" s="169"/>
      <c r="Q271" s="169"/>
      <c r="R271" s="169"/>
      <c r="S271" s="169"/>
      <c r="T271" s="169">
        <f t="shared" ref="T271" si="110">SUM(U271:Y271)</f>
        <v>0</v>
      </c>
      <c r="U271" s="169"/>
      <c r="V271" s="169"/>
      <c r="W271" s="169"/>
      <c r="X271" s="169"/>
      <c r="Y271" s="169"/>
    </row>
    <row r="272" spans="1:25" ht="15.75" outlineLevel="1" thickBot="1" x14ac:dyDescent="0.3">
      <c r="C272" s="11"/>
      <c r="K272" s="168">
        <f>SUM(K271:K271)</f>
        <v>0</v>
      </c>
      <c r="L272" s="168">
        <f>SUM(L271:L271)</f>
        <v>15000</v>
      </c>
      <c r="M272" s="168">
        <f>SUM(M271:M271)</f>
        <v>0</v>
      </c>
      <c r="N272" s="171"/>
      <c r="O272" s="168">
        <f t="shared" ref="O272:Y272" si="111">SUM(O271:O271)</f>
        <v>0</v>
      </c>
      <c r="P272" s="168">
        <f t="shared" si="111"/>
        <v>0</v>
      </c>
      <c r="Q272" s="168">
        <f t="shared" si="111"/>
        <v>0</v>
      </c>
      <c r="R272" s="168">
        <f t="shared" si="111"/>
        <v>0</v>
      </c>
      <c r="S272" s="168">
        <f t="shared" si="111"/>
        <v>0</v>
      </c>
      <c r="T272" s="168">
        <f t="shared" si="111"/>
        <v>0</v>
      </c>
      <c r="U272" s="168">
        <f t="shared" si="111"/>
        <v>0</v>
      </c>
      <c r="V272" s="168">
        <f t="shared" si="111"/>
        <v>0</v>
      </c>
      <c r="W272" s="168">
        <f t="shared" si="111"/>
        <v>0</v>
      </c>
      <c r="X272" s="168">
        <f t="shared" si="111"/>
        <v>0</v>
      </c>
      <c r="Y272" s="168">
        <f t="shared" si="111"/>
        <v>0</v>
      </c>
    </row>
    <row r="273" spans="1:28" ht="15.75" thickTop="1" x14ac:dyDescent="0.25">
      <c r="C273" s="11"/>
      <c r="K273" s="169"/>
      <c r="L273" s="169"/>
      <c r="M273" s="169"/>
      <c r="N273" s="172"/>
      <c r="O273" s="169"/>
      <c r="P273" s="169"/>
      <c r="Q273" s="169"/>
      <c r="R273" s="169"/>
      <c r="S273" s="169"/>
      <c r="T273" s="169"/>
      <c r="U273" s="169"/>
      <c r="V273" s="169"/>
      <c r="W273" s="169"/>
      <c r="X273" s="169"/>
      <c r="Y273" s="169"/>
    </row>
    <row r="274" spans="1:28" x14ac:dyDescent="0.25">
      <c r="A274" s="114" t="str">
        <f t="shared" ref="A274" si="112">B274&amp;D274&amp;F274&amp;G274</f>
        <v>SchoolsSchoolsParking Lot - GriswoldTAR</v>
      </c>
      <c r="B274" s="11" t="s">
        <v>1</v>
      </c>
      <c r="C274" s="11">
        <v>61</v>
      </c>
      <c r="D274" s="11" t="s">
        <v>1</v>
      </c>
      <c r="F274" s="197" t="s">
        <v>699</v>
      </c>
      <c r="G274" s="11" t="s">
        <v>858</v>
      </c>
      <c r="H274" s="11" t="s">
        <v>531</v>
      </c>
      <c r="I274" s="11" t="s">
        <v>539</v>
      </c>
      <c r="K274" s="169"/>
      <c r="L274" s="169"/>
      <c r="M274" s="169">
        <v>130000</v>
      </c>
      <c r="N274" s="172"/>
      <c r="O274" s="169"/>
      <c r="P274" s="169"/>
      <c r="Q274" s="169"/>
      <c r="R274" s="169"/>
      <c r="S274" s="169"/>
      <c r="T274" s="169">
        <f t="shared" ref="T274:T337" si="113">SUM(U274:Y274)</f>
        <v>0</v>
      </c>
      <c r="U274" s="169"/>
      <c r="V274" s="169"/>
      <c r="W274" s="169"/>
      <c r="X274" s="169"/>
      <c r="Y274" s="169"/>
    </row>
    <row r="275" spans="1:28" x14ac:dyDescent="0.25">
      <c r="A275" s="114" t="str">
        <f t="shared" ref="A275:A338" si="114">B275&amp;D275&amp;F275&amp;G275</f>
        <v>SchoolsSchoolsParking Lot - WillardLoCIP</v>
      </c>
      <c r="B275" s="11" t="s">
        <v>1</v>
      </c>
      <c r="C275" s="11">
        <v>61</v>
      </c>
      <c r="D275" s="11" t="s">
        <v>1</v>
      </c>
      <c r="F275" s="197" t="s">
        <v>700</v>
      </c>
      <c r="G275" s="11" t="s">
        <v>37</v>
      </c>
      <c r="H275" s="11" t="s">
        <v>531</v>
      </c>
      <c r="I275" s="11" t="s">
        <v>539</v>
      </c>
      <c r="K275" s="169"/>
      <c r="L275" s="169"/>
      <c r="M275" s="169"/>
      <c r="N275" s="172"/>
      <c r="O275" s="169"/>
      <c r="P275" s="169">
        <v>200000</v>
      </c>
      <c r="Q275" s="169"/>
      <c r="R275" s="169"/>
      <c r="S275" s="169"/>
      <c r="T275" s="169">
        <f t="shared" si="113"/>
        <v>0</v>
      </c>
      <c r="U275" s="169"/>
      <c r="V275" s="169"/>
      <c r="W275" s="169"/>
      <c r="X275" s="169"/>
      <c r="Y275" s="169"/>
    </row>
    <row r="276" spans="1:28" x14ac:dyDescent="0.25">
      <c r="A276" s="114" t="str">
        <f t="shared" si="114"/>
        <v>SchoolsSchoolsParking Lot - HubbardGF</v>
      </c>
      <c r="B276" s="11" t="s">
        <v>1</v>
      </c>
      <c r="C276" s="11">
        <v>61</v>
      </c>
      <c r="D276" s="11" t="s">
        <v>1</v>
      </c>
      <c r="F276" s="197" t="s">
        <v>701</v>
      </c>
      <c r="G276" s="11" t="s">
        <v>16</v>
      </c>
      <c r="H276" s="11" t="s">
        <v>531</v>
      </c>
      <c r="I276" s="11" t="s">
        <v>539</v>
      </c>
      <c r="K276" s="169"/>
      <c r="L276" s="169"/>
      <c r="M276" s="169"/>
      <c r="N276" s="172"/>
      <c r="O276" s="169"/>
      <c r="P276" s="169"/>
      <c r="T276" s="169">
        <f t="shared" si="113"/>
        <v>350000</v>
      </c>
      <c r="U276" s="169"/>
      <c r="V276" s="169">
        <v>350000</v>
      </c>
      <c r="W276" s="169"/>
      <c r="X276" s="169"/>
      <c r="Y276" s="169"/>
      <c r="Z276" s="169"/>
      <c r="AA276" s="169"/>
      <c r="AB276" s="169"/>
    </row>
    <row r="277" spans="1:28" x14ac:dyDescent="0.25">
      <c r="A277" s="114" t="str">
        <f t="shared" si="114"/>
        <v>SchoolsSchoolsParking Lot - McGeeGF</v>
      </c>
      <c r="B277" s="11" t="s">
        <v>1</v>
      </c>
      <c r="C277" s="11">
        <v>61</v>
      </c>
      <c r="D277" s="11" t="s">
        <v>1</v>
      </c>
      <c r="F277" s="197" t="s">
        <v>702</v>
      </c>
      <c r="G277" s="11" t="s">
        <v>16</v>
      </c>
      <c r="H277" s="11" t="s">
        <v>531</v>
      </c>
      <c r="I277" s="11" t="s">
        <v>539</v>
      </c>
      <c r="K277" s="169"/>
      <c r="L277" s="169"/>
      <c r="M277" s="169"/>
      <c r="N277" s="172"/>
      <c r="O277" s="169"/>
      <c r="P277" s="169"/>
      <c r="T277" s="169">
        <f t="shared" si="113"/>
        <v>550000</v>
      </c>
      <c r="U277" s="169"/>
      <c r="V277" s="169"/>
      <c r="W277" s="169"/>
      <c r="X277" s="169">
        <v>550000</v>
      </c>
      <c r="Y277" s="169"/>
      <c r="Z277" s="169"/>
      <c r="AA277" s="169"/>
      <c r="AB277" s="169"/>
    </row>
    <row r="278" spans="1:28" x14ac:dyDescent="0.25">
      <c r="A278" s="114" t="str">
        <f t="shared" si="114"/>
        <v>SchoolsSchoolsParking Lot - BHSGF</v>
      </c>
      <c r="B278" s="11" t="s">
        <v>1</v>
      </c>
      <c r="C278" s="11">
        <v>61</v>
      </c>
      <c r="D278" s="11" t="s">
        <v>1</v>
      </c>
      <c r="F278" s="197" t="s">
        <v>733</v>
      </c>
      <c r="G278" s="11" t="s">
        <v>16</v>
      </c>
      <c r="H278" s="11" t="s">
        <v>531</v>
      </c>
      <c r="I278" s="11" t="s">
        <v>539</v>
      </c>
      <c r="K278" s="169"/>
      <c r="L278" s="169"/>
      <c r="M278" s="169"/>
      <c r="N278" s="172"/>
      <c r="O278" s="169"/>
      <c r="P278" s="169"/>
      <c r="T278" s="169">
        <f t="shared" si="113"/>
        <v>1100000</v>
      </c>
      <c r="U278" s="169"/>
      <c r="V278" s="169"/>
      <c r="W278" s="169"/>
      <c r="X278" s="169"/>
      <c r="Y278" s="169">
        <v>1100000</v>
      </c>
      <c r="Z278" s="169"/>
      <c r="AA278" s="169"/>
      <c r="AB278" s="169"/>
    </row>
    <row r="279" spans="1:28" x14ac:dyDescent="0.25">
      <c r="A279" s="114" t="str">
        <f t="shared" si="114"/>
        <v>SchoolsSchoolsSidewalks - HubbardGF</v>
      </c>
      <c r="B279" s="11" t="s">
        <v>1</v>
      </c>
      <c r="C279" s="11">
        <v>61</v>
      </c>
      <c r="D279" s="11" t="s">
        <v>1</v>
      </c>
      <c r="F279" s="197" t="s">
        <v>728</v>
      </c>
      <c r="G279" s="11" t="s">
        <v>16</v>
      </c>
      <c r="H279" s="11" t="s">
        <v>531</v>
      </c>
      <c r="I279" s="11" t="s">
        <v>537</v>
      </c>
      <c r="K279" s="169"/>
      <c r="L279" s="169"/>
      <c r="M279" s="169"/>
      <c r="N279" s="172"/>
      <c r="O279" s="169"/>
      <c r="P279" s="169"/>
      <c r="T279" s="169">
        <f t="shared" si="113"/>
        <v>125000</v>
      </c>
      <c r="U279" s="169"/>
      <c r="V279" s="169">
        <v>125000</v>
      </c>
      <c r="W279" s="169"/>
      <c r="X279" s="169"/>
      <c r="Y279" s="169"/>
      <c r="Z279" s="169"/>
      <c r="AA279" s="169"/>
      <c r="AB279" s="169"/>
    </row>
    <row r="280" spans="1:28" x14ac:dyDescent="0.25">
      <c r="A280" s="114" t="str">
        <f t="shared" si="114"/>
        <v>SchoolsSchoolsSidewalks - WillardGF</v>
      </c>
      <c r="B280" s="11" t="s">
        <v>1</v>
      </c>
      <c r="C280" s="11">
        <v>61</v>
      </c>
      <c r="D280" s="11" t="s">
        <v>1</v>
      </c>
      <c r="F280" s="197" t="s">
        <v>729</v>
      </c>
      <c r="G280" s="11" t="s">
        <v>16</v>
      </c>
      <c r="H280" s="11" t="s">
        <v>531</v>
      </c>
      <c r="I280" s="11" t="s">
        <v>537</v>
      </c>
      <c r="K280" s="169"/>
      <c r="L280" s="169"/>
      <c r="M280" s="169"/>
      <c r="N280" s="172"/>
      <c r="O280" s="169"/>
      <c r="P280" s="169">
        <v>125000</v>
      </c>
      <c r="T280" s="169">
        <f t="shared" si="113"/>
        <v>0</v>
      </c>
      <c r="U280" s="169"/>
      <c r="V280" s="169"/>
      <c r="W280" s="169"/>
      <c r="X280" s="169"/>
      <c r="Y280" s="169"/>
      <c r="Z280" s="169"/>
      <c r="AA280" s="169"/>
      <c r="AB280" s="169"/>
    </row>
    <row r="281" spans="1:28" x14ac:dyDescent="0.25">
      <c r="A281" s="114" t="str">
        <f t="shared" si="114"/>
        <v>SchoolsSchoolsSidewalks - GriswoldLoCIP</v>
      </c>
      <c r="B281" s="11" t="s">
        <v>1</v>
      </c>
      <c r="C281" s="11">
        <v>61</v>
      </c>
      <c r="D281" s="11" t="s">
        <v>1</v>
      </c>
      <c r="F281" s="197" t="s">
        <v>730</v>
      </c>
      <c r="G281" s="11" t="s">
        <v>37</v>
      </c>
      <c r="H281" s="11" t="s">
        <v>531</v>
      </c>
      <c r="I281" s="11" t="s">
        <v>537</v>
      </c>
      <c r="K281" s="169"/>
      <c r="L281" s="169"/>
      <c r="M281" s="169"/>
      <c r="N281" s="172"/>
      <c r="O281" s="169"/>
      <c r="P281" s="169"/>
      <c r="T281" s="169">
        <f t="shared" si="113"/>
        <v>125000</v>
      </c>
      <c r="U281" s="169"/>
      <c r="V281" s="169">
        <v>125000</v>
      </c>
      <c r="W281" s="169"/>
      <c r="X281" s="169"/>
      <c r="Y281" s="169"/>
      <c r="Z281" s="169"/>
      <c r="AA281" s="169"/>
      <c r="AB281" s="169"/>
    </row>
    <row r="282" spans="1:28" x14ac:dyDescent="0.25">
      <c r="A282" s="114" t="str">
        <f t="shared" si="114"/>
        <v>SchoolsSchoolsSidewalks - McGeeLoCIP</v>
      </c>
      <c r="B282" s="11" t="s">
        <v>1</v>
      </c>
      <c r="C282" s="11">
        <v>61</v>
      </c>
      <c r="D282" s="11" t="s">
        <v>1</v>
      </c>
      <c r="F282" s="197" t="s">
        <v>731</v>
      </c>
      <c r="G282" s="11" t="s">
        <v>37</v>
      </c>
      <c r="H282" s="11" t="s">
        <v>531</v>
      </c>
      <c r="I282" s="11" t="s">
        <v>537</v>
      </c>
      <c r="K282" s="169"/>
      <c r="L282" s="169"/>
      <c r="M282" s="169"/>
      <c r="N282" s="172"/>
      <c r="O282" s="169"/>
      <c r="P282" s="169"/>
      <c r="T282" s="169">
        <f t="shared" si="113"/>
        <v>125000</v>
      </c>
      <c r="U282" s="169">
        <v>125000</v>
      </c>
      <c r="V282" s="169"/>
      <c r="W282" s="169"/>
      <c r="X282" s="169"/>
      <c r="Y282" s="169"/>
      <c r="Z282" s="169"/>
      <c r="AA282" s="169"/>
      <c r="AB282" s="169"/>
    </row>
    <row r="283" spans="1:28" x14ac:dyDescent="0.25">
      <c r="A283" s="114" t="str">
        <f t="shared" si="114"/>
        <v>SchoolsSchoolsSidewalks - BHSGF</v>
      </c>
      <c r="B283" s="11" t="s">
        <v>1</v>
      </c>
      <c r="C283" s="11">
        <v>61</v>
      </c>
      <c r="D283" s="11" t="s">
        <v>1</v>
      </c>
      <c r="F283" s="197" t="s">
        <v>732</v>
      </c>
      <c r="G283" s="11" t="s">
        <v>16</v>
      </c>
      <c r="H283" s="11" t="s">
        <v>531</v>
      </c>
      <c r="I283" s="11" t="s">
        <v>537</v>
      </c>
      <c r="K283" s="169"/>
      <c r="L283" s="169"/>
      <c r="M283" s="169"/>
      <c r="N283" s="172"/>
      <c r="O283" s="169"/>
      <c r="P283" s="169"/>
      <c r="T283" s="169">
        <f t="shared" si="113"/>
        <v>250000</v>
      </c>
      <c r="U283" s="169"/>
      <c r="V283" s="169"/>
      <c r="W283" s="169">
        <v>250000</v>
      </c>
      <c r="X283" s="169"/>
      <c r="Y283" s="169"/>
      <c r="Z283" s="169"/>
      <c r="AA283" s="169"/>
      <c r="AB283" s="169"/>
    </row>
    <row r="284" spans="1:28" x14ac:dyDescent="0.25">
      <c r="A284" s="114" t="str">
        <f t="shared" si="114"/>
        <v>SchoolsSchoolsMasonry Repointing - BHSGF</v>
      </c>
      <c r="B284" s="11" t="s">
        <v>1</v>
      </c>
      <c r="C284" s="11">
        <v>61</v>
      </c>
      <c r="D284" s="11" t="s">
        <v>1</v>
      </c>
      <c r="F284" s="197" t="s">
        <v>705</v>
      </c>
      <c r="G284" s="11" t="s">
        <v>16</v>
      </c>
      <c r="H284" s="11" t="s">
        <v>531</v>
      </c>
      <c r="I284" s="11" t="s">
        <v>537</v>
      </c>
      <c r="K284" s="169"/>
      <c r="L284" s="169"/>
      <c r="M284" s="169"/>
      <c r="N284" s="172"/>
      <c r="O284" s="169"/>
      <c r="P284" s="169"/>
      <c r="T284" s="169">
        <f t="shared" si="113"/>
        <v>100000</v>
      </c>
      <c r="U284" s="169"/>
      <c r="V284" s="169"/>
      <c r="W284" s="169"/>
      <c r="X284" s="169"/>
      <c r="Y284" s="169">
        <v>100000</v>
      </c>
      <c r="Z284" s="169"/>
      <c r="AA284" s="169"/>
      <c r="AB284" s="169"/>
    </row>
    <row r="285" spans="1:28" x14ac:dyDescent="0.25">
      <c r="A285" s="114" t="str">
        <f t="shared" si="114"/>
        <v>SchoolsSchoolsMasonry Repointing - McGeeGF</v>
      </c>
      <c r="B285" s="11" t="s">
        <v>1</v>
      </c>
      <c r="C285" s="11">
        <v>61</v>
      </c>
      <c r="D285" s="11" t="s">
        <v>1</v>
      </c>
      <c r="F285" s="197" t="s">
        <v>714</v>
      </c>
      <c r="G285" s="11" t="s">
        <v>16</v>
      </c>
      <c r="H285" s="11" t="s">
        <v>531</v>
      </c>
      <c r="I285" s="11" t="s">
        <v>537</v>
      </c>
      <c r="K285" s="169"/>
      <c r="L285" s="169"/>
      <c r="M285" s="169"/>
      <c r="N285" s="172"/>
      <c r="O285" s="169"/>
      <c r="P285" s="169"/>
      <c r="T285" s="169">
        <f t="shared" si="113"/>
        <v>100000</v>
      </c>
      <c r="U285" s="169"/>
      <c r="V285" s="169"/>
      <c r="W285" s="169"/>
      <c r="X285" s="169"/>
      <c r="Y285" s="169">
        <v>100000</v>
      </c>
      <c r="Z285" s="169"/>
      <c r="AA285" s="169"/>
      <c r="AB285" s="169"/>
    </row>
    <row r="286" spans="1:28" x14ac:dyDescent="0.25">
      <c r="A286" s="114" t="str">
        <f t="shared" si="114"/>
        <v>SchoolsSchoolsMasonry Repointing - WillardGF</v>
      </c>
      <c r="B286" s="11" t="s">
        <v>1</v>
      </c>
      <c r="C286" s="11">
        <v>61</v>
      </c>
      <c r="D286" s="11" t="s">
        <v>1</v>
      </c>
      <c r="F286" s="197" t="s">
        <v>718</v>
      </c>
      <c r="G286" s="11" t="s">
        <v>16</v>
      </c>
      <c r="H286" s="11" t="s">
        <v>531</v>
      </c>
      <c r="I286" s="11" t="s">
        <v>537</v>
      </c>
      <c r="K286" s="169"/>
      <c r="L286" s="169"/>
      <c r="M286" s="169"/>
      <c r="N286" s="172"/>
      <c r="O286" s="169"/>
      <c r="P286" s="169"/>
      <c r="T286" s="169">
        <f t="shared" si="113"/>
        <v>50000</v>
      </c>
      <c r="U286" s="169"/>
      <c r="V286" s="169">
        <v>50000</v>
      </c>
      <c r="W286" s="169"/>
      <c r="X286" s="169"/>
      <c r="Y286" s="169"/>
      <c r="Z286" s="169"/>
      <c r="AA286" s="169"/>
      <c r="AB286" s="169"/>
    </row>
    <row r="287" spans="1:28" x14ac:dyDescent="0.25">
      <c r="A287" s="114" t="str">
        <f t="shared" si="114"/>
        <v>SchoolsSchoolsMasonry Repointing - HubbardGF</v>
      </c>
      <c r="B287" s="11" t="s">
        <v>1</v>
      </c>
      <c r="C287" s="11">
        <v>61</v>
      </c>
      <c r="D287" s="11" t="s">
        <v>1</v>
      </c>
      <c r="F287" s="197" t="s">
        <v>719</v>
      </c>
      <c r="G287" s="11" t="s">
        <v>16</v>
      </c>
      <c r="H287" s="11" t="s">
        <v>531</v>
      </c>
      <c r="I287" s="11" t="s">
        <v>537</v>
      </c>
      <c r="K287" s="169"/>
      <c r="L287" s="169"/>
      <c r="M287" s="169"/>
      <c r="N287" s="172"/>
      <c r="O287" s="169"/>
      <c r="P287" s="169"/>
      <c r="T287" s="169">
        <f t="shared" si="113"/>
        <v>75000</v>
      </c>
      <c r="U287" s="169"/>
      <c r="V287" s="169"/>
      <c r="W287" s="169"/>
      <c r="X287" s="169"/>
      <c r="Y287" s="169">
        <v>75000</v>
      </c>
      <c r="Z287" s="169"/>
      <c r="AA287" s="169"/>
      <c r="AB287" s="169"/>
    </row>
    <row r="288" spans="1:28" x14ac:dyDescent="0.25">
      <c r="A288" s="114" t="str">
        <f t="shared" si="114"/>
        <v>SchoolsSchoolsMasonry Repointing - GriswoldGF</v>
      </c>
      <c r="B288" s="11" t="s">
        <v>1</v>
      </c>
      <c r="C288" s="11">
        <v>61</v>
      </c>
      <c r="D288" s="11" t="s">
        <v>1</v>
      </c>
      <c r="F288" s="197" t="s">
        <v>727</v>
      </c>
      <c r="G288" s="11" t="s">
        <v>16</v>
      </c>
      <c r="H288" s="11" t="s">
        <v>531</v>
      </c>
      <c r="I288" s="11" t="s">
        <v>537</v>
      </c>
      <c r="K288" s="169"/>
      <c r="L288" s="169"/>
      <c r="M288" s="169"/>
      <c r="N288" s="172"/>
      <c r="O288" s="169"/>
      <c r="P288" s="169"/>
      <c r="T288" s="169">
        <f t="shared" si="113"/>
        <v>100000</v>
      </c>
      <c r="U288" s="169"/>
      <c r="V288" s="169">
        <v>100000</v>
      </c>
      <c r="W288" s="169"/>
      <c r="X288" s="169"/>
      <c r="Y288" s="169"/>
      <c r="Z288" s="169"/>
      <c r="AA288" s="169"/>
      <c r="AB288" s="169"/>
    </row>
    <row r="289" spans="1:28" x14ac:dyDescent="0.25">
      <c r="A289" s="114" t="str">
        <f t="shared" si="114"/>
        <v>SchoolsSchoolsDoors &amp; Hardware - BHSGF</v>
      </c>
      <c r="B289" s="11" t="s">
        <v>1</v>
      </c>
      <c r="C289" s="11">
        <v>61</v>
      </c>
      <c r="D289" s="11" t="s">
        <v>1</v>
      </c>
      <c r="F289" s="197" t="s">
        <v>706</v>
      </c>
      <c r="G289" s="11" t="s">
        <v>16</v>
      </c>
      <c r="H289" s="11" t="s">
        <v>531</v>
      </c>
      <c r="I289" s="11" t="s">
        <v>537</v>
      </c>
      <c r="K289" s="169"/>
      <c r="L289" s="169"/>
      <c r="M289" s="169"/>
      <c r="N289" s="172"/>
      <c r="O289" s="169"/>
      <c r="P289" s="169"/>
      <c r="T289" s="169">
        <f t="shared" si="113"/>
        <v>50000</v>
      </c>
      <c r="U289" s="169"/>
      <c r="V289" s="169"/>
      <c r="W289" s="169"/>
      <c r="X289" s="169"/>
      <c r="Y289" s="169">
        <v>50000</v>
      </c>
      <c r="Z289" s="169"/>
      <c r="AA289" s="169"/>
      <c r="AB289" s="169"/>
    </row>
    <row r="290" spans="1:28" x14ac:dyDescent="0.25">
      <c r="A290" s="114" t="str">
        <f t="shared" si="114"/>
        <v>SchoolsSchoolsDoors &amp; Hardware - WillardGF</v>
      </c>
      <c r="B290" s="11" t="s">
        <v>1</v>
      </c>
      <c r="C290" s="11">
        <v>61</v>
      </c>
      <c r="D290" s="11" t="s">
        <v>1</v>
      </c>
      <c r="F290" s="197" t="s">
        <v>717</v>
      </c>
      <c r="G290" s="11" t="s">
        <v>16</v>
      </c>
      <c r="H290" s="11" t="s">
        <v>531</v>
      </c>
      <c r="I290" s="11" t="s">
        <v>537</v>
      </c>
      <c r="K290" s="169"/>
      <c r="L290" s="169"/>
      <c r="M290" s="169"/>
      <c r="N290" s="172"/>
      <c r="O290" s="169"/>
      <c r="P290" s="169"/>
      <c r="T290" s="169">
        <f t="shared" si="113"/>
        <v>25000</v>
      </c>
      <c r="U290" s="169"/>
      <c r="V290" s="169"/>
      <c r="W290" s="169">
        <v>25000</v>
      </c>
      <c r="X290" s="169"/>
      <c r="Y290" s="169"/>
      <c r="Z290" s="169"/>
      <c r="AA290" s="169"/>
      <c r="AB290" s="169"/>
    </row>
    <row r="291" spans="1:28" x14ac:dyDescent="0.25">
      <c r="A291" s="114" t="str">
        <f t="shared" si="114"/>
        <v>SchoolsSchoolsDoors &amp; Hardware - HubbardGF</v>
      </c>
      <c r="B291" s="11" t="s">
        <v>1</v>
      </c>
      <c r="C291" s="11">
        <v>61</v>
      </c>
      <c r="D291" s="11" t="s">
        <v>1</v>
      </c>
      <c r="F291" s="197" t="s">
        <v>721</v>
      </c>
      <c r="G291" s="11" t="s">
        <v>16</v>
      </c>
      <c r="H291" s="11" t="s">
        <v>531</v>
      </c>
      <c r="I291" s="11" t="s">
        <v>537</v>
      </c>
      <c r="K291" s="169"/>
      <c r="L291" s="169"/>
      <c r="M291" s="169"/>
      <c r="N291" s="172"/>
      <c r="O291" s="169"/>
      <c r="P291" s="169"/>
      <c r="T291" s="169">
        <f t="shared" si="113"/>
        <v>25000</v>
      </c>
      <c r="U291" s="169"/>
      <c r="V291" s="169"/>
      <c r="W291" s="169">
        <v>25000</v>
      </c>
      <c r="X291" s="169"/>
      <c r="Y291" s="169"/>
      <c r="Z291" s="169"/>
      <c r="AA291" s="169"/>
      <c r="AB291" s="169"/>
    </row>
    <row r="292" spans="1:28" x14ac:dyDescent="0.25">
      <c r="A292" s="114" t="str">
        <f t="shared" si="114"/>
        <v>SchoolsSchoolsDoors &amp; Hardware - GriswoldGF</v>
      </c>
      <c r="B292" s="11" t="s">
        <v>1</v>
      </c>
      <c r="C292" s="11">
        <v>61</v>
      </c>
      <c r="D292" s="11" t="s">
        <v>1</v>
      </c>
      <c r="F292" s="197" t="s">
        <v>725</v>
      </c>
      <c r="G292" s="11" t="s">
        <v>16</v>
      </c>
      <c r="H292" s="11" t="s">
        <v>531</v>
      </c>
      <c r="I292" s="11" t="s">
        <v>537</v>
      </c>
      <c r="K292" s="169"/>
      <c r="L292" s="169"/>
      <c r="M292" s="169"/>
      <c r="N292" s="172"/>
      <c r="O292" s="169"/>
      <c r="P292" s="169"/>
      <c r="T292" s="169">
        <f t="shared" si="113"/>
        <v>25000</v>
      </c>
      <c r="U292" s="169"/>
      <c r="V292" s="169"/>
      <c r="W292" s="169"/>
      <c r="X292" s="169">
        <v>25000</v>
      </c>
      <c r="Y292" s="169"/>
      <c r="Z292" s="169"/>
      <c r="AA292" s="169"/>
      <c r="AB292" s="169"/>
    </row>
    <row r="293" spans="1:28" x14ac:dyDescent="0.25">
      <c r="A293" s="114" t="str">
        <f t="shared" si="114"/>
        <v>SchoolsSchoolsDoors &amp; Hardware - McGeeGF</v>
      </c>
      <c r="B293" s="11" t="s">
        <v>1</v>
      </c>
      <c r="C293" s="11">
        <v>61</v>
      </c>
      <c r="D293" s="11" t="s">
        <v>1</v>
      </c>
      <c r="F293" s="197" t="s">
        <v>734</v>
      </c>
      <c r="G293" s="11" t="s">
        <v>16</v>
      </c>
      <c r="H293" s="11" t="s">
        <v>531</v>
      </c>
      <c r="I293" s="11" t="s">
        <v>537</v>
      </c>
      <c r="K293" s="169"/>
      <c r="L293" s="169"/>
      <c r="M293" s="169"/>
      <c r="N293" s="172"/>
      <c r="O293" s="169"/>
      <c r="P293" s="169"/>
      <c r="T293" s="169">
        <f t="shared" si="113"/>
        <v>25000</v>
      </c>
      <c r="U293" s="169"/>
      <c r="V293" s="169"/>
      <c r="W293" s="169"/>
      <c r="X293" s="169">
        <v>25000</v>
      </c>
      <c r="Y293" s="169"/>
      <c r="Z293" s="169"/>
      <c r="AA293" s="169"/>
      <c r="AB293" s="169"/>
    </row>
    <row r="294" spans="1:28" x14ac:dyDescent="0.25">
      <c r="A294" s="114" t="str">
        <f t="shared" si="114"/>
        <v>SchoolsSchoolsPolice/Fire Radio Signals @ BHS - State Share (43.21%)Grants</v>
      </c>
      <c r="B294" s="11" t="s">
        <v>1</v>
      </c>
      <c r="C294" s="11">
        <v>61</v>
      </c>
      <c r="D294" s="11" t="s">
        <v>1</v>
      </c>
      <c r="F294" s="197" t="s">
        <v>574</v>
      </c>
      <c r="G294" s="11" t="s">
        <v>38</v>
      </c>
      <c r="H294" s="11" t="s">
        <v>531</v>
      </c>
      <c r="K294" s="169"/>
      <c r="L294" s="169">
        <f>200000*(0.4321)</f>
        <v>86420</v>
      </c>
      <c r="M294" s="169"/>
      <c r="N294" s="172"/>
      <c r="O294" s="169"/>
      <c r="P294" s="169"/>
      <c r="Q294" s="169"/>
      <c r="R294" s="169"/>
      <c r="S294" s="169"/>
      <c r="T294" s="169">
        <f t="shared" si="113"/>
        <v>0</v>
      </c>
      <c r="U294" s="169"/>
      <c r="V294" s="169"/>
      <c r="W294" s="169"/>
      <c r="X294" s="169"/>
      <c r="Y294" s="169"/>
    </row>
    <row r="295" spans="1:28" x14ac:dyDescent="0.25">
      <c r="A295" s="114" t="str">
        <f t="shared" si="114"/>
        <v>SchoolsSchoolsPolice/Fire Radio Signals @ BHS - Town Share (56.79%)GF</v>
      </c>
      <c r="B295" s="11" t="s">
        <v>1</v>
      </c>
      <c r="C295" s="11">
        <v>61</v>
      </c>
      <c r="D295" s="11" t="s">
        <v>1</v>
      </c>
      <c r="F295" s="197" t="s">
        <v>573</v>
      </c>
      <c r="G295" s="11" t="s">
        <v>16</v>
      </c>
      <c r="H295" s="11" t="s">
        <v>531</v>
      </c>
      <c r="K295" s="169"/>
      <c r="L295" s="169">
        <f>200000*(1-0.4321)</f>
        <v>113580.00000000001</v>
      </c>
      <c r="M295" s="169"/>
      <c r="N295" s="172"/>
      <c r="O295" s="169"/>
      <c r="P295" s="169"/>
      <c r="Q295" s="169"/>
      <c r="R295" s="169"/>
      <c r="S295" s="169"/>
      <c r="T295" s="169">
        <f t="shared" si="113"/>
        <v>0</v>
      </c>
      <c r="U295" s="169"/>
      <c r="V295" s="169"/>
      <c r="W295" s="169"/>
      <c r="X295" s="169"/>
      <c r="Y295" s="169"/>
    </row>
    <row r="296" spans="1:28" x14ac:dyDescent="0.25">
      <c r="A296" s="114" t="str">
        <f t="shared" si="114"/>
        <v>SchoolsSchoolsFire Alarm Upgrades - McGeeGF</v>
      </c>
      <c r="B296" s="11" t="s">
        <v>1</v>
      </c>
      <c r="C296" s="11">
        <v>61</v>
      </c>
      <c r="D296" s="11" t="s">
        <v>1</v>
      </c>
      <c r="F296" s="200" t="s">
        <v>200</v>
      </c>
      <c r="G296" s="123" t="s">
        <v>16</v>
      </c>
      <c r="H296" s="11" t="s">
        <v>531</v>
      </c>
      <c r="I296" s="220" t="s">
        <v>537</v>
      </c>
      <c r="K296" s="169"/>
      <c r="L296" s="169">
        <v>50000</v>
      </c>
      <c r="M296" s="169"/>
      <c r="N296" s="172"/>
      <c r="O296" s="169"/>
      <c r="P296" s="169"/>
      <c r="Q296" s="169"/>
      <c r="R296" s="169"/>
      <c r="S296" s="169"/>
      <c r="T296" s="169">
        <f t="shared" si="113"/>
        <v>0</v>
      </c>
      <c r="U296" s="169"/>
      <c r="V296" s="169"/>
      <c r="W296" s="169"/>
      <c r="X296" s="169"/>
      <c r="Y296" s="169"/>
    </row>
    <row r="297" spans="1:28" x14ac:dyDescent="0.25">
      <c r="A297" s="114" t="str">
        <f t="shared" si="114"/>
        <v>SchoolsSchoolsFire Alarm Upgrades - WillardGF</v>
      </c>
      <c r="B297" s="11" t="s">
        <v>1</v>
      </c>
      <c r="C297" s="11">
        <v>61</v>
      </c>
      <c r="D297" s="11" t="s">
        <v>1</v>
      </c>
      <c r="F297" s="197" t="s">
        <v>202</v>
      </c>
      <c r="G297" s="11" t="s">
        <v>16</v>
      </c>
      <c r="H297" s="11" t="s">
        <v>531</v>
      </c>
      <c r="I297" s="220" t="s">
        <v>537</v>
      </c>
      <c r="K297" s="169"/>
      <c r="L297" s="169"/>
      <c r="M297" s="169"/>
      <c r="N297" s="172"/>
      <c r="O297" s="169"/>
      <c r="P297" s="169">
        <v>150000</v>
      </c>
      <c r="Q297" s="169"/>
      <c r="R297" s="169"/>
      <c r="S297" s="169"/>
      <c r="T297" s="169">
        <f t="shared" si="113"/>
        <v>0</v>
      </c>
      <c r="U297" s="169"/>
      <c r="V297" s="169"/>
      <c r="W297" s="169"/>
      <c r="X297" s="169"/>
      <c r="Y297" s="169"/>
    </row>
    <row r="298" spans="1:28" x14ac:dyDescent="0.25">
      <c r="A298" s="114" t="str">
        <f t="shared" si="114"/>
        <v>SchoolsSchoolsFire Alarm Upgrades - GriswoldGF</v>
      </c>
      <c r="B298" s="11" t="s">
        <v>1</v>
      </c>
      <c r="C298" s="11">
        <v>61</v>
      </c>
      <c r="D298" s="11" t="s">
        <v>1</v>
      </c>
      <c r="F298" s="197" t="s">
        <v>203</v>
      </c>
      <c r="G298" s="11" t="s">
        <v>16</v>
      </c>
      <c r="H298" s="11" t="s">
        <v>531</v>
      </c>
      <c r="I298" s="11" t="s">
        <v>537</v>
      </c>
      <c r="K298" s="169"/>
      <c r="L298" s="169"/>
      <c r="M298" s="169"/>
      <c r="N298" s="172"/>
      <c r="O298" s="169"/>
      <c r="P298" s="169"/>
      <c r="Q298" s="169"/>
      <c r="R298" s="169">
        <v>150000</v>
      </c>
      <c r="S298" s="169"/>
      <c r="T298" s="169">
        <f t="shared" si="113"/>
        <v>0</v>
      </c>
      <c r="U298" s="169"/>
      <c r="V298" s="169"/>
      <c r="W298" s="169"/>
      <c r="X298" s="169"/>
      <c r="Y298" s="169"/>
    </row>
    <row r="299" spans="1:28" x14ac:dyDescent="0.25">
      <c r="A299" s="114" t="str">
        <f t="shared" si="114"/>
        <v>SchoolsSchoolsFire Alarm Upgrades - HubbardSurplus</v>
      </c>
      <c r="B299" s="11" t="s">
        <v>1</v>
      </c>
      <c r="C299" s="11">
        <v>61</v>
      </c>
      <c r="D299" s="11" t="s">
        <v>1</v>
      </c>
      <c r="F299" s="200" t="s">
        <v>201</v>
      </c>
      <c r="G299" s="123" t="s">
        <v>1036</v>
      </c>
      <c r="H299" s="11" t="s">
        <v>531</v>
      </c>
      <c r="I299" s="220" t="s">
        <v>537</v>
      </c>
      <c r="K299" s="169"/>
      <c r="L299" s="169"/>
      <c r="M299" s="169"/>
      <c r="N299" s="172"/>
      <c r="O299" s="169">
        <v>150000</v>
      </c>
      <c r="P299" s="169"/>
      <c r="Q299" s="169"/>
      <c r="R299" s="169"/>
      <c r="S299" s="169"/>
      <c r="T299" s="169">
        <f t="shared" si="113"/>
        <v>0</v>
      </c>
      <c r="U299" s="169"/>
      <c r="V299" s="169"/>
      <c r="W299" s="169"/>
      <c r="X299" s="169"/>
      <c r="Y299" s="169"/>
    </row>
    <row r="300" spans="1:28" x14ac:dyDescent="0.25">
      <c r="A300" s="114" t="str">
        <f t="shared" si="114"/>
        <v>SchoolsSchoolsClean up wiring at McGee - site &amp; buildingGF</v>
      </c>
      <c r="B300" s="11" t="s">
        <v>1</v>
      </c>
      <c r="C300" s="11">
        <v>61</v>
      </c>
      <c r="D300" s="11" t="s">
        <v>1</v>
      </c>
      <c r="F300" s="200" t="s">
        <v>510</v>
      </c>
      <c r="G300" s="123" t="s">
        <v>16</v>
      </c>
      <c r="H300" s="11" t="s">
        <v>531</v>
      </c>
      <c r="K300" s="169"/>
      <c r="L300" s="169">
        <v>50000</v>
      </c>
      <c r="M300" s="169"/>
      <c r="N300" s="172"/>
      <c r="O300" s="169"/>
      <c r="P300" s="169"/>
      <c r="Q300" s="169"/>
      <c r="R300" s="169"/>
      <c r="S300" s="169"/>
      <c r="T300" s="169">
        <f t="shared" si="113"/>
        <v>0</v>
      </c>
      <c r="U300" s="169"/>
      <c r="V300" s="169"/>
      <c r="W300" s="169"/>
      <c r="X300" s="169"/>
      <c r="Y300" s="169"/>
    </row>
    <row r="301" spans="1:28" x14ac:dyDescent="0.25">
      <c r="A301" s="114" t="str">
        <f t="shared" si="114"/>
        <v>SchoolsSchoolsVans - capitalGF</v>
      </c>
      <c r="B301" s="11" t="s">
        <v>1</v>
      </c>
      <c r="C301" s="11">
        <v>61</v>
      </c>
      <c r="D301" s="11" t="s">
        <v>1</v>
      </c>
      <c r="F301" s="197" t="s">
        <v>506</v>
      </c>
      <c r="G301" s="11" t="s">
        <v>16</v>
      </c>
      <c r="H301" s="11" t="s">
        <v>522</v>
      </c>
      <c r="K301" s="169">
        <v>38950</v>
      </c>
      <c r="L301" s="169">
        <f>97631-32000</f>
        <v>65631</v>
      </c>
      <c r="M301" s="169">
        <f>(22294*2+32000)*0</f>
        <v>0</v>
      </c>
      <c r="N301" s="172"/>
      <c r="O301" s="169">
        <f>-110000*0</f>
        <v>0</v>
      </c>
      <c r="P301" s="169">
        <v>110000</v>
      </c>
      <c r="Q301" s="169">
        <v>110000</v>
      </c>
      <c r="R301" s="169">
        <v>110000</v>
      </c>
      <c r="S301" s="169">
        <v>110000</v>
      </c>
      <c r="T301" s="169">
        <f t="shared" si="113"/>
        <v>550000</v>
      </c>
      <c r="U301" s="169">
        <v>110000</v>
      </c>
      <c r="V301" s="169">
        <v>110000</v>
      </c>
      <c r="W301" s="169">
        <v>110000</v>
      </c>
      <c r="X301" s="169">
        <v>110000</v>
      </c>
      <c r="Y301" s="169">
        <v>110000</v>
      </c>
    </row>
    <row r="302" spans="1:28" x14ac:dyDescent="0.25">
      <c r="A302" s="114" t="str">
        <f t="shared" si="114"/>
        <v>SchoolsSchoolsSecurity VehicleGF</v>
      </c>
      <c r="B302" s="11" t="s">
        <v>1</v>
      </c>
      <c r="C302" s="11">
        <v>61</v>
      </c>
      <c r="D302" s="11" t="s">
        <v>1</v>
      </c>
      <c r="F302" s="273" t="s">
        <v>925</v>
      </c>
      <c r="G302" s="11" t="s">
        <v>16</v>
      </c>
      <c r="K302" s="169"/>
      <c r="L302" s="169"/>
      <c r="M302" s="169"/>
      <c r="N302" s="172"/>
      <c r="O302" s="169">
        <f>10000*0</f>
        <v>0</v>
      </c>
      <c r="P302" s="169"/>
      <c r="Q302" s="169"/>
      <c r="R302" s="169"/>
      <c r="S302" s="169"/>
      <c r="T302" s="169">
        <f t="shared" si="113"/>
        <v>0</v>
      </c>
      <c r="U302" s="169"/>
      <c r="V302" s="169"/>
      <c r="W302" s="169"/>
      <c r="X302" s="169"/>
      <c r="Y302" s="169"/>
    </row>
    <row r="303" spans="1:28" x14ac:dyDescent="0.25">
      <c r="A303" s="114" t="str">
        <f t="shared" si="114"/>
        <v>SchoolsSchoolsService Vehicles (2031) - capitalGF</v>
      </c>
      <c r="B303" s="11" t="s">
        <v>1</v>
      </c>
      <c r="C303" s="11">
        <v>61</v>
      </c>
      <c r="D303" s="11" t="s">
        <v>1</v>
      </c>
      <c r="F303" s="197" t="s">
        <v>507</v>
      </c>
      <c r="G303" s="11" t="s">
        <v>16</v>
      </c>
      <c r="H303" s="11" t="s">
        <v>531</v>
      </c>
      <c r="K303" s="169"/>
      <c r="L303" s="169"/>
      <c r="M303" s="169"/>
      <c r="N303" s="172"/>
      <c r="O303" s="169"/>
      <c r="P303" s="169"/>
      <c r="Q303" s="169"/>
      <c r="R303" s="169"/>
      <c r="S303" s="169"/>
      <c r="T303" s="169">
        <f t="shared" si="113"/>
        <v>0</v>
      </c>
      <c r="U303" s="169"/>
      <c r="V303" s="169"/>
      <c r="W303" s="169"/>
      <c r="X303" s="169"/>
      <c r="Y303" s="169"/>
    </row>
    <row r="304" spans="1:28" ht="30" x14ac:dyDescent="0.25">
      <c r="A304" s="114" t="str">
        <f t="shared" si="114"/>
        <v>SchoolsSchoolsBHS Track - Resurfacing (incl resurfacing, engineering ($6k) and surveying ($3k))LoCIP</v>
      </c>
      <c r="B304" s="11" t="s">
        <v>1</v>
      </c>
      <c r="C304" s="11">
        <v>61</v>
      </c>
      <c r="D304" s="11" t="s">
        <v>1</v>
      </c>
      <c r="F304" s="197" t="s">
        <v>697</v>
      </c>
      <c r="G304" s="11" t="s">
        <v>37</v>
      </c>
      <c r="H304" s="11" t="s">
        <v>531</v>
      </c>
      <c r="I304" s="11" t="s">
        <v>562</v>
      </c>
      <c r="K304" s="169"/>
      <c r="L304" s="169">
        <v>200000</v>
      </c>
      <c r="M304" s="169"/>
      <c r="N304" s="172"/>
      <c r="O304" s="169"/>
      <c r="P304" s="169"/>
      <c r="Q304" s="169"/>
      <c r="R304" s="169"/>
      <c r="S304" s="169"/>
      <c r="T304" s="169">
        <f t="shared" si="113"/>
        <v>250000</v>
      </c>
      <c r="U304" s="169"/>
      <c r="V304" s="169">
        <v>250000</v>
      </c>
      <c r="W304" s="169"/>
      <c r="X304" s="169"/>
      <c r="Y304" s="169"/>
    </row>
    <row r="305" spans="1:25" x14ac:dyDescent="0.25">
      <c r="A305" s="114" t="str">
        <f t="shared" si="114"/>
        <v>SchoolsSchoolsField Improvements - Garrity &amp; Pulcini Fields @ GriswoldGF</v>
      </c>
      <c r="B305" s="11" t="s">
        <v>1</v>
      </c>
      <c r="C305" s="11">
        <v>61</v>
      </c>
      <c r="D305" s="11" t="s">
        <v>1</v>
      </c>
      <c r="F305" s="273" t="s">
        <v>915</v>
      </c>
      <c r="G305" s="11" t="s">
        <v>16</v>
      </c>
      <c r="K305" s="169"/>
      <c r="L305" s="169"/>
      <c r="M305" s="169"/>
      <c r="N305" s="172"/>
      <c r="O305" s="169"/>
      <c r="P305" s="169"/>
      <c r="Q305" s="169"/>
      <c r="R305" s="169">
        <f>88000*0</f>
        <v>0</v>
      </c>
      <c r="S305" s="169"/>
      <c r="T305" s="169">
        <f t="shared" si="113"/>
        <v>88000</v>
      </c>
      <c r="U305" s="169"/>
      <c r="V305" s="169">
        <v>88000</v>
      </c>
      <c r="W305" s="169"/>
      <c r="X305" s="169"/>
      <c r="Y305" s="169"/>
    </row>
    <row r="306" spans="1:25" x14ac:dyDescent="0.25">
      <c r="A306" s="114" t="str">
        <f t="shared" si="114"/>
        <v>SchoolsSchoolsField Improvements - Willard Softball &amp; Soccer FieldsGF</v>
      </c>
      <c r="B306" s="11" t="s">
        <v>1</v>
      </c>
      <c r="C306" s="11">
        <v>61</v>
      </c>
      <c r="D306" s="11" t="s">
        <v>1</v>
      </c>
      <c r="F306" s="273" t="s">
        <v>916</v>
      </c>
      <c r="G306" s="11" t="s">
        <v>16</v>
      </c>
      <c r="K306" s="169"/>
      <c r="L306" s="169"/>
      <c r="M306" s="169"/>
      <c r="N306" s="172"/>
      <c r="O306" s="169"/>
      <c r="P306" s="169"/>
      <c r="Q306" s="169"/>
      <c r="R306" s="169"/>
      <c r="S306" s="169"/>
      <c r="T306" s="169">
        <f t="shared" si="113"/>
        <v>120000</v>
      </c>
      <c r="U306" s="169"/>
      <c r="V306" s="169"/>
      <c r="W306" s="169"/>
      <c r="X306" s="169">
        <v>120000</v>
      </c>
      <c r="Y306" s="169"/>
    </row>
    <row r="307" spans="1:25" outlineLevel="1" x14ac:dyDescent="0.25">
      <c r="A307" s="114" t="str">
        <f t="shared" si="114"/>
        <v>SchoolsSchoolsField Improvements - BHS West FieldGF</v>
      </c>
      <c r="B307" s="11" t="s">
        <v>1</v>
      </c>
      <c r="C307" s="11">
        <v>61</v>
      </c>
      <c r="D307" s="11" t="s">
        <v>1</v>
      </c>
      <c r="F307" s="272" t="s">
        <v>913</v>
      </c>
      <c r="G307" s="11" t="s">
        <v>16</v>
      </c>
      <c r="K307" s="169"/>
      <c r="L307" s="169"/>
      <c r="M307" s="169"/>
      <c r="N307" s="172"/>
      <c r="O307" s="169"/>
      <c r="P307" s="169"/>
      <c r="Q307" s="169"/>
      <c r="R307" s="169">
        <f>75000*0</f>
        <v>0</v>
      </c>
      <c r="S307" s="169"/>
      <c r="T307" s="169">
        <f t="shared" si="113"/>
        <v>75000</v>
      </c>
      <c r="U307" s="169"/>
      <c r="V307" s="169">
        <v>75000</v>
      </c>
      <c r="W307" s="169"/>
      <c r="X307" s="169"/>
      <c r="Y307" s="169"/>
    </row>
    <row r="308" spans="1:25" outlineLevel="1" x14ac:dyDescent="0.25">
      <c r="A308" s="114" t="str">
        <f t="shared" si="114"/>
        <v>SchoolsSchoolsField Improvements - McGee Playing FieldsGF</v>
      </c>
      <c r="B308" s="11" t="s">
        <v>1</v>
      </c>
      <c r="C308" s="11">
        <v>61</v>
      </c>
      <c r="D308" s="11" t="s">
        <v>1</v>
      </c>
      <c r="F308" s="272" t="s">
        <v>914</v>
      </c>
      <c r="G308" s="11" t="s">
        <v>16</v>
      </c>
      <c r="K308" s="169"/>
      <c r="L308" s="169"/>
      <c r="M308" s="169"/>
      <c r="N308" s="172"/>
      <c r="O308" s="169"/>
      <c r="P308" s="169"/>
      <c r="Q308" s="169"/>
      <c r="R308" s="169"/>
      <c r="S308" s="169"/>
      <c r="T308" s="169">
        <f t="shared" si="113"/>
        <v>1000000</v>
      </c>
      <c r="U308" s="169"/>
      <c r="V308" s="169"/>
      <c r="W308" s="169">
        <v>500000</v>
      </c>
      <c r="X308" s="169"/>
      <c r="Y308" s="169">
        <v>500000</v>
      </c>
    </row>
    <row r="309" spans="1:25" outlineLevel="1" x14ac:dyDescent="0.25">
      <c r="A309" s="114" t="str">
        <f t="shared" ref="A309" si="115">B309&amp;D309&amp;F309&amp;G309</f>
        <v>SchoolsSchoolsBHS - Biscoglio Field - upgrade to syntheticBond</v>
      </c>
      <c r="B309" s="11" t="s">
        <v>1</v>
      </c>
      <c r="C309" s="11">
        <v>61</v>
      </c>
      <c r="D309" s="11" t="s">
        <v>1</v>
      </c>
      <c r="F309" s="297" t="s">
        <v>912</v>
      </c>
      <c r="G309" s="11" t="s">
        <v>19</v>
      </c>
      <c r="K309" s="169"/>
      <c r="L309" s="169"/>
      <c r="M309" s="169"/>
      <c r="N309" s="172"/>
      <c r="O309" s="169"/>
      <c r="P309" s="169"/>
      <c r="Q309" s="169"/>
      <c r="R309" s="169"/>
      <c r="S309" s="169">
        <v>1800000</v>
      </c>
      <c r="T309" s="169">
        <f t="shared" si="113"/>
        <v>0</v>
      </c>
      <c r="U309" s="169"/>
      <c r="V309" s="169"/>
      <c r="W309" s="169"/>
      <c r="X309" s="169"/>
      <c r="Y309" s="169"/>
    </row>
    <row r="310" spans="1:25" x14ac:dyDescent="0.25">
      <c r="A310" s="114" t="str">
        <f t="shared" si="114"/>
        <v>SchoolsSchoolsResurface Basketball/Tennis Courts (assume yr 7)GF</v>
      </c>
      <c r="B310" s="11" t="s">
        <v>1</v>
      </c>
      <c r="C310" s="11">
        <v>61</v>
      </c>
      <c r="D310" s="11" t="s">
        <v>1</v>
      </c>
      <c r="F310" s="197" t="s">
        <v>559</v>
      </c>
      <c r="G310" s="11" t="s">
        <v>16</v>
      </c>
      <c r="H310" s="11" t="s">
        <v>531</v>
      </c>
      <c r="I310" s="11" t="s">
        <v>560</v>
      </c>
      <c r="K310" s="169"/>
      <c r="L310" s="169"/>
      <c r="M310" s="169"/>
      <c r="N310" s="172"/>
      <c r="O310" s="169"/>
      <c r="P310" s="169"/>
      <c r="Q310" s="169"/>
      <c r="R310" s="169"/>
      <c r="S310" s="169">
        <f>38000*1.1</f>
        <v>41800</v>
      </c>
      <c r="T310" s="169">
        <f t="shared" si="113"/>
        <v>0</v>
      </c>
      <c r="U310" s="169"/>
      <c r="V310" s="169"/>
      <c r="W310" s="169"/>
      <c r="X310" s="169"/>
      <c r="Y310" s="169"/>
    </row>
    <row r="311" spans="1:25" outlineLevel="1" x14ac:dyDescent="0.25">
      <c r="A311" s="114" t="str">
        <f t="shared" si="114"/>
        <v>SchoolsSchoolsReconstruct McGee Basketball/Tennis CourtsGF</v>
      </c>
      <c r="B311" s="11" t="s">
        <v>1</v>
      </c>
      <c r="C311" s="11">
        <v>61</v>
      </c>
      <c r="D311" s="11" t="s">
        <v>1</v>
      </c>
      <c r="F311" s="273" t="s">
        <v>917</v>
      </c>
      <c r="G311" s="11" t="s">
        <v>16</v>
      </c>
      <c r="K311" s="169"/>
      <c r="L311" s="169"/>
      <c r="M311" s="169"/>
      <c r="N311" s="172"/>
      <c r="O311" s="169"/>
      <c r="P311" s="169"/>
      <c r="Q311" s="169"/>
      <c r="R311" s="169">
        <f>250000*0</f>
        <v>0</v>
      </c>
      <c r="S311" s="169"/>
      <c r="T311" s="169">
        <f t="shared" si="113"/>
        <v>250000</v>
      </c>
      <c r="U311" s="169"/>
      <c r="V311" s="169"/>
      <c r="W311" s="169">
        <v>250000</v>
      </c>
      <c r="X311" s="169"/>
      <c r="Y311" s="169"/>
    </row>
    <row r="312" spans="1:25" outlineLevel="1" x14ac:dyDescent="0.25">
      <c r="A312" s="114" t="str">
        <f t="shared" si="114"/>
        <v>SchoolsSchoolsReplace Equipment at Willard School PlaygroundsGF</v>
      </c>
      <c r="B312" s="11" t="s">
        <v>1</v>
      </c>
      <c r="C312" s="11">
        <v>61</v>
      </c>
      <c r="D312" s="11" t="s">
        <v>1</v>
      </c>
      <c r="F312" s="273" t="s">
        <v>918</v>
      </c>
      <c r="G312" s="11" t="s">
        <v>16</v>
      </c>
      <c r="K312" s="169"/>
      <c r="L312" s="169"/>
      <c r="M312" s="169"/>
      <c r="N312" s="172"/>
      <c r="O312" s="169"/>
      <c r="P312" s="169"/>
      <c r="Q312" s="169">
        <v>150000</v>
      </c>
      <c r="R312" s="169"/>
      <c r="S312" s="169"/>
      <c r="T312" s="169">
        <f t="shared" si="113"/>
        <v>0</v>
      </c>
      <c r="U312" s="169"/>
      <c r="V312" s="169"/>
      <c r="W312" s="169"/>
      <c r="X312" s="169"/>
      <c r="Y312" s="169"/>
    </row>
    <row r="313" spans="1:25" ht="30" x14ac:dyDescent="0.25">
      <c r="A313" s="114" t="str">
        <f t="shared" si="114"/>
        <v>SchoolsSchoolsPhones for all four schools (ex BHS, but integrated with BHS) - capitalGF</v>
      </c>
      <c r="B313" s="11" t="s">
        <v>1</v>
      </c>
      <c r="C313" s="11">
        <v>61</v>
      </c>
      <c r="D313" s="11" t="s">
        <v>1</v>
      </c>
      <c r="F313" s="200" t="s">
        <v>508</v>
      </c>
      <c r="G313" s="123" t="s">
        <v>16</v>
      </c>
      <c r="H313" s="11" t="s">
        <v>531</v>
      </c>
      <c r="K313" s="169"/>
      <c r="L313" s="169">
        <f>46100*2</f>
        <v>92200</v>
      </c>
      <c r="M313" s="169"/>
      <c r="N313" s="172"/>
      <c r="O313" s="169"/>
      <c r="P313" s="169"/>
      <c r="Q313" s="169"/>
      <c r="R313" s="169"/>
      <c r="S313" s="169"/>
      <c r="T313" s="169">
        <f t="shared" si="113"/>
        <v>0</v>
      </c>
      <c r="U313" s="169"/>
      <c r="V313" s="169"/>
      <c r="W313" s="169"/>
      <c r="X313" s="169"/>
      <c r="Y313" s="169"/>
    </row>
    <row r="314" spans="1:25" x14ac:dyDescent="0.25">
      <c r="A314" s="114" t="str">
        <f t="shared" si="114"/>
        <v>SchoolsSchoolsSwitches ($160k total cost; 75% BOE/25% Town) - capitalGF</v>
      </c>
      <c r="B314" s="11" t="s">
        <v>1</v>
      </c>
      <c r="C314" s="11">
        <v>61</v>
      </c>
      <c r="D314" s="11" t="s">
        <v>1</v>
      </c>
      <c r="F314" s="197" t="s">
        <v>558</v>
      </c>
      <c r="G314" s="11" t="s">
        <v>16</v>
      </c>
      <c r="H314" s="11" t="s">
        <v>531</v>
      </c>
      <c r="I314" s="11" t="s">
        <v>537</v>
      </c>
      <c r="K314" s="169"/>
      <c r="L314" s="169">
        <f>160000*0.75</f>
        <v>120000</v>
      </c>
      <c r="M314" s="169"/>
      <c r="N314" s="172"/>
      <c r="O314" s="169"/>
      <c r="P314" s="169"/>
      <c r="Q314" s="169"/>
      <c r="R314" s="169"/>
      <c r="S314" s="169"/>
      <c r="T314" s="169">
        <f t="shared" si="113"/>
        <v>130000</v>
      </c>
      <c r="U314" s="169"/>
      <c r="V314" s="169"/>
      <c r="W314" s="169"/>
      <c r="X314" s="169">
        <v>130000</v>
      </c>
      <c r="Y314" s="169"/>
    </row>
    <row r="315" spans="1:25" x14ac:dyDescent="0.25">
      <c r="A315" s="114" t="str">
        <f t="shared" si="114"/>
        <v>SchoolsSchoolsWillard Renovations - site &amp; buildingGF</v>
      </c>
      <c r="B315" s="11" t="s">
        <v>1</v>
      </c>
      <c r="C315" s="11">
        <v>61</v>
      </c>
      <c r="D315" s="11" t="s">
        <v>1</v>
      </c>
      <c r="F315" s="200" t="s">
        <v>509</v>
      </c>
      <c r="G315" s="123" t="s">
        <v>16</v>
      </c>
      <c r="H315" s="11" t="s">
        <v>531</v>
      </c>
      <c r="K315" s="169"/>
      <c r="L315" s="169"/>
      <c r="M315" s="169"/>
      <c r="N315" s="172"/>
      <c r="O315" s="169"/>
      <c r="P315" s="169"/>
      <c r="Q315" s="169"/>
      <c r="R315" s="169"/>
      <c r="S315" s="169">
        <f>150000*0</f>
        <v>0</v>
      </c>
      <c r="T315" s="169">
        <f t="shared" si="113"/>
        <v>150000</v>
      </c>
      <c r="U315" s="169"/>
      <c r="V315" s="169"/>
      <c r="W315" s="169">
        <v>150000</v>
      </c>
      <c r="X315" s="169"/>
      <c r="Y315" s="169"/>
    </row>
    <row r="316" spans="1:25" x14ac:dyDescent="0.25">
      <c r="A316" s="114" t="str">
        <f t="shared" si="114"/>
        <v>SchoolsSchoolsMcGee Locker Replacement - site &amp; buildingGF</v>
      </c>
      <c r="B316" s="11" t="s">
        <v>1</v>
      </c>
      <c r="C316" s="11">
        <v>61</v>
      </c>
      <c r="D316" s="11" t="s">
        <v>1</v>
      </c>
      <c r="F316" s="200" t="s">
        <v>557</v>
      </c>
      <c r="G316" s="123" t="s">
        <v>16</v>
      </c>
      <c r="H316" s="11" t="s">
        <v>531</v>
      </c>
      <c r="K316" s="169"/>
      <c r="L316" s="169"/>
      <c r="M316" s="169"/>
      <c r="N316" s="172"/>
      <c r="O316" s="169"/>
      <c r="P316" s="169"/>
      <c r="Q316" s="169"/>
      <c r="R316" s="169"/>
      <c r="S316" s="169">
        <f>100000*0</f>
        <v>0</v>
      </c>
      <c r="T316" s="169">
        <f t="shared" si="113"/>
        <v>100000</v>
      </c>
      <c r="U316" s="169"/>
      <c r="V316" s="169"/>
      <c r="W316" s="169">
        <v>100000</v>
      </c>
      <c r="X316" s="169"/>
      <c r="Y316" s="169"/>
    </row>
    <row r="317" spans="1:25" x14ac:dyDescent="0.25">
      <c r="A317" s="114" t="str">
        <f t="shared" si="114"/>
        <v>SchoolsSchoolsCarpeting in McGee auditorium - site &amp; buildingGF</v>
      </c>
      <c r="B317" s="11" t="s">
        <v>1</v>
      </c>
      <c r="C317" s="11">
        <v>61</v>
      </c>
      <c r="D317" s="11" t="s">
        <v>1</v>
      </c>
      <c r="F317" s="197" t="s">
        <v>511</v>
      </c>
      <c r="G317" s="11" t="s">
        <v>16</v>
      </c>
      <c r="H317" s="11" t="s">
        <v>531</v>
      </c>
      <c r="K317" s="169"/>
      <c r="L317" s="169">
        <v>25000</v>
      </c>
      <c r="M317" s="169"/>
      <c r="N317" s="172"/>
      <c r="O317" s="169"/>
      <c r="P317" s="169"/>
      <c r="Q317" s="169"/>
      <c r="R317" s="169"/>
      <c r="S317" s="169"/>
      <c r="T317" s="169">
        <f t="shared" si="113"/>
        <v>0</v>
      </c>
      <c r="U317" s="169"/>
      <c r="V317" s="169"/>
      <c r="W317" s="169"/>
      <c r="X317" s="169"/>
      <c r="Y317" s="169"/>
    </row>
    <row r="318" spans="1:25" x14ac:dyDescent="0.25">
      <c r="A318" s="114" t="str">
        <f t="shared" si="114"/>
        <v>SchoolsSchoolsSand &amp; refinish gym flooring - all schools (ex BHS)GF</v>
      </c>
      <c r="B318" s="11" t="s">
        <v>1</v>
      </c>
      <c r="C318" s="11">
        <v>61</v>
      </c>
      <c r="D318" s="11" t="s">
        <v>1</v>
      </c>
      <c r="F318" s="197" t="s">
        <v>703</v>
      </c>
      <c r="G318" s="11" t="s">
        <v>16</v>
      </c>
      <c r="H318" s="11" t="s">
        <v>531</v>
      </c>
      <c r="K318" s="169"/>
      <c r="L318" s="169">
        <v>125000</v>
      </c>
      <c r="M318" s="169"/>
      <c r="N318" s="172"/>
      <c r="O318" s="169"/>
      <c r="P318" s="169"/>
      <c r="Q318" s="169"/>
      <c r="R318" s="169"/>
      <c r="S318" s="169"/>
      <c r="T318" s="169">
        <f t="shared" si="113"/>
        <v>0</v>
      </c>
      <c r="U318" s="169"/>
      <c r="V318" s="169"/>
      <c r="W318" s="169"/>
      <c r="X318" s="169"/>
      <c r="Y318" s="169"/>
    </row>
    <row r="319" spans="1:25" x14ac:dyDescent="0.25">
      <c r="A319" s="114" t="str">
        <f t="shared" si="114"/>
        <v>SchoolsSchoolsHubbard School PlaygroundGF</v>
      </c>
      <c r="B319" s="11" t="s">
        <v>1</v>
      </c>
      <c r="C319" s="11">
        <v>61</v>
      </c>
      <c r="D319" s="11" t="s">
        <v>1</v>
      </c>
      <c r="F319" s="197" t="s">
        <v>87</v>
      </c>
      <c r="G319" s="11" t="s">
        <v>16</v>
      </c>
      <c r="H319" s="11" t="s">
        <v>531</v>
      </c>
      <c r="K319" s="169"/>
      <c r="L319" s="169"/>
      <c r="M319" s="169"/>
      <c r="N319" s="172"/>
      <c r="O319" s="169"/>
      <c r="P319" s="169"/>
      <c r="Q319" s="169"/>
      <c r="R319" s="169"/>
      <c r="S319" s="169"/>
      <c r="T319" s="169">
        <f t="shared" si="113"/>
        <v>0</v>
      </c>
      <c r="U319" s="169"/>
      <c r="V319" s="169"/>
      <c r="W319" s="169"/>
      <c r="X319" s="169"/>
      <c r="Y319" s="169"/>
    </row>
    <row r="320" spans="1:25" x14ac:dyDescent="0.25">
      <c r="A320" s="114" t="str">
        <f t="shared" si="114"/>
        <v>SchoolsSchoolsWindow Replacement - McGeeBond</v>
      </c>
      <c r="B320" s="11" t="s">
        <v>1</v>
      </c>
      <c r="C320" s="11">
        <v>61</v>
      </c>
      <c r="D320" s="11" t="s">
        <v>1</v>
      </c>
      <c r="F320" s="200" t="s">
        <v>715</v>
      </c>
      <c r="G320" s="123" t="s">
        <v>19</v>
      </c>
      <c r="H320" s="11" t="s">
        <v>531</v>
      </c>
      <c r="K320" s="169"/>
      <c r="L320" s="169"/>
      <c r="M320" s="169"/>
      <c r="N320" s="172"/>
      <c r="O320" s="169"/>
      <c r="P320" s="169"/>
      <c r="Q320" s="169"/>
      <c r="R320" s="169"/>
      <c r="S320" s="169"/>
      <c r="T320" s="169">
        <f t="shared" si="113"/>
        <v>2100000</v>
      </c>
      <c r="U320" s="169"/>
      <c r="V320" s="169">
        <v>2100000</v>
      </c>
      <c r="W320" s="169"/>
      <c r="X320" s="169"/>
      <c r="Y320" s="169"/>
    </row>
    <row r="321" spans="1:25" x14ac:dyDescent="0.25">
      <c r="A321" s="114" t="str">
        <f t="shared" si="114"/>
        <v>SchoolsSchoolsWindow Replacement - WillardBond</v>
      </c>
      <c r="B321" s="11" t="s">
        <v>1</v>
      </c>
      <c r="C321" s="11">
        <v>61</v>
      </c>
      <c r="D321" s="11" t="s">
        <v>1</v>
      </c>
      <c r="F321" s="200" t="s">
        <v>716</v>
      </c>
      <c r="G321" s="123" t="s">
        <v>19</v>
      </c>
      <c r="H321" s="11" t="s">
        <v>531</v>
      </c>
      <c r="K321" s="169"/>
      <c r="L321" s="169"/>
      <c r="M321" s="169"/>
      <c r="N321" s="172"/>
      <c r="O321" s="169"/>
      <c r="P321" s="169"/>
      <c r="Q321" s="169"/>
      <c r="R321" s="169"/>
      <c r="S321" s="169"/>
      <c r="T321" s="169">
        <f t="shared" si="113"/>
        <v>1500000</v>
      </c>
      <c r="U321" s="169"/>
      <c r="V321" s="169"/>
      <c r="W321" s="169">
        <v>1500000</v>
      </c>
      <c r="X321" s="169"/>
      <c r="Y321" s="169"/>
    </row>
    <row r="322" spans="1:25" x14ac:dyDescent="0.25">
      <c r="A322" s="114" t="str">
        <f t="shared" si="114"/>
        <v>SchoolsSchoolsWindow Replacement - HubbardBond</v>
      </c>
      <c r="B322" s="11" t="s">
        <v>1</v>
      </c>
      <c r="C322" s="11">
        <v>61</v>
      </c>
      <c r="D322" s="11" t="s">
        <v>1</v>
      </c>
      <c r="F322" s="200" t="s">
        <v>720</v>
      </c>
      <c r="G322" s="123" t="s">
        <v>19</v>
      </c>
      <c r="H322" s="11" t="s">
        <v>531</v>
      </c>
      <c r="K322" s="169"/>
      <c r="L322" s="169"/>
      <c r="M322" s="169"/>
      <c r="N322" s="172"/>
      <c r="O322" s="169"/>
      <c r="P322" s="169"/>
      <c r="Q322" s="169"/>
      <c r="R322" s="169"/>
      <c r="S322" s="169"/>
      <c r="T322" s="169">
        <f t="shared" si="113"/>
        <v>1200000</v>
      </c>
      <c r="U322" s="169"/>
      <c r="V322" s="169"/>
      <c r="W322" s="169">
        <v>1200000</v>
      </c>
      <c r="X322" s="169"/>
      <c r="Y322" s="169"/>
    </row>
    <row r="323" spans="1:25" x14ac:dyDescent="0.25">
      <c r="A323" s="114" t="str">
        <f t="shared" si="114"/>
        <v>SchoolsSchoolsWindow Replacement - GriswoldBond</v>
      </c>
      <c r="B323" s="11" t="s">
        <v>1</v>
      </c>
      <c r="C323" s="11">
        <v>61</v>
      </c>
      <c r="D323" s="11" t="s">
        <v>1</v>
      </c>
      <c r="F323" s="200" t="s">
        <v>724</v>
      </c>
      <c r="G323" s="123" t="s">
        <v>19</v>
      </c>
      <c r="H323" s="11" t="s">
        <v>531</v>
      </c>
      <c r="K323" s="169"/>
      <c r="L323" s="169"/>
      <c r="M323" s="169"/>
      <c r="N323" s="172"/>
      <c r="O323" s="169"/>
      <c r="P323" s="169"/>
      <c r="Q323" s="169"/>
      <c r="R323" s="169"/>
      <c r="S323" s="169"/>
      <c r="T323" s="169">
        <f t="shared" si="113"/>
        <v>1300000</v>
      </c>
      <c r="U323" s="169"/>
      <c r="V323" s="169"/>
      <c r="W323" s="169"/>
      <c r="X323" s="169">
        <v>1300000</v>
      </c>
      <c r="Y323" s="169"/>
    </row>
    <row r="324" spans="1:25" x14ac:dyDescent="0.25">
      <c r="A324" s="114" t="str">
        <f t="shared" si="114"/>
        <v>SchoolsSchoolsLighting control upgrades - BHSGrants</v>
      </c>
      <c r="B324" s="11" t="s">
        <v>1</v>
      </c>
      <c r="C324" s="11">
        <v>61</v>
      </c>
      <c r="D324" s="11" t="s">
        <v>1</v>
      </c>
      <c r="F324" s="200" t="s">
        <v>704</v>
      </c>
      <c r="G324" s="123" t="s">
        <v>38</v>
      </c>
      <c r="H324" s="11" t="s">
        <v>531</v>
      </c>
      <c r="K324" s="169"/>
      <c r="L324" s="169"/>
      <c r="M324" s="169"/>
      <c r="N324" s="172"/>
      <c r="O324" s="169"/>
      <c r="P324" s="169">
        <v>100000</v>
      </c>
      <c r="Q324" s="169"/>
      <c r="R324" s="169"/>
      <c r="S324" s="169"/>
      <c r="T324" s="169">
        <f t="shared" si="113"/>
        <v>0</v>
      </c>
      <c r="U324" s="169"/>
      <c r="V324" s="169"/>
      <c r="W324" s="169"/>
      <c r="X324" s="169"/>
      <c r="Y324" s="169"/>
    </row>
    <row r="325" spans="1:25" x14ac:dyDescent="0.25">
      <c r="A325" s="114" t="str">
        <f t="shared" si="114"/>
        <v>SchoolsSchoolsConversion to LED lighting - BHSGF</v>
      </c>
      <c r="B325" s="11" t="s">
        <v>1</v>
      </c>
      <c r="C325" s="11">
        <v>61</v>
      </c>
      <c r="D325" s="11" t="s">
        <v>1</v>
      </c>
      <c r="F325" s="200" t="s">
        <v>568</v>
      </c>
      <c r="G325" s="123" t="s">
        <v>16</v>
      </c>
      <c r="H325" s="11" t="s">
        <v>531</v>
      </c>
      <c r="I325" s="11" t="s">
        <v>566</v>
      </c>
      <c r="K325" s="169"/>
      <c r="L325" s="169"/>
      <c r="M325" s="169"/>
      <c r="N325" s="172"/>
      <c r="O325" s="169"/>
      <c r="P325" s="169"/>
      <c r="Q325" s="169">
        <f>400000*0</f>
        <v>0</v>
      </c>
      <c r="R325" s="169"/>
      <c r="S325" s="169"/>
      <c r="T325" s="169">
        <f t="shared" si="113"/>
        <v>400000</v>
      </c>
      <c r="U325" s="169">
        <v>400000</v>
      </c>
      <c r="V325" s="169"/>
      <c r="W325" s="169"/>
      <c r="X325" s="169"/>
      <c r="Y325" s="169"/>
    </row>
    <row r="326" spans="1:25" x14ac:dyDescent="0.25">
      <c r="A326" s="114" t="str">
        <f t="shared" si="114"/>
        <v>SchoolsSchoolsConversion to LED lighting - McGeeGF</v>
      </c>
      <c r="B326" s="11" t="s">
        <v>1</v>
      </c>
      <c r="C326" s="11">
        <v>61</v>
      </c>
      <c r="D326" s="11" t="s">
        <v>1</v>
      </c>
      <c r="F326" s="200" t="s">
        <v>569</v>
      </c>
      <c r="G326" s="123" t="s">
        <v>16</v>
      </c>
      <c r="H326" s="11" t="s">
        <v>531</v>
      </c>
      <c r="I326" s="11" t="s">
        <v>566</v>
      </c>
      <c r="K326" s="169"/>
      <c r="L326" s="169"/>
      <c r="M326" s="169"/>
      <c r="N326" s="172"/>
      <c r="O326" s="169"/>
      <c r="P326" s="169"/>
      <c r="Q326" s="169">
        <f>300000*0</f>
        <v>0</v>
      </c>
      <c r="R326" s="169"/>
      <c r="S326" s="169"/>
      <c r="T326" s="169">
        <f t="shared" si="113"/>
        <v>300000</v>
      </c>
      <c r="U326" s="169">
        <v>300000</v>
      </c>
      <c r="V326" s="169"/>
      <c r="W326" s="169"/>
      <c r="X326" s="169"/>
      <c r="Y326" s="169"/>
    </row>
    <row r="327" spans="1:25" x14ac:dyDescent="0.25">
      <c r="A327" s="114" t="str">
        <f t="shared" si="114"/>
        <v>SchoolsSchoolsConversion to LED lighting - WillardGF</v>
      </c>
      <c r="B327" s="11" t="s">
        <v>1</v>
      </c>
      <c r="C327" s="11">
        <v>61</v>
      </c>
      <c r="D327" s="11" t="s">
        <v>1</v>
      </c>
      <c r="F327" s="200" t="s">
        <v>570</v>
      </c>
      <c r="G327" s="123" t="s">
        <v>16</v>
      </c>
      <c r="H327" s="11" t="s">
        <v>531</v>
      </c>
      <c r="I327" s="11" t="s">
        <v>566</v>
      </c>
      <c r="K327" s="169"/>
      <c r="L327" s="169"/>
      <c r="M327" s="169"/>
      <c r="N327" s="172"/>
      <c r="O327" s="169"/>
      <c r="P327" s="169"/>
      <c r="Q327" s="169"/>
      <c r="R327" s="169">
        <f>275000*0</f>
        <v>0</v>
      </c>
      <c r="S327" s="169"/>
      <c r="T327" s="169">
        <f t="shared" si="113"/>
        <v>275000</v>
      </c>
      <c r="U327" s="169"/>
      <c r="V327" s="169">
        <v>275000</v>
      </c>
      <c r="W327" s="169"/>
      <c r="X327" s="169"/>
      <c r="Y327" s="169"/>
    </row>
    <row r="328" spans="1:25" x14ac:dyDescent="0.25">
      <c r="A328" s="114" t="str">
        <f t="shared" si="114"/>
        <v>SchoolsSchoolsConversion to LED lighting - GriswoldGF</v>
      </c>
      <c r="B328" s="11" t="s">
        <v>1</v>
      </c>
      <c r="C328" s="11">
        <v>61</v>
      </c>
      <c r="D328" s="11" t="s">
        <v>1</v>
      </c>
      <c r="F328" s="200" t="s">
        <v>571</v>
      </c>
      <c r="G328" s="123" t="s">
        <v>16</v>
      </c>
      <c r="H328" s="11" t="s">
        <v>531</v>
      </c>
      <c r="I328" s="11" t="s">
        <v>566</v>
      </c>
      <c r="K328" s="169"/>
      <c r="L328" s="169"/>
      <c r="M328" s="169"/>
      <c r="N328" s="172"/>
      <c r="O328" s="169"/>
      <c r="P328" s="169"/>
      <c r="Q328" s="169"/>
      <c r="R328" s="169">
        <f>275000*0</f>
        <v>0</v>
      </c>
      <c r="S328" s="169"/>
      <c r="T328" s="169">
        <f t="shared" si="113"/>
        <v>275000</v>
      </c>
      <c r="U328" s="169"/>
      <c r="V328" s="169">
        <v>275000</v>
      </c>
      <c r="W328" s="169"/>
      <c r="X328" s="169"/>
      <c r="Y328" s="169"/>
    </row>
    <row r="329" spans="1:25" x14ac:dyDescent="0.25">
      <c r="A329" s="114" t="str">
        <f t="shared" si="114"/>
        <v>SchoolsSchoolsConversion to LED lighting - HubbardGF</v>
      </c>
      <c r="B329" s="11" t="s">
        <v>1</v>
      </c>
      <c r="C329" s="11">
        <v>61</v>
      </c>
      <c r="D329" s="11" t="s">
        <v>1</v>
      </c>
      <c r="F329" s="200" t="s">
        <v>572</v>
      </c>
      <c r="G329" s="123" t="s">
        <v>16</v>
      </c>
      <c r="H329" s="11" t="s">
        <v>531</v>
      </c>
      <c r="I329" s="11" t="s">
        <v>566</v>
      </c>
      <c r="K329" s="169"/>
      <c r="L329" s="169"/>
      <c r="M329" s="169"/>
      <c r="N329" s="172"/>
      <c r="O329" s="169"/>
      <c r="P329" s="169"/>
      <c r="Q329" s="169"/>
      <c r="R329" s="169">
        <f>250000*0</f>
        <v>0</v>
      </c>
      <c r="S329" s="169"/>
      <c r="T329" s="169">
        <f t="shared" si="113"/>
        <v>250000</v>
      </c>
      <c r="U329" s="169"/>
      <c r="V329" s="169">
        <v>250000</v>
      </c>
      <c r="W329" s="169"/>
      <c r="X329" s="169"/>
      <c r="Y329" s="169"/>
    </row>
    <row r="330" spans="1:25" x14ac:dyDescent="0.25">
      <c r="A330" s="114" t="str">
        <f t="shared" si="114"/>
        <v>SchoolsSchoolsElevator Modifications - McGeeGF</v>
      </c>
      <c r="B330" s="11" t="s">
        <v>1</v>
      </c>
      <c r="C330" s="11">
        <v>61</v>
      </c>
      <c r="D330" s="11" t="s">
        <v>1</v>
      </c>
      <c r="F330" s="200" t="s">
        <v>708</v>
      </c>
      <c r="G330" s="123" t="s">
        <v>16</v>
      </c>
      <c r="H330" s="11" t="s">
        <v>531</v>
      </c>
      <c r="K330" s="169"/>
      <c r="L330" s="169"/>
      <c r="M330" s="169"/>
      <c r="N330" s="172"/>
      <c r="O330" s="169"/>
      <c r="P330" s="169"/>
      <c r="Q330" s="169"/>
      <c r="R330" s="169"/>
      <c r="S330" s="169">
        <f>250000*0</f>
        <v>0</v>
      </c>
      <c r="T330" s="169">
        <f t="shared" si="113"/>
        <v>250000</v>
      </c>
      <c r="U330" s="169"/>
      <c r="V330" s="169"/>
      <c r="W330" s="169">
        <v>250000</v>
      </c>
      <c r="X330" s="169"/>
      <c r="Y330" s="169"/>
    </row>
    <row r="331" spans="1:25" x14ac:dyDescent="0.25">
      <c r="A331" s="114" t="str">
        <f t="shared" si="114"/>
        <v>SchoolsSchoolsElevator Modifications - GriswoldGF</v>
      </c>
      <c r="B331" s="11" t="s">
        <v>1</v>
      </c>
      <c r="C331" s="11">
        <v>61</v>
      </c>
      <c r="D331" s="11" t="s">
        <v>1</v>
      </c>
      <c r="F331" s="200" t="s">
        <v>709</v>
      </c>
      <c r="G331" s="123" t="s">
        <v>16</v>
      </c>
      <c r="H331" s="11" t="s">
        <v>531</v>
      </c>
      <c r="K331" s="169"/>
      <c r="L331" s="169"/>
      <c r="M331" s="169"/>
      <c r="N331" s="172"/>
      <c r="O331" s="169"/>
      <c r="P331" s="169"/>
      <c r="Q331" s="169"/>
      <c r="R331" s="169"/>
      <c r="S331" s="169"/>
      <c r="T331" s="169">
        <f t="shared" si="113"/>
        <v>0</v>
      </c>
      <c r="U331" s="169"/>
      <c r="V331" s="169"/>
      <c r="W331" s="169"/>
      <c r="X331" s="169"/>
      <c r="Y331" s="169"/>
    </row>
    <row r="332" spans="1:25" x14ac:dyDescent="0.25">
      <c r="A332" s="114" t="str">
        <f t="shared" si="114"/>
        <v>SchoolsSchoolsElevator Modifications - WillardGF</v>
      </c>
      <c r="B332" s="11" t="s">
        <v>1</v>
      </c>
      <c r="C332" s="11">
        <v>61</v>
      </c>
      <c r="D332" s="11" t="s">
        <v>1</v>
      </c>
      <c r="F332" s="200" t="s">
        <v>710</v>
      </c>
      <c r="G332" s="123" t="s">
        <v>16</v>
      </c>
      <c r="H332" s="11" t="s">
        <v>531</v>
      </c>
      <c r="K332" s="169"/>
      <c r="L332" s="169"/>
      <c r="M332" s="169"/>
      <c r="N332" s="172"/>
      <c r="O332" s="169"/>
      <c r="P332" s="169"/>
      <c r="Q332" s="169"/>
      <c r="R332" s="169"/>
      <c r="S332" s="169">
        <f>150000*0</f>
        <v>0</v>
      </c>
      <c r="T332" s="169">
        <f t="shared" si="113"/>
        <v>150000</v>
      </c>
      <c r="U332" s="169"/>
      <c r="V332" s="169"/>
      <c r="W332" s="169">
        <v>150000</v>
      </c>
      <c r="X332" s="169"/>
      <c r="Y332" s="169"/>
    </row>
    <row r="333" spans="1:25" x14ac:dyDescent="0.25">
      <c r="A333" s="114" t="str">
        <f t="shared" si="114"/>
        <v>SchoolsSchoolsElevator Modifications - HubbardGF</v>
      </c>
      <c r="B333" s="11" t="s">
        <v>1</v>
      </c>
      <c r="C333" s="11">
        <v>61</v>
      </c>
      <c r="D333" s="11" t="s">
        <v>1</v>
      </c>
      <c r="F333" s="200" t="s">
        <v>711</v>
      </c>
      <c r="G333" s="123" t="s">
        <v>16</v>
      </c>
      <c r="H333" s="11" t="s">
        <v>531</v>
      </c>
      <c r="K333" s="169"/>
      <c r="L333" s="169"/>
      <c r="M333" s="169"/>
      <c r="N333" s="172"/>
      <c r="O333" s="169"/>
      <c r="P333" s="169"/>
      <c r="Q333" s="169"/>
      <c r="R333" s="169"/>
      <c r="S333" s="169"/>
      <c r="T333" s="169">
        <f t="shared" si="113"/>
        <v>0</v>
      </c>
      <c r="U333" s="169"/>
      <c r="V333" s="169"/>
      <c r="W333" s="169"/>
      <c r="X333" s="169"/>
      <c r="Y333" s="169"/>
    </row>
    <row r="334" spans="1:25" x14ac:dyDescent="0.25">
      <c r="A334" s="114" t="str">
        <f t="shared" si="114"/>
        <v>SchoolsSchoolsElevator Modifications - BHSGF</v>
      </c>
      <c r="B334" s="11" t="s">
        <v>1</v>
      </c>
      <c r="C334" s="11">
        <v>61</v>
      </c>
      <c r="D334" s="11" t="s">
        <v>1</v>
      </c>
      <c r="F334" s="200" t="s">
        <v>712</v>
      </c>
      <c r="G334" s="123" t="s">
        <v>16</v>
      </c>
      <c r="H334" s="11" t="s">
        <v>531</v>
      </c>
      <c r="K334" s="169"/>
      <c r="L334" s="169"/>
      <c r="M334" s="169"/>
      <c r="N334" s="172"/>
      <c r="O334" s="169"/>
      <c r="P334" s="169"/>
      <c r="Q334" s="169"/>
      <c r="R334" s="169"/>
      <c r="S334" s="169"/>
      <c r="T334" s="169">
        <f t="shared" si="113"/>
        <v>0</v>
      </c>
      <c r="U334" s="169"/>
      <c r="V334" s="169"/>
      <c r="W334" s="169"/>
      <c r="X334" s="169"/>
      <c r="Y334" s="169"/>
    </row>
    <row r="335" spans="1:25" x14ac:dyDescent="0.25">
      <c r="A335" s="114" t="str">
        <f t="shared" si="114"/>
        <v>SchoolsSchoolsMcGee GeneratorGF</v>
      </c>
      <c r="B335" s="11" t="s">
        <v>1</v>
      </c>
      <c r="C335" s="11">
        <v>61</v>
      </c>
      <c r="D335" s="11" t="s">
        <v>1</v>
      </c>
      <c r="F335" s="200" t="s">
        <v>713</v>
      </c>
      <c r="G335" s="123" t="s">
        <v>16</v>
      </c>
      <c r="H335" s="11" t="s">
        <v>531</v>
      </c>
      <c r="K335" s="169"/>
      <c r="L335" s="169"/>
      <c r="M335" s="169"/>
      <c r="N335" s="172"/>
      <c r="O335" s="169"/>
      <c r="P335" s="169"/>
      <c r="Q335" s="169">
        <f>500000</f>
        <v>500000</v>
      </c>
      <c r="R335" s="169"/>
      <c r="S335" s="169"/>
      <c r="T335" s="169">
        <f t="shared" si="113"/>
        <v>0</v>
      </c>
      <c r="U335" s="169"/>
      <c r="V335" s="169"/>
      <c r="W335" s="169"/>
      <c r="X335" s="169"/>
      <c r="Y335" s="169"/>
    </row>
    <row r="336" spans="1:25" x14ac:dyDescent="0.25">
      <c r="A336" s="114" t="str">
        <f t="shared" si="114"/>
        <v>SchoolsSchoolsWater Heaters - all schoolsGF</v>
      </c>
      <c r="B336" s="11" t="s">
        <v>1</v>
      </c>
      <c r="C336" s="11">
        <v>61</v>
      </c>
      <c r="D336" s="11" t="s">
        <v>1</v>
      </c>
      <c r="F336" s="200" t="s">
        <v>735</v>
      </c>
      <c r="G336" s="123" t="s">
        <v>16</v>
      </c>
      <c r="H336" s="11" t="s">
        <v>531</v>
      </c>
      <c r="K336" s="169"/>
      <c r="L336" s="169"/>
      <c r="M336" s="169"/>
      <c r="N336" s="172"/>
      <c r="O336" s="169"/>
      <c r="P336" s="169"/>
      <c r="Q336" s="169"/>
      <c r="R336" s="169"/>
      <c r="S336" s="169"/>
      <c r="T336" s="169">
        <f t="shared" si="113"/>
        <v>200000</v>
      </c>
      <c r="U336" s="169"/>
      <c r="V336" s="169">
        <v>200000</v>
      </c>
      <c r="W336" s="169"/>
      <c r="X336" s="169"/>
      <c r="Y336" s="169"/>
    </row>
    <row r="337" spans="1:25" x14ac:dyDescent="0.25">
      <c r="A337" s="114" t="str">
        <f t="shared" si="114"/>
        <v>SchoolsSchoolsExhaust Fans - all schoolsGF</v>
      </c>
      <c r="B337" s="11" t="s">
        <v>1</v>
      </c>
      <c r="C337" s="11">
        <v>61</v>
      </c>
      <c r="D337" s="11" t="s">
        <v>1</v>
      </c>
      <c r="F337" s="200" t="s">
        <v>736</v>
      </c>
      <c r="G337" s="123" t="s">
        <v>16</v>
      </c>
      <c r="H337" s="11" t="s">
        <v>531</v>
      </c>
      <c r="K337" s="169"/>
      <c r="L337" s="169"/>
      <c r="M337" s="169"/>
      <c r="N337" s="172"/>
      <c r="O337" s="169"/>
      <c r="P337" s="169"/>
      <c r="Q337" s="169"/>
      <c r="R337" s="169"/>
      <c r="S337" s="169"/>
      <c r="T337" s="169">
        <f t="shared" si="113"/>
        <v>150000</v>
      </c>
      <c r="U337" s="169"/>
      <c r="V337" s="169">
        <v>150000</v>
      </c>
      <c r="W337" s="169"/>
      <c r="X337" s="169"/>
      <c r="Y337" s="169"/>
    </row>
    <row r="338" spans="1:25" x14ac:dyDescent="0.25">
      <c r="A338" s="114" t="str">
        <f t="shared" si="114"/>
        <v>SchoolsSchoolsWater Pipe - GriswoldGF</v>
      </c>
      <c r="B338" s="11" t="s">
        <v>1</v>
      </c>
      <c r="C338" s="11">
        <v>61</v>
      </c>
      <c r="D338" s="11" t="s">
        <v>1</v>
      </c>
      <c r="F338" s="200" t="s">
        <v>737</v>
      </c>
      <c r="G338" s="123" t="s">
        <v>16</v>
      </c>
      <c r="H338" s="11" t="s">
        <v>531</v>
      </c>
      <c r="K338" s="169"/>
      <c r="L338" s="169"/>
      <c r="M338" s="169"/>
      <c r="N338" s="172"/>
      <c r="O338" s="169"/>
      <c r="P338" s="169"/>
      <c r="Q338" s="169"/>
      <c r="R338" s="169"/>
      <c r="S338" s="169"/>
      <c r="T338" s="169">
        <f t="shared" ref="T338:T363" si="116">SUM(U338:Y338)</f>
        <v>150000</v>
      </c>
      <c r="U338" s="169"/>
      <c r="V338" s="169">
        <v>150000</v>
      </c>
      <c r="W338" s="169"/>
      <c r="X338" s="169"/>
      <c r="Y338" s="169"/>
    </row>
    <row r="339" spans="1:25" x14ac:dyDescent="0.25">
      <c r="A339" s="114" t="str">
        <f t="shared" ref="A339:A356" si="117">B339&amp;D339&amp;F339&amp;G339</f>
        <v>SchoolsSchoolsBoiler Replacement - Hubbard (2)Bond</v>
      </c>
      <c r="B339" s="11" t="s">
        <v>1</v>
      </c>
      <c r="C339" s="11">
        <v>61</v>
      </c>
      <c r="D339" s="11" t="s">
        <v>1</v>
      </c>
      <c r="F339" s="200" t="s">
        <v>194</v>
      </c>
      <c r="G339" s="123" t="s">
        <v>19</v>
      </c>
      <c r="H339" s="11" t="s">
        <v>531</v>
      </c>
      <c r="K339" s="169"/>
      <c r="L339" s="169"/>
      <c r="M339" s="169"/>
      <c r="N339" s="172"/>
      <c r="O339" s="169"/>
      <c r="P339" s="169"/>
      <c r="Q339" s="169"/>
      <c r="R339" s="169"/>
      <c r="S339" s="169"/>
      <c r="T339" s="169">
        <f t="shared" si="116"/>
        <v>1000000</v>
      </c>
      <c r="U339" s="169">
        <v>1000000</v>
      </c>
      <c r="V339" s="169"/>
      <c r="W339" s="169"/>
      <c r="X339" s="169"/>
      <c r="Y339" s="169"/>
    </row>
    <row r="340" spans="1:25" x14ac:dyDescent="0.25">
      <c r="A340" s="114" t="str">
        <f t="shared" si="117"/>
        <v>SchoolsSchoolsBoiler Replacement - Willard (2)Bond</v>
      </c>
      <c r="B340" s="11" t="s">
        <v>1</v>
      </c>
      <c r="C340" s="11">
        <v>61</v>
      </c>
      <c r="D340" s="11" t="s">
        <v>1</v>
      </c>
      <c r="F340" s="200" t="s">
        <v>195</v>
      </c>
      <c r="G340" s="123" t="s">
        <v>19</v>
      </c>
      <c r="H340" s="11" t="s">
        <v>531</v>
      </c>
      <c r="K340" s="169"/>
      <c r="L340" s="169"/>
      <c r="M340" s="169"/>
      <c r="N340" s="172"/>
      <c r="O340" s="169"/>
      <c r="P340" s="169"/>
      <c r="Q340" s="169"/>
      <c r="R340" s="169"/>
      <c r="S340" s="169">
        <f>1000000*0</f>
        <v>0</v>
      </c>
      <c r="T340" s="169">
        <f t="shared" si="116"/>
        <v>1000000</v>
      </c>
      <c r="U340" s="169">
        <v>1000000</v>
      </c>
      <c r="V340" s="169"/>
      <c r="W340" s="169"/>
      <c r="X340" s="169"/>
      <c r="Y340" s="169"/>
    </row>
    <row r="341" spans="1:25" x14ac:dyDescent="0.25">
      <c r="A341" s="114" t="str">
        <f t="shared" si="117"/>
        <v>SchoolsSchoolsBoiler Replacement - GriswoldBond</v>
      </c>
      <c r="B341" s="11" t="s">
        <v>1</v>
      </c>
      <c r="C341" s="11">
        <v>61</v>
      </c>
      <c r="D341" s="11" t="s">
        <v>1</v>
      </c>
      <c r="F341" s="200" t="s">
        <v>726</v>
      </c>
      <c r="G341" s="123" t="s">
        <v>19</v>
      </c>
      <c r="H341" s="11" t="s">
        <v>531</v>
      </c>
      <c r="K341" s="169"/>
      <c r="L341" s="169"/>
      <c r="M341" s="169"/>
      <c r="N341" s="172"/>
      <c r="O341" s="169"/>
      <c r="P341" s="169"/>
      <c r="Q341" s="169"/>
      <c r="R341" s="169"/>
      <c r="S341" s="169">
        <v>1000000</v>
      </c>
      <c r="T341" s="169">
        <f t="shared" si="116"/>
        <v>0</v>
      </c>
      <c r="U341" s="169"/>
      <c r="V341" s="169"/>
      <c r="W341" s="169"/>
      <c r="X341" s="169"/>
      <c r="Y341" s="169"/>
    </row>
    <row r="342" spans="1:25" x14ac:dyDescent="0.25">
      <c r="A342" s="114" t="str">
        <f t="shared" ref="A342:A344" si="118">B342&amp;D342&amp;F342&amp;G342</f>
        <v>SchoolsSchoolsHVAC - WillardBond</v>
      </c>
      <c r="B342" s="11" t="s">
        <v>1</v>
      </c>
      <c r="C342" s="11">
        <v>61</v>
      </c>
      <c r="D342" s="11" t="s">
        <v>1</v>
      </c>
      <c r="F342" s="200" t="s">
        <v>240</v>
      </c>
      <c r="G342" s="123" t="s">
        <v>19</v>
      </c>
      <c r="K342" s="169"/>
      <c r="L342" s="169"/>
      <c r="M342" s="169"/>
      <c r="N342" s="172"/>
      <c r="O342" s="169"/>
      <c r="P342" s="169">
        <v>2800000</v>
      </c>
      <c r="Q342" s="169"/>
      <c r="R342" s="169"/>
      <c r="S342" s="169"/>
      <c r="T342" s="169">
        <f t="shared" si="116"/>
        <v>0</v>
      </c>
      <c r="U342" s="169"/>
      <c r="V342" s="169"/>
      <c r="W342" s="169"/>
      <c r="X342" s="169"/>
      <c r="Y342" s="169"/>
    </row>
    <row r="343" spans="1:25" x14ac:dyDescent="0.25">
      <c r="A343" s="114" t="str">
        <f t="shared" si="118"/>
        <v>SchoolsSchoolsHVAC - GriswoldBond</v>
      </c>
      <c r="B343" s="11" t="s">
        <v>1</v>
      </c>
      <c r="C343" s="11">
        <v>61</v>
      </c>
      <c r="D343" s="11" t="s">
        <v>1</v>
      </c>
      <c r="F343" s="200" t="s">
        <v>198</v>
      </c>
      <c r="G343" s="123" t="s">
        <v>19</v>
      </c>
      <c r="K343" s="169"/>
      <c r="L343" s="169"/>
      <c r="M343" s="169"/>
      <c r="N343" s="172"/>
      <c r="O343" s="169"/>
      <c r="P343" s="169"/>
      <c r="Q343" s="169">
        <v>2800000</v>
      </c>
      <c r="R343" s="169"/>
      <c r="S343" s="169"/>
      <c r="T343" s="169">
        <f t="shared" si="116"/>
        <v>0</v>
      </c>
      <c r="U343" s="169"/>
      <c r="V343" s="169"/>
      <c r="W343" s="169"/>
      <c r="X343" s="169"/>
      <c r="Y343" s="169"/>
    </row>
    <row r="344" spans="1:25" x14ac:dyDescent="0.25">
      <c r="A344" s="114" t="str">
        <f t="shared" si="118"/>
        <v>SchoolsSchoolsHVAC - HubbardBond</v>
      </c>
      <c r="B344" s="11" t="s">
        <v>1</v>
      </c>
      <c r="C344" s="11">
        <v>61</v>
      </c>
      <c r="D344" s="11" t="s">
        <v>1</v>
      </c>
      <c r="F344" s="200" t="s">
        <v>199</v>
      </c>
      <c r="G344" s="123" t="s">
        <v>19</v>
      </c>
      <c r="K344" s="169"/>
      <c r="L344" s="169"/>
      <c r="M344" s="169"/>
      <c r="N344" s="172"/>
      <c r="O344" s="169"/>
      <c r="P344" s="169"/>
      <c r="Q344" s="169"/>
      <c r="R344" s="169">
        <v>2800000</v>
      </c>
      <c r="S344" s="169"/>
      <c r="T344" s="169">
        <f t="shared" si="116"/>
        <v>0</v>
      </c>
      <c r="U344" s="169"/>
      <c r="V344" s="169"/>
      <c r="W344" s="169"/>
      <c r="X344" s="169"/>
      <c r="Y344" s="169"/>
    </row>
    <row r="345" spans="1:25" x14ac:dyDescent="0.25">
      <c r="A345" s="114" t="str">
        <f t="shared" si="117"/>
        <v>SchoolsSchoolsChiller &amp; Pumps - McGeeGF</v>
      </c>
      <c r="B345" s="11" t="s">
        <v>1</v>
      </c>
      <c r="C345" s="11">
        <v>61</v>
      </c>
      <c r="D345" s="11" t="s">
        <v>1</v>
      </c>
      <c r="F345" s="200" t="s">
        <v>707</v>
      </c>
      <c r="G345" s="123" t="s">
        <v>16</v>
      </c>
      <c r="H345" s="11" t="s">
        <v>531</v>
      </c>
      <c r="K345" s="169"/>
      <c r="L345" s="169"/>
      <c r="M345" s="169"/>
      <c r="N345" s="172"/>
      <c r="O345" s="169"/>
      <c r="P345" s="169"/>
      <c r="Q345" s="169"/>
      <c r="R345" s="169"/>
      <c r="S345" s="169"/>
      <c r="T345" s="169">
        <f t="shared" si="116"/>
        <v>1200000</v>
      </c>
      <c r="U345" s="169"/>
      <c r="V345" s="169"/>
      <c r="W345" s="169"/>
      <c r="X345" s="169">
        <v>1200000</v>
      </c>
      <c r="Y345" s="169"/>
    </row>
    <row r="346" spans="1:25" x14ac:dyDescent="0.25">
      <c r="A346" s="114" t="str">
        <f t="shared" si="117"/>
        <v>SchoolsSchoolsMcGee Rooftop Unit 1GF</v>
      </c>
      <c r="B346" s="11" t="s">
        <v>1</v>
      </c>
      <c r="C346" s="11">
        <v>61</v>
      </c>
      <c r="D346" s="11" t="s">
        <v>1</v>
      </c>
      <c r="F346" s="200" t="s">
        <v>722</v>
      </c>
      <c r="G346" s="123" t="s">
        <v>16</v>
      </c>
      <c r="H346" s="11" t="s">
        <v>531</v>
      </c>
      <c r="K346" s="169"/>
      <c r="L346" s="169"/>
      <c r="M346" s="169"/>
      <c r="N346" s="172"/>
      <c r="O346" s="169">
        <f>225000*0</f>
        <v>0</v>
      </c>
      <c r="P346" s="169"/>
      <c r="Q346" s="169"/>
      <c r="R346" s="169">
        <v>225000</v>
      </c>
      <c r="S346" s="169"/>
      <c r="T346" s="169">
        <f t="shared" si="116"/>
        <v>0</v>
      </c>
      <c r="U346" s="169"/>
      <c r="V346" s="169"/>
      <c r="W346" s="169"/>
      <c r="X346" s="169"/>
      <c r="Y346" s="169"/>
    </row>
    <row r="347" spans="1:25" x14ac:dyDescent="0.25">
      <c r="A347" s="114" t="str">
        <f t="shared" si="117"/>
        <v>SchoolsSchoolsMcGee Rooftop Unit 2GF</v>
      </c>
      <c r="B347" s="11" t="s">
        <v>1</v>
      </c>
      <c r="C347" s="11">
        <v>61</v>
      </c>
      <c r="D347" s="11" t="s">
        <v>1</v>
      </c>
      <c r="F347" s="200" t="s">
        <v>723</v>
      </c>
      <c r="G347" s="123" t="s">
        <v>16</v>
      </c>
      <c r="H347" s="11" t="s">
        <v>531</v>
      </c>
      <c r="K347" s="169"/>
      <c r="L347" s="169"/>
      <c r="M347" s="169"/>
      <c r="N347" s="172"/>
      <c r="O347" s="169"/>
      <c r="P347" s="169">
        <f>250000*0</f>
        <v>0</v>
      </c>
      <c r="Q347" s="169"/>
      <c r="R347" s="169"/>
      <c r="S347" s="169">
        <v>250000</v>
      </c>
      <c r="T347" s="169">
        <f t="shared" si="116"/>
        <v>0</v>
      </c>
      <c r="U347" s="169"/>
      <c r="V347" s="169"/>
      <c r="W347" s="169"/>
      <c r="X347" s="169"/>
      <c r="Y347" s="169"/>
    </row>
    <row r="348" spans="1:25" x14ac:dyDescent="0.25">
      <c r="A348" s="114" t="str">
        <f t="shared" si="117"/>
        <v>SchoolsSchoolsMcGee Lockers (boy's locker room)Grants</v>
      </c>
      <c r="B348" s="11" t="s">
        <v>1</v>
      </c>
      <c r="C348" s="11">
        <v>61</v>
      </c>
      <c r="D348" s="11" t="s">
        <v>1</v>
      </c>
      <c r="F348" s="197" t="s">
        <v>540</v>
      </c>
      <c r="G348" s="11" t="s">
        <v>38</v>
      </c>
      <c r="H348" s="11" t="s">
        <v>531</v>
      </c>
      <c r="K348" s="169">
        <v>46000</v>
      </c>
      <c r="L348" s="169"/>
      <c r="M348" s="169"/>
      <c r="N348" s="172"/>
      <c r="O348" s="169"/>
      <c r="P348" s="169"/>
      <c r="Q348" s="169"/>
      <c r="R348" s="169"/>
      <c r="S348" s="169"/>
      <c r="T348" s="169">
        <f t="shared" si="116"/>
        <v>0</v>
      </c>
      <c r="U348" s="169"/>
      <c r="V348" s="169"/>
      <c r="W348" s="169"/>
      <c r="X348" s="169"/>
      <c r="Y348" s="169"/>
    </row>
    <row r="349" spans="1:25" x14ac:dyDescent="0.25">
      <c r="A349" s="114" t="str">
        <f t="shared" si="117"/>
        <v>SchoolsSchoolsSecurity Cameras (various schools)Grants</v>
      </c>
      <c r="B349" s="11" t="s">
        <v>1</v>
      </c>
      <c r="C349" s="11">
        <v>61</v>
      </c>
      <c r="D349" s="11" t="s">
        <v>1</v>
      </c>
      <c r="F349" s="197" t="s">
        <v>109</v>
      </c>
      <c r="G349" s="11" t="s">
        <v>38</v>
      </c>
      <c r="H349" s="11" t="s">
        <v>531</v>
      </c>
      <c r="K349" s="169">
        <v>45000</v>
      </c>
      <c r="L349" s="169"/>
      <c r="M349" s="169"/>
      <c r="N349" s="172"/>
      <c r="O349" s="169"/>
      <c r="P349" s="169"/>
      <c r="Q349" s="169"/>
      <c r="R349" s="169"/>
      <c r="S349" s="169"/>
      <c r="T349" s="169">
        <f t="shared" si="116"/>
        <v>0</v>
      </c>
      <c r="U349" s="169"/>
      <c r="V349" s="169"/>
      <c r="W349" s="169"/>
      <c r="X349" s="169"/>
      <c r="Y349" s="169"/>
    </row>
    <row r="350" spans="1:25" x14ac:dyDescent="0.25">
      <c r="A350" s="114" t="str">
        <f t="shared" ref="A350" si="119">B350&amp;D350&amp;F350&amp;G350</f>
        <v>SchoolsSchoolsSecurity Cameras (Griswold)GF</v>
      </c>
      <c r="B350" s="11" t="s">
        <v>1</v>
      </c>
      <c r="C350" s="11">
        <v>61</v>
      </c>
      <c r="D350" s="11" t="s">
        <v>1</v>
      </c>
      <c r="F350" s="276" t="s">
        <v>951</v>
      </c>
      <c r="G350" s="11" t="s">
        <v>16</v>
      </c>
      <c r="H350" s="11" t="s">
        <v>531</v>
      </c>
      <c r="K350" s="169"/>
      <c r="L350" s="169"/>
      <c r="M350" s="169"/>
      <c r="N350" s="172"/>
      <c r="O350" s="169">
        <v>0</v>
      </c>
      <c r="P350" s="169"/>
      <c r="Q350" s="169"/>
      <c r="R350" s="169"/>
      <c r="S350" s="169"/>
      <c r="T350" s="169">
        <f t="shared" si="116"/>
        <v>0</v>
      </c>
      <c r="U350" s="169"/>
      <c r="V350" s="169"/>
      <c r="W350" s="169"/>
      <c r="X350" s="169"/>
      <c r="Y350" s="169"/>
    </row>
    <row r="351" spans="1:25" x14ac:dyDescent="0.25">
      <c r="A351" s="114" t="str">
        <f t="shared" ref="A351:A352" si="120">B351&amp;D351&amp;F351&amp;G351</f>
        <v>SchoolsSchoolsEmergency Notification SystemGrants</v>
      </c>
      <c r="B351" s="11" t="s">
        <v>1</v>
      </c>
      <c r="C351" s="11">
        <v>61</v>
      </c>
      <c r="D351" s="11" t="s">
        <v>1</v>
      </c>
      <c r="F351" s="273" t="s">
        <v>933</v>
      </c>
      <c r="G351" s="11" t="s">
        <v>38</v>
      </c>
      <c r="K351" s="169"/>
      <c r="L351" s="169"/>
      <c r="M351" s="169"/>
      <c r="N351" s="172"/>
      <c r="O351" s="169">
        <f>25000*0</f>
        <v>0</v>
      </c>
      <c r="P351" s="169"/>
      <c r="Q351" s="169"/>
      <c r="R351" s="169"/>
      <c r="S351" s="169"/>
      <c r="T351" s="169">
        <f t="shared" si="116"/>
        <v>0</v>
      </c>
      <c r="U351" s="169"/>
      <c r="V351" s="169"/>
      <c r="W351" s="169"/>
      <c r="X351" s="169"/>
      <c r="Y351" s="169"/>
    </row>
    <row r="352" spans="1:25" x14ac:dyDescent="0.25">
      <c r="A352" s="114" t="str">
        <f t="shared" si="120"/>
        <v>SchoolsSchoolsRadio System - district-wide for security guardsGrants</v>
      </c>
      <c r="B352" s="11" t="s">
        <v>1</v>
      </c>
      <c r="C352" s="11">
        <v>61</v>
      </c>
      <c r="D352" s="11" t="s">
        <v>1</v>
      </c>
      <c r="F352" s="273" t="s">
        <v>952</v>
      </c>
      <c r="G352" s="11" t="s">
        <v>38</v>
      </c>
      <c r="K352" s="169"/>
      <c r="L352" s="169"/>
      <c r="M352" s="169"/>
      <c r="N352" s="172"/>
      <c r="O352" s="169">
        <v>170000</v>
      </c>
      <c r="P352" s="169"/>
      <c r="Q352" s="169"/>
      <c r="R352" s="169"/>
      <c r="S352" s="169"/>
      <c r="T352" s="169">
        <f t="shared" si="116"/>
        <v>0</v>
      </c>
      <c r="U352" s="169"/>
      <c r="V352" s="169"/>
      <c r="W352" s="169"/>
      <c r="X352" s="169"/>
      <c r="Y352" s="169"/>
    </row>
    <row r="353" spans="1:25" x14ac:dyDescent="0.25">
      <c r="A353" s="114" t="str">
        <f t="shared" si="117"/>
        <v>SchoolsSchoolsHubbard School RoofBond</v>
      </c>
      <c r="B353" s="11" t="s">
        <v>1</v>
      </c>
      <c r="C353" s="11">
        <v>61</v>
      </c>
      <c r="D353" s="11" t="s">
        <v>1</v>
      </c>
      <c r="F353" s="197" t="s">
        <v>104</v>
      </c>
      <c r="G353" s="11" t="s">
        <v>19</v>
      </c>
      <c r="H353" s="11" t="s">
        <v>531</v>
      </c>
      <c r="K353" s="169">
        <v>515000</v>
      </c>
      <c r="L353" s="169"/>
      <c r="M353" s="169"/>
      <c r="N353" s="172"/>
      <c r="O353" s="169"/>
      <c r="P353" s="169"/>
      <c r="Q353" s="169"/>
      <c r="R353" s="169"/>
      <c r="S353" s="169"/>
      <c r="T353" s="169">
        <f t="shared" si="116"/>
        <v>0</v>
      </c>
      <c r="U353" s="169"/>
      <c r="V353" s="169"/>
      <c r="W353" s="169"/>
      <c r="X353" s="169"/>
      <c r="Y353" s="169"/>
    </row>
    <row r="354" spans="1:25" ht="30" x14ac:dyDescent="0.25">
      <c r="A354" s="114" t="str">
        <f t="shared" si="117"/>
        <v>SchoolsSchoolsSecurity Vestibules - all schools except BHS; BHS completed as part of projectGrants</v>
      </c>
      <c r="B354" s="11" t="s">
        <v>1</v>
      </c>
      <c r="C354" s="11">
        <v>61</v>
      </c>
      <c r="D354" s="11" t="s">
        <v>1</v>
      </c>
      <c r="F354" s="200" t="s">
        <v>504</v>
      </c>
      <c r="G354" s="11" t="s">
        <v>38</v>
      </c>
      <c r="H354" s="11" t="s">
        <v>531</v>
      </c>
      <c r="K354" s="169"/>
      <c r="L354" s="169"/>
      <c r="M354" s="169">
        <v>270088</v>
      </c>
      <c r="N354" s="172"/>
      <c r="O354" s="169"/>
      <c r="P354" s="169"/>
      <c r="Q354" s="169"/>
      <c r="R354" s="169"/>
      <c r="S354" s="169"/>
      <c r="T354" s="169">
        <f t="shared" si="116"/>
        <v>0</v>
      </c>
      <c r="U354" s="169"/>
      <c r="V354" s="169"/>
      <c r="W354" s="169"/>
      <c r="X354" s="169"/>
      <c r="Y354" s="169"/>
    </row>
    <row r="355" spans="1:25" ht="30" x14ac:dyDescent="0.25">
      <c r="A355" s="114" t="str">
        <f t="shared" si="117"/>
        <v>SchoolsSchoolsSecurity Vestibules - all schools except BHS; BHS completed as part of projectCapital</v>
      </c>
      <c r="B355" s="11" t="s">
        <v>1</v>
      </c>
      <c r="C355" s="11">
        <v>61</v>
      </c>
      <c r="D355" s="11" t="s">
        <v>1</v>
      </c>
      <c r="F355" s="200" t="s">
        <v>504</v>
      </c>
      <c r="G355" s="11" t="s">
        <v>533</v>
      </c>
      <c r="H355" s="11" t="s">
        <v>531</v>
      </c>
      <c r="K355" s="169"/>
      <c r="L355" s="169">
        <v>231542</v>
      </c>
      <c r="M355" s="169">
        <v>237000</v>
      </c>
      <c r="N355" s="172"/>
      <c r="O355" s="169"/>
      <c r="P355" s="169"/>
      <c r="Q355" s="169"/>
      <c r="R355" s="169"/>
      <c r="S355" s="169"/>
      <c r="T355" s="169">
        <f t="shared" si="116"/>
        <v>0</v>
      </c>
      <c r="U355" s="169"/>
      <c r="V355" s="169"/>
      <c r="W355" s="169"/>
      <c r="X355" s="169"/>
      <c r="Y355" s="169"/>
    </row>
    <row r="356" spans="1:25" ht="30" x14ac:dyDescent="0.25">
      <c r="A356" s="114" t="str">
        <f t="shared" si="117"/>
        <v>SchoolsSchoolsSecurity Vestibules - all schools except BHS; BHS completed as part of projectBond - E</v>
      </c>
      <c r="B356" s="11" t="s">
        <v>1</v>
      </c>
      <c r="C356" s="11">
        <v>61</v>
      </c>
      <c r="D356" s="11" t="s">
        <v>1</v>
      </c>
      <c r="F356" s="200" t="s">
        <v>504</v>
      </c>
      <c r="G356" s="123" t="s">
        <v>243</v>
      </c>
      <c r="H356" s="11" t="s">
        <v>531</v>
      </c>
      <c r="K356" s="169">
        <v>185000</v>
      </c>
      <c r="L356" s="169"/>
      <c r="M356" s="169"/>
      <c r="N356" s="172"/>
      <c r="O356" s="169"/>
      <c r="P356" s="169"/>
      <c r="Q356" s="169"/>
      <c r="R356" s="169"/>
      <c r="S356" s="169"/>
      <c r="T356" s="169">
        <f t="shared" si="116"/>
        <v>0</v>
      </c>
      <c r="U356" s="169"/>
      <c r="V356" s="169"/>
      <c r="W356" s="169"/>
      <c r="X356" s="169"/>
      <c r="Y356" s="169"/>
    </row>
    <row r="357" spans="1:25" x14ac:dyDescent="0.25">
      <c r="A357" s="114" t="str">
        <f t="shared" ref="A357:A363" si="121">B357&amp;D357&amp;F357&amp;G357</f>
        <v>SchoolsSchoolsMcGee Library Media Center (Lighting, Carpeting)Surplus</v>
      </c>
      <c r="B357" s="11" t="s">
        <v>1</v>
      </c>
      <c r="C357" s="11">
        <v>61</v>
      </c>
      <c r="D357" s="11" t="s">
        <v>1</v>
      </c>
      <c r="F357" s="200" t="s">
        <v>926</v>
      </c>
      <c r="G357" s="123" t="s">
        <v>1036</v>
      </c>
      <c r="K357" s="169"/>
      <c r="L357" s="169"/>
      <c r="M357" s="169"/>
      <c r="N357" s="172"/>
      <c r="O357" s="169"/>
      <c r="P357" s="169">
        <f>40000+42000</f>
        <v>82000</v>
      </c>
      <c r="Q357" s="169"/>
      <c r="R357" s="169"/>
      <c r="S357" s="169"/>
      <c r="T357" s="169">
        <f t="shared" si="116"/>
        <v>0</v>
      </c>
      <c r="U357" s="169"/>
      <c r="V357" s="169"/>
      <c r="W357" s="169"/>
      <c r="X357" s="169"/>
      <c r="Y357" s="169"/>
    </row>
    <row r="358" spans="1:25" x14ac:dyDescent="0.25">
      <c r="A358" s="114" t="str">
        <f t="shared" ref="A358" si="122">B358&amp;D358&amp;F358&amp;G358</f>
        <v>SchoolsSchoolsMcGee Middle School (Television Studio)Surplus</v>
      </c>
      <c r="B358" s="11" t="s">
        <v>1</v>
      </c>
      <c r="C358" s="11">
        <v>61</v>
      </c>
      <c r="D358" s="11" t="s">
        <v>1</v>
      </c>
      <c r="F358" s="200" t="s">
        <v>929</v>
      </c>
      <c r="G358" s="123" t="s">
        <v>1036</v>
      </c>
      <c r="K358" s="169"/>
      <c r="L358" s="169"/>
      <c r="M358" s="169"/>
      <c r="N358" s="172"/>
      <c r="O358" s="169"/>
      <c r="P358" s="169">
        <v>25000</v>
      </c>
      <c r="Q358" s="169"/>
      <c r="R358" s="169"/>
      <c r="S358" s="169"/>
      <c r="T358" s="169">
        <f t="shared" si="116"/>
        <v>0</v>
      </c>
      <c r="U358" s="169"/>
      <c r="V358" s="169"/>
      <c r="W358" s="169"/>
      <c r="X358" s="169"/>
      <c r="Y358" s="169"/>
    </row>
    <row r="359" spans="1:25" x14ac:dyDescent="0.25">
      <c r="A359" s="114" t="str">
        <f t="shared" si="121"/>
        <v>SchoolsSchoolsHubbard Elementary School (Lighting)Surplus</v>
      </c>
      <c r="B359" s="11" t="s">
        <v>1</v>
      </c>
      <c r="C359" s="11">
        <v>61</v>
      </c>
      <c r="D359" s="11" t="s">
        <v>1</v>
      </c>
      <c r="F359" s="200" t="s">
        <v>927</v>
      </c>
      <c r="G359" s="123" t="s">
        <v>1036</v>
      </c>
      <c r="K359" s="169"/>
      <c r="L359" s="169"/>
      <c r="M359" s="169"/>
      <c r="N359" s="172"/>
      <c r="O359" s="169"/>
      <c r="P359" s="169">
        <v>30000</v>
      </c>
      <c r="Q359" s="169"/>
      <c r="R359" s="169"/>
      <c r="S359" s="169"/>
      <c r="T359" s="169">
        <f t="shared" si="116"/>
        <v>0</v>
      </c>
      <c r="U359" s="169"/>
      <c r="V359" s="169"/>
      <c r="W359" s="169"/>
      <c r="X359" s="169"/>
      <c r="Y359" s="169"/>
    </row>
    <row r="360" spans="1:25" x14ac:dyDescent="0.25">
      <c r="A360" s="114" t="str">
        <f t="shared" si="121"/>
        <v>SchoolsSchoolsHubbard Library Media Center (Carpeting, Millwork)Surplus</v>
      </c>
      <c r="B360" s="11" t="s">
        <v>1</v>
      </c>
      <c r="C360" s="11">
        <v>61</v>
      </c>
      <c r="D360" s="11" t="s">
        <v>1</v>
      </c>
      <c r="F360" s="200" t="s">
        <v>928</v>
      </c>
      <c r="G360" s="123" t="s">
        <v>1036</v>
      </c>
      <c r="K360" s="169"/>
      <c r="L360" s="169"/>
      <c r="M360" s="169"/>
      <c r="N360" s="172"/>
      <c r="O360" s="169"/>
      <c r="P360" s="169">
        <f>32000+30000</f>
        <v>62000</v>
      </c>
      <c r="Q360" s="169"/>
      <c r="R360" s="169"/>
      <c r="S360" s="169"/>
      <c r="T360" s="169">
        <f t="shared" si="116"/>
        <v>0</v>
      </c>
      <c r="U360" s="169"/>
      <c r="V360" s="169"/>
      <c r="W360" s="169"/>
      <c r="X360" s="169"/>
      <c r="Y360" s="169"/>
    </row>
    <row r="361" spans="1:25" x14ac:dyDescent="0.25">
      <c r="A361" s="114" t="str">
        <f t="shared" si="121"/>
        <v>SchoolsSchoolsFloor Tiles (Griswold, Hubbard, Willard)Surplus</v>
      </c>
      <c r="B361" s="11" t="s">
        <v>1</v>
      </c>
      <c r="C361" s="11">
        <v>61</v>
      </c>
      <c r="D361" s="11" t="s">
        <v>1</v>
      </c>
      <c r="F361" s="200" t="s">
        <v>930</v>
      </c>
      <c r="G361" s="123" t="s">
        <v>1036</v>
      </c>
      <c r="K361" s="169"/>
      <c r="L361" s="169"/>
      <c r="M361" s="169"/>
      <c r="N361" s="172"/>
      <c r="O361" s="169"/>
      <c r="P361" s="169">
        <v>75000</v>
      </c>
      <c r="Q361" s="169"/>
      <c r="R361" s="169"/>
      <c r="S361" s="169"/>
      <c r="T361" s="169">
        <f t="shared" si="116"/>
        <v>0</v>
      </c>
      <c r="U361" s="169"/>
      <c r="V361" s="169"/>
      <c r="W361" s="169"/>
      <c r="X361" s="169"/>
      <c r="Y361" s="169"/>
    </row>
    <row r="362" spans="1:25" ht="30" x14ac:dyDescent="0.25">
      <c r="A362" s="114" t="str">
        <f t="shared" ref="A362" si="123">B362&amp;D362&amp;F362&amp;G362</f>
        <v>SchoolsSchoolsOffice Reconfiguration (Griswold, Hubbard, McGee, Willard) - included in FY21 Transfers within GF budgetSurplus</v>
      </c>
      <c r="B362" s="11" t="s">
        <v>1</v>
      </c>
      <c r="C362" s="11">
        <v>61</v>
      </c>
      <c r="D362" s="11" t="s">
        <v>1</v>
      </c>
      <c r="F362" s="200" t="s">
        <v>1107</v>
      </c>
      <c r="G362" s="123" t="s">
        <v>1036</v>
      </c>
      <c r="K362" s="169"/>
      <c r="L362" s="169"/>
      <c r="M362" s="169"/>
      <c r="N362" s="172"/>
      <c r="O362" s="169"/>
      <c r="P362" s="169"/>
      <c r="Q362" s="169"/>
      <c r="R362" s="169"/>
      <c r="S362" s="169"/>
      <c r="T362" s="169">
        <f t="shared" si="116"/>
        <v>0</v>
      </c>
      <c r="U362" s="169"/>
      <c r="V362" s="169"/>
      <c r="W362" s="169"/>
      <c r="X362" s="169"/>
      <c r="Y362" s="169"/>
    </row>
    <row r="363" spans="1:25" x14ac:dyDescent="0.25">
      <c r="A363" s="114" t="str">
        <f t="shared" si="121"/>
        <v>SchoolsSchoolsLavatory Upgrades (Griswold, Hubbard, Willard)Surplus</v>
      </c>
      <c r="B363" s="11" t="s">
        <v>1</v>
      </c>
      <c r="C363" s="11">
        <v>61</v>
      </c>
      <c r="D363" s="11" t="s">
        <v>1</v>
      </c>
      <c r="F363" s="200" t="s">
        <v>932</v>
      </c>
      <c r="G363" s="123" t="s">
        <v>1036</v>
      </c>
      <c r="K363" s="169"/>
      <c r="L363" s="169"/>
      <c r="M363" s="169"/>
      <c r="N363" s="172"/>
      <c r="O363" s="169"/>
      <c r="P363" s="169">
        <v>25000</v>
      </c>
      <c r="Q363" s="169"/>
      <c r="R363" s="169"/>
      <c r="S363" s="169"/>
      <c r="T363" s="169">
        <f t="shared" si="116"/>
        <v>0</v>
      </c>
      <c r="U363" s="169"/>
      <c r="V363" s="169"/>
      <c r="W363" s="169"/>
      <c r="X363" s="169"/>
      <c r="Y363" s="169"/>
    </row>
    <row r="364" spans="1:25" ht="15.75" thickBot="1" x14ac:dyDescent="0.3">
      <c r="K364" s="168">
        <f>SUM(K274:K363)</f>
        <v>829950</v>
      </c>
      <c r="L364" s="168">
        <f>SUM(L274:L363)</f>
        <v>1159373</v>
      </c>
      <c r="M364" s="168">
        <f>SUM(M274:M363)</f>
        <v>637088</v>
      </c>
      <c r="N364" s="171"/>
      <c r="O364" s="168">
        <f t="shared" ref="O364:Y364" si="124">SUM(O274:O363)</f>
        <v>320000</v>
      </c>
      <c r="P364" s="168">
        <f t="shared" si="124"/>
        <v>3784000</v>
      </c>
      <c r="Q364" s="168">
        <f t="shared" si="124"/>
        <v>3560000</v>
      </c>
      <c r="R364" s="168">
        <f t="shared" si="124"/>
        <v>3285000</v>
      </c>
      <c r="S364" s="168">
        <f t="shared" si="124"/>
        <v>3201800</v>
      </c>
      <c r="T364" s="168">
        <f t="shared" si="124"/>
        <v>17613000</v>
      </c>
      <c r="U364" s="168">
        <f t="shared" si="124"/>
        <v>2935000</v>
      </c>
      <c r="V364" s="168">
        <f t="shared" si="124"/>
        <v>4673000</v>
      </c>
      <c r="W364" s="168">
        <f t="shared" si="124"/>
        <v>4510000</v>
      </c>
      <c r="X364" s="168">
        <f t="shared" si="124"/>
        <v>3460000</v>
      </c>
      <c r="Y364" s="168">
        <f t="shared" si="124"/>
        <v>2035000</v>
      </c>
    </row>
    <row r="365" spans="1:25" ht="15.75" thickTop="1" x14ac:dyDescent="0.25">
      <c r="K365" s="124"/>
      <c r="L365" s="169"/>
      <c r="M365" s="115"/>
      <c r="N365" s="172"/>
      <c r="O365" s="115"/>
      <c r="P365" s="115"/>
      <c r="Q365" s="115"/>
      <c r="R365" s="115"/>
      <c r="S365" s="115"/>
      <c r="T365" s="115"/>
      <c r="U365" s="115"/>
      <c r="V365" s="115"/>
      <c r="W365" s="115"/>
      <c r="X365" s="115"/>
      <c r="Y365" s="115"/>
    </row>
    <row r="366" spans="1:25" x14ac:dyDescent="0.25">
      <c r="C366" s="220"/>
      <c r="D366" s="220"/>
      <c r="E366" s="221"/>
      <c r="F366" s="203"/>
      <c r="G366" s="220"/>
      <c r="H366" s="220"/>
      <c r="I366" s="220"/>
      <c r="J366" s="221"/>
      <c r="K366" s="222"/>
      <c r="L366" s="222"/>
      <c r="M366" s="220"/>
      <c r="N366" s="223"/>
      <c r="O366" s="220"/>
      <c r="P366" s="220"/>
      <c r="Q366" s="220"/>
      <c r="R366" s="220"/>
      <c r="S366" s="220"/>
      <c r="T366" s="220"/>
      <c r="U366" s="220"/>
      <c r="V366" s="220"/>
      <c r="W366" s="220"/>
      <c r="X366" s="220"/>
      <c r="Y366" s="220"/>
    </row>
    <row r="367" spans="1:25" ht="15.75" thickBot="1" x14ac:dyDescent="0.3">
      <c r="E367" s="121"/>
      <c r="G367" s="117" t="s">
        <v>479</v>
      </c>
      <c r="H367" s="117"/>
      <c r="I367" s="117"/>
      <c r="J367" s="121"/>
      <c r="K367" s="170">
        <f>SUM(K9:K365)/2</f>
        <v>5369586</v>
      </c>
      <c r="L367" s="170">
        <f>SUM(L9:L365)/2</f>
        <v>6919567</v>
      </c>
      <c r="M367" s="122">
        <f>SUM(M9:M365)/2</f>
        <v>8104474</v>
      </c>
      <c r="N367" s="173"/>
      <c r="O367" s="122">
        <f t="shared" ref="O367:Y367" si="125">SUM(O9:O365)/2</f>
        <v>10887201</v>
      </c>
      <c r="P367" s="122">
        <f t="shared" si="125"/>
        <v>9943000</v>
      </c>
      <c r="Q367" s="122">
        <f t="shared" si="125"/>
        <v>7557482</v>
      </c>
      <c r="R367" s="122">
        <f t="shared" si="125"/>
        <v>9749362.5</v>
      </c>
      <c r="S367" s="122">
        <f t="shared" si="125"/>
        <v>8095915.625</v>
      </c>
      <c r="T367" s="122">
        <f t="shared" si="125"/>
        <v>51719559.128554881</v>
      </c>
      <c r="U367" s="122">
        <f t="shared" si="125"/>
        <v>11960408.15625</v>
      </c>
      <c r="V367" s="122">
        <f t="shared" si="125"/>
        <v>13364741.5640625</v>
      </c>
      <c r="W367" s="122">
        <f t="shared" si="125"/>
        <v>10693390.042265626</v>
      </c>
      <c r="X367" s="122">
        <f t="shared" si="125"/>
        <v>11375279.544378906</v>
      </c>
      <c r="Y367" s="122">
        <f t="shared" si="125"/>
        <v>4325739.8215978518</v>
      </c>
    </row>
    <row r="368" spans="1:25" ht="15.75" thickTop="1" x14ac:dyDescent="0.25">
      <c r="K368" s="115"/>
      <c r="L368" s="115"/>
      <c r="M368" s="115"/>
      <c r="N368" s="172"/>
      <c r="O368" s="115"/>
      <c r="P368" s="115"/>
      <c r="Q368" s="115"/>
      <c r="R368" s="115"/>
      <c r="S368" s="115"/>
      <c r="T368" s="115"/>
      <c r="U368" s="115"/>
      <c r="V368" s="115"/>
      <c r="W368" s="115"/>
      <c r="X368" s="115"/>
      <c r="Y368" s="115"/>
    </row>
    <row r="369" spans="4:25" x14ac:dyDescent="0.25">
      <c r="D369" s="123"/>
      <c r="E369" s="124"/>
      <c r="F369" s="128"/>
      <c r="G369" s="85"/>
      <c r="H369" s="128"/>
      <c r="I369" s="85"/>
      <c r="J369" s="128"/>
      <c r="K369" s="224" t="str">
        <f>K8</f>
        <v>FY18</v>
      </c>
      <c r="L369" s="224" t="str">
        <f>L8</f>
        <v>FY19</v>
      </c>
      <c r="M369" s="224" t="str">
        <f>M8</f>
        <v>FY20</v>
      </c>
      <c r="N369" s="225"/>
      <c r="O369" s="224" t="str">
        <f t="shared" ref="O369:Y369" si="126">O8</f>
        <v>FY21</v>
      </c>
      <c r="P369" s="224" t="str">
        <f t="shared" si="126"/>
        <v>FY22</v>
      </c>
      <c r="Q369" s="224" t="str">
        <f t="shared" si="126"/>
        <v>FY23</v>
      </c>
      <c r="R369" s="224" t="str">
        <f t="shared" si="126"/>
        <v>FY24</v>
      </c>
      <c r="S369" s="224" t="str">
        <f t="shared" si="126"/>
        <v>FY25</v>
      </c>
      <c r="T369" s="224" t="s">
        <v>1111</v>
      </c>
      <c r="U369" s="224" t="str">
        <f t="shared" si="126"/>
        <v>FY26</v>
      </c>
      <c r="V369" s="224" t="str">
        <f t="shared" si="126"/>
        <v>FY27</v>
      </c>
      <c r="W369" s="224" t="str">
        <f t="shared" si="126"/>
        <v>FY28</v>
      </c>
      <c r="X369" s="224" t="str">
        <f t="shared" si="126"/>
        <v>FY29</v>
      </c>
      <c r="Y369" s="224" t="str">
        <f t="shared" si="126"/>
        <v>FY30</v>
      </c>
    </row>
    <row r="370" spans="4:25" x14ac:dyDescent="0.25">
      <c r="D370" s="123"/>
      <c r="E370" s="124"/>
      <c r="F370" s="128" t="s">
        <v>16</v>
      </c>
      <c r="G370" s="85"/>
      <c r="H370" s="128" t="s">
        <v>16</v>
      </c>
      <c r="I370" s="85"/>
      <c r="J370" s="128"/>
      <c r="K370" s="226">
        <f t="shared" ref="K370:M378" si="127">SUMIF($G$9:$G$365,$H370,K$9:K$365)</f>
        <v>140086</v>
      </c>
      <c r="L370" s="226">
        <f t="shared" si="127"/>
        <v>1484130</v>
      </c>
      <c r="M370" s="226">
        <f t="shared" si="127"/>
        <v>274419</v>
      </c>
      <c r="N370" s="172"/>
      <c r="O370" s="226">
        <f t="shared" ref="O370:Y378" si="128">SUMIF($G$9:$G$365,$H370,O$9:O$365)</f>
        <v>0</v>
      </c>
      <c r="P370" s="226">
        <f t="shared" si="128"/>
        <v>800000</v>
      </c>
      <c r="Q370" s="226">
        <f t="shared" si="128"/>
        <v>1298232</v>
      </c>
      <c r="R370" s="226">
        <f t="shared" si="128"/>
        <v>2047550</v>
      </c>
      <c r="S370" s="226">
        <f t="shared" si="128"/>
        <v>2200365</v>
      </c>
      <c r="T370" s="226">
        <f t="shared" si="128"/>
        <v>23956133</v>
      </c>
      <c r="U370" s="226">
        <f t="shared" si="128"/>
        <v>5211780</v>
      </c>
      <c r="V370" s="226">
        <f t="shared" si="128"/>
        <v>8109532</v>
      </c>
      <c r="W370" s="226">
        <f t="shared" si="128"/>
        <v>4496680</v>
      </c>
      <c r="X370" s="226">
        <f t="shared" si="128"/>
        <v>3348534</v>
      </c>
      <c r="Y370" s="226">
        <f t="shared" si="128"/>
        <v>2789607</v>
      </c>
    </row>
    <row r="371" spans="4:25" x14ac:dyDescent="0.25">
      <c r="D371" s="123"/>
      <c r="E371" s="124"/>
      <c r="F371" s="128" t="s">
        <v>1036</v>
      </c>
      <c r="G371" s="85"/>
      <c r="H371" s="128" t="s">
        <v>1036</v>
      </c>
      <c r="I371" s="85"/>
      <c r="J371" s="128"/>
      <c r="K371" s="226">
        <f t="shared" si="127"/>
        <v>0</v>
      </c>
      <c r="L371" s="226">
        <f t="shared" si="127"/>
        <v>37500</v>
      </c>
      <c r="M371" s="226">
        <f t="shared" si="127"/>
        <v>0</v>
      </c>
      <c r="N371" s="172"/>
      <c r="O371" s="226">
        <f t="shared" si="128"/>
        <v>325000</v>
      </c>
      <c r="P371" s="226">
        <f t="shared" si="128"/>
        <v>757000</v>
      </c>
      <c r="Q371" s="226">
        <f t="shared" si="128"/>
        <v>448250</v>
      </c>
      <c r="R371" s="226">
        <f t="shared" si="128"/>
        <v>743262.5</v>
      </c>
      <c r="S371" s="226">
        <f t="shared" si="128"/>
        <v>284550.625</v>
      </c>
      <c r="T371" s="226">
        <f t="shared" si="128"/>
        <v>1761226.1285548829</v>
      </c>
      <c r="U371" s="226">
        <f t="shared" si="128"/>
        <v>487628.15625</v>
      </c>
      <c r="V371" s="226">
        <f t="shared" si="128"/>
        <v>227009.56406249999</v>
      </c>
      <c r="W371" s="226">
        <f t="shared" si="128"/>
        <v>355710.04226562497</v>
      </c>
      <c r="X371" s="226">
        <f t="shared" si="128"/>
        <v>440745.54437890626</v>
      </c>
      <c r="Y371" s="226">
        <f t="shared" si="128"/>
        <v>250132.82159785158</v>
      </c>
    </row>
    <row r="372" spans="4:25" x14ac:dyDescent="0.25">
      <c r="D372" s="123"/>
      <c r="E372" s="124"/>
      <c r="F372" s="128" t="s">
        <v>37</v>
      </c>
      <c r="G372" s="85"/>
      <c r="H372" s="128" t="s">
        <v>37</v>
      </c>
      <c r="I372" s="85"/>
      <c r="J372" s="128"/>
      <c r="K372" s="226">
        <f t="shared" si="127"/>
        <v>0</v>
      </c>
      <c r="L372" s="226">
        <f t="shared" si="127"/>
        <v>700000</v>
      </c>
      <c r="M372" s="226">
        <f t="shared" si="127"/>
        <v>0</v>
      </c>
      <c r="N372" s="172"/>
      <c r="O372" s="226">
        <f t="shared" si="128"/>
        <v>0</v>
      </c>
      <c r="P372" s="226">
        <f t="shared" si="128"/>
        <v>200000</v>
      </c>
      <c r="Q372" s="226">
        <f t="shared" si="128"/>
        <v>0</v>
      </c>
      <c r="R372" s="226">
        <f t="shared" si="128"/>
        <v>0</v>
      </c>
      <c r="S372" s="226">
        <f t="shared" si="128"/>
        <v>0</v>
      </c>
      <c r="T372" s="226">
        <f t="shared" si="128"/>
        <v>500000</v>
      </c>
      <c r="U372" s="226">
        <f t="shared" si="128"/>
        <v>125000</v>
      </c>
      <c r="V372" s="226">
        <f t="shared" si="128"/>
        <v>375000</v>
      </c>
      <c r="W372" s="226">
        <f t="shared" si="128"/>
        <v>0</v>
      </c>
      <c r="X372" s="226">
        <f t="shared" si="128"/>
        <v>0</v>
      </c>
      <c r="Y372" s="226">
        <f t="shared" si="128"/>
        <v>0</v>
      </c>
    </row>
    <row r="373" spans="4:25" x14ac:dyDescent="0.25">
      <c r="D373" s="123"/>
      <c r="E373" s="124"/>
      <c r="F373" s="128" t="s">
        <v>858</v>
      </c>
      <c r="G373" s="85"/>
      <c r="H373" s="128" t="s">
        <v>858</v>
      </c>
      <c r="I373" s="85"/>
      <c r="J373" s="128"/>
      <c r="K373" s="226">
        <f t="shared" si="127"/>
        <v>0</v>
      </c>
      <c r="L373" s="226">
        <f t="shared" si="127"/>
        <v>0</v>
      </c>
      <c r="M373" s="226">
        <f t="shared" si="127"/>
        <v>132000</v>
      </c>
      <c r="N373" s="172"/>
      <c r="O373" s="226">
        <f t="shared" si="128"/>
        <v>130000</v>
      </c>
      <c r="P373" s="226">
        <f t="shared" si="128"/>
        <v>100000</v>
      </c>
      <c r="Q373" s="226">
        <f t="shared" si="128"/>
        <v>100000</v>
      </c>
      <c r="R373" s="226">
        <f t="shared" si="128"/>
        <v>100000</v>
      </c>
      <c r="S373" s="226">
        <f t="shared" si="128"/>
        <v>100000</v>
      </c>
      <c r="T373" s="226">
        <f t="shared" si="128"/>
        <v>555000</v>
      </c>
      <c r="U373" s="226">
        <f t="shared" si="128"/>
        <v>100000</v>
      </c>
      <c r="V373" s="226">
        <f t="shared" si="128"/>
        <v>100000</v>
      </c>
      <c r="W373" s="226">
        <f t="shared" si="128"/>
        <v>155000</v>
      </c>
      <c r="X373" s="226">
        <f t="shared" si="128"/>
        <v>100000</v>
      </c>
      <c r="Y373" s="226">
        <f t="shared" si="128"/>
        <v>100000</v>
      </c>
    </row>
    <row r="374" spans="4:25" x14ac:dyDescent="0.25">
      <c r="D374" s="123"/>
      <c r="E374" s="124"/>
      <c r="F374" s="128" t="s">
        <v>38</v>
      </c>
      <c r="G374" s="85"/>
      <c r="H374" s="128" t="s">
        <v>38</v>
      </c>
      <c r="I374" s="85"/>
      <c r="J374" s="128"/>
      <c r="K374" s="226">
        <f t="shared" si="127"/>
        <v>294500</v>
      </c>
      <c r="L374" s="226">
        <f t="shared" si="127"/>
        <v>749000</v>
      </c>
      <c r="M374" s="226">
        <f t="shared" si="127"/>
        <v>3329055</v>
      </c>
      <c r="N374" s="172"/>
      <c r="O374" s="226">
        <f t="shared" si="128"/>
        <v>4531600</v>
      </c>
      <c r="P374" s="226">
        <f t="shared" si="128"/>
        <v>3186000</v>
      </c>
      <c r="Q374" s="226">
        <f t="shared" si="128"/>
        <v>786000</v>
      </c>
      <c r="R374" s="226">
        <f t="shared" si="128"/>
        <v>1633550</v>
      </c>
      <c r="S374" s="226">
        <f t="shared" si="128"/>
        <v>786000</v>
      </c>
      <c r="T374" s="226">
        <f t="shared" si="128"/>
        <v>7197200</v>
      </c>
      <c r="U374" s="226">
        <f t="shared" si="128"/>
        <v>786000</v>
      </c>
      <c r="V374" s="226">
        <f t="shared" si="128"/>
        <v>853200</v>
      </c>
      <c r="W374" s="226">
        <f t="shared" si="128"/>
        <v>786000</v>
      </c>
      <c r="X374" s="226">
        <f t="shared" si="128"/>
        <v>3986000</v>
      </c>
      <c r="Y374" s="226">
        <f t="shared" si="128"/>
        <v>786000</v>
      </c>
    </row>
    <row r="375" spans="4:25" x14ac:dyDescent="0.25">
      <c r="D375" s="123"/>
      <c r="E375" s="124"/>
      <c r="F375" s="128" t="s">
        <v>19</v>
      </c>
      <c r="G375" s="85"/>
      <c r="H375" s="128" t="s">
        <v>19</v>
      </c>
      <c r="I375" s="85"/>
      <c r="J375" s="128"/>
      <c r="K375" s="226">
        <f t="shared" si="127"/>
        <v>4665000</v>
      </c>
      <c r="L375" s="226">
        <f t="shared" si="127"/>
        <v>0</v>
      </c>
      <c r="M375" s="226">
        <f t="shared" si="127"/>
        <v>3700000</v>
      </c>
      <c r="N375" s="172"/>
      <c r="O375" s="226">
        <f t="shared" si="128"/>
        <v>4950000</v>
      </c>
      <c r="P375" s="226">
        <f t="shared" si="128"/>
        <v>4900000</v>
      </c>
      <c r="Q375" s="226">
        <f t="shared" si="128"/>
        <v>4900000</v>
      </c>
      <c r="R375" s="226">
        <f t="shared" si="128"/>
        <v>5200000</v>
      </c>
      <c r="S375" s="226">
        <f t="shared" si="128"/>
        <v>4700000</v>
      </c>
      <c r="T375" s="226">
        <f t="shared" si="128"/>
        <v>17750000</v>
      </c>
      <c r="U375" s="226">
        <f t="shared" si="128"/>
        <v>5250000</v>
      </c>
      <c r="V375" s="226">
        <f t="shared" si="128"/>
        <v>3700000</v>
      </c>
      <c r="W375" s="226">
        <f t="shared" si="128"/>
        <v>4900000</v>
      </c>
      <c r="X375" s="226">
        <f t="shared" si="128"/>
        <v>3500000</v>
      </c>
      <c r="Y375" s="226">
        <f t="shared" si="128"/>
        <v>400000</v>
      </c>
    </row>
    <row r="376" spans="4:25" x14ac:dyDescent="0.25">
      <c r="D376" s="123"/>
      <c r="E376" s="124"/>
      <c r="F376" s="128" t="s">
        <v>243</v>
      </c>
      <c r="G376" s="85"/>
      <c r="H376" s="128" t="s">
        <v>243</v>
      </c>
      <c r="I376" s="85"/>
      <c r="J376" s="128"/>
      <c r="K376" s="226">
        <f t="shared" si="127"/>
        <v>270000</v>
      </c>
      <c r="L376" s="226">
        <f t="shared" si="127"/>
        <v>76000</v>
      </c>
      <c r="M376" s="226">
        <f t="shared" si="127"/>
        <v>0</v>
      </c>
      <c r="N376" s="172"/>
      <c r="O376" s="226">
        <f t="shared" si="128"/>
        <v>495000</v>
      </c>
      <c r="P376" s="226">
        <f t="shared" si="128"/>
        <v>0</v>
      </c>
      <c r="Q376" s="226">
        <f t="shared" si="128"/>
        <v>0</v>
      </c>
      <c r="R376" s="226">
        <f t="shared" si="128"/>
        <v>0</v>
      </c>
      <c r="S376" s="226">
        <f t="shared" si="128"/>
        <v>0</v>
      </c>
      <c r="T376" s="226">
        <f t="shared" si="128"/>
        <v>0</v>
      </c>
      <c r="U376" s="226">
        <f t="shared" si="128"/>
        <v>0</v>
      </c>
      <c r="V376" s="226">
        <f t="shared" si="128"/>
        <v>0</v>
      </c>
      <c r="W376" s="226">
        <f t="shared" si="128"/>
        <v>0</v>
      </c>
      <c r="X376" s="226">
        <f t="shared" si="128"/>
        <v>0</v>
      </c>
      <c r="Y376" s="226">
        <f t="shared" si="128"/>
        <v>0</v>
      </c>
    </row>
    <row r="377" spans="4:25" x14ac:dyDescent="0.25">
      <c r="D377" s="123"/>
      <c r="E377" s="124"/>
      <c r="F377" s="128" t="s">
        <v>13</v>
      </c>
      <c r="G377" s="85"/>
      <c r="H377" s="128" t="s">
        <v>13</v>
      </c>
      <c r="I377" s="85"/>
      <c r="J377" s="128"/>
      <c r="K377" s="226">
        <f t="shared" si="127"/>
        <v>0</v>
      </c>
      <c r="L377" s="226">
        <f t="shared" si="127"/>
        <v>3110000</v>
      </c>
      <c r="M377" s="226">
        <f t="shared" si="127"/>
        <v>0</v>
      </c>
      <c r="N377" s="172"/>
      <c r="O377" s="226">
        <f t="shared" si="128"/>
        <v>0</v>
      </c>
      <c r="P377" s="226">
        <f t="shared" si="128"/>
        <v>0</v>
      </c>
      <c r="Q377" s="226">
        <f t="shared" si="128"/>
        <v>0</v>
      </c>
      <c r="R377" s="226">
        <f t="shared" si="128"/>
        <v>0</v>
      </c>
      <c r="S377" s="226">
        <f t="shared" si="128"/>
        <v>0</v>
      </c>
      <c r="T377" s="226">
        <f t="shared" si="128"/>
        <v>0</v>
      </c>
      <c r="U377" s="226">
        <f t="shared" si="128"/>
        <v>0</v>
      </c>
      <c r="V377" s="226">
        <f t="shared" si="128"/>
        <v>0</v>
      </c>
      <c r="W377" s="226">
        <f t="shared" si="128"/>
        <v>0</v>
      </c>
      <c r="X377" s="226">
        <f t="shared" si="128"/>
        <v>0</v>
      </c>
      <c r="Y377" s="226">
        <f t="shared" si="128"/>
        <v>0</v>
      </c>
    </row>
    <row r="378" spans="4:25" x14ac:dyDescent="0.25">
      <c r="D378" s="123"/>
      <c r="E378" s="124"/>
      <c r="F378" s="128" t="s">
        <v>533</v>
      </c>
      <c r="G378" s="85"/>
      <c r="H378" s="128" t="s">
        <v>533</v>
      </c>
      <c r="I378" s="85"/>
      <c r="J378" s="128"/>
      <c r="K378" s="226">
        <f t="shared" si="127"/>
        <v>0</v>
      </c>
      <c r="L378" s="226">
        <f t="shared" si="127"/>
        <v>762937</v>
      </c>
      <c r="M378" s="226">
        <f t="shared" si="127"/>
        <v>669000</v>
      </c>
      <c r="N378" s="172"/>
      <c r="O378" s="226">
        <f t="shared" si="128"/>
        <v>455601</v>
      </c>
      <c r="P378" s="226">
        <f t="shared" si="128"/>
        <v>0</v>
      </c>
      <c r="Q378" s="226">
        <f t="shared" si="128"/>
        <v>25000</v>
      </c>
      <c r="R378" s="226">
        <f t="shared" si="128"/>
        <v>25000</v>
      </c>
      <c r="S378" s="226">
        <f t="shared" si="128"/>
        <v>25000</v>
      </c>
      <c r="T378" s="226">
        <f t="shared" si="128"/>
        <v>0</v>
      </c>
      <c r="U378" s="226">
        <f t="shared" si="128"/>
        <v>0</v>
      </c>
      <c r="V378" s="226">
        <f t="shared" si="128"/>
        <v>0</v>
      </c>
      <c r="W378" s="226">
        <f t="shared" si="128"/>
        <v>0</v>
      </c>
      <c r="X378" s="226">
        <f t="shared" si="128"/>
        <v>0</v>
      </c>
      <c r="Y378" s="226">
        <f t="shared" si="128"/>
        <v>0</v>
      </c>
    </row>
    <row r="379" spans="4:25" ht="15.75" thickBot="1" x14ac:dyDescent="0.3">
      <c r="D379" s="123"/>
      <c r="E379" s="124"/>
      <c r="F379" s="128"/>
      <c r="G379" s="85"/>
      <c r="H379" s="128"/>
      <c r="I379" s="85"/>
      <c r="J379" s="128"/>
      <c r="K379" s="227">
        <f>SUM(K370:K378)</f>
        <v>5369586</v>
      </c>
      <c r="L379" s="227">
        <f>SUM(L370:L378)</f>
        <v>6919567</v>
      </c>
      <c r="M379" s="227">
        <f t="shared" ref="M379:W379" si="129">SUM(M370:M378)</f>
        <v>8104474</v>
      </c>
      <c r="N379" s="171"/>
      <c r="O379" s="227">
        <f t="shared" si="129"/>
        <v>10887201</v>
      </c>
      <c r="P379" s="227">
        <f t="shared" si="129"/>
        <v>9943000</v>
      </c>
      <c r="Q379" s="227">
        <f t="shared" si="129"/>
        <v>7557482</v>
      </c>
      <c r="R379" s="227">
        <f t="shared" si="129"/>
        <v>9749362.5</v>
      </c>
      <c r="S379" s="227">
        <f t="shared" si="129"/>
        <v>8095915.625</v>
      </c>
      <c r="T379" s="227">
        <f t="shared" ref="T379" si="130">SUM(T370:T378)</f>
        <v>51719559.128554881</v>
      </c>
      <c r="U379" s="227">
        <f t="shared" si="129"/>
        <v>11960408.15625</v>
      </c>
      <c r="V379" s="227">
        <f t="shared" si="129"/>
        <v>13364741.5640625</v>
      </c>
      <c r="W379" s="227">
        <f t="shared" si="129"/>
        <v>10693390.042265624</v>
      </c>
      <c r="X379" s="227">
        <f t="shared" ref="X379:Y379" si="131">SUM(X370:X378)</f>
        <v>11375279.544378906</v>
      </c>
      <c r="Y379" s="227">
        <f t="shared" si="131"/>
        <v>4325739.8215978518</v>
      </c>
    </row>
    <row r="380" spans="4:25" ht="15.75" thickTop="1" x14ac:dyDescent="0.25">
      <c r="D380" s="123"/>
      <c r="E380" s="124"/>
      <c r="F380" s="114"/>
      <c r="G380" s="123"/>
      <c r="H380" s="114"/>
      <c r="K380" s="117" t="str">
        <f>IF(K379=K367,"","ERROR")</f>
        <v/>
      </c>
      <c r="L380" s="117" t="str">
        <f>IF(L379=L367,"","ERROR")</f>
        <v/>
      </c>
      <c r="M380" s="117" t="str">
        <f t="shared" ref="M380:X380" si="132">IF(M379=M367,"","ERROR")</f>
        <v/>
      </c>
      <c r="N380" s="174"/>
      <c r="O380" s="117" t="str">
        <f t="shared" si="132"/>
        <v/>
      </c>
      <c r="P380" s="117" t="str">
        <f t="shared" si="132"/>
        <v/>
      </c>
      <c r="Q380" s="117" t="str">
        <f t="shared" si="132"/>
        <v/>
      </c>
      <c r="R380" s="117" t="str">
        <f t="shared" si="132"/>
        <v/>
      </c>
      <c r="S380" s="117" t="str">
        <f t="shared" si="132"/>
        <v/>
      </c>
      <c r="T380" s="117" t="str">
        <f t="shared" ref="T380" si="133">IF(T379=T367,"","ERROR")</f>
        <v/>
      </c>
      <c r="U380" s="117" t="str">
        <f t="shared" si="132"/>
        <v/>
      </c>
      <c r="V380" s="117" t="str">
        <f t="shared" si="132"/>
        <v/>
      </c>
      <c r="W380" s="117" t="str">
        <f t="shared" si="132"/>
        <v/>
      </c>
      <c r="X380" s="117" t="str">
        <f t="shared" si="132"/>
        <v/>
      </c>
      <c r="Y380" s="117" t="str">
        <f t="shared" ref="Y380" si="134">IF(Y379=Y367,"","ERROR")</f>
        <v/>
      </c>
    </row>
    <row r="381" spans="4:25" x14ac:dyDescent="0.25">
      <c r="D381" s="123"/>
      <c r="E381" s="124"/>
      <c r="F381" s="137" t="s">
        <v>542</v>
      </c>
      <c r="G381" s="277"/>
      <c r="H381" s="137" t="s">
        <v>542</v>
      </c>
      <c r="I381" s="138"/>
      <c r="J381" s="137"/>
      <c r="K381" s="136">
        <f>K370/K379</f>
        <v>2.6088789713024432E-2</v>
      </c>
      <c r="L381" s="136">
        <f t="shared" ref="L381:W381" si="135">L370/L379</f>
        <v>0.21448307386863946</v>
      </c>
      <c r="M381" s="136">
        <f t="shared" si="135"/>
        <v>3.3860186361261695E-2</v>
      </c>
      <c r="N381" s="175"/>
      <c r="O381" s="136">
        <f t="shared" si="135"/>
        <v>0</v>
      </c>
      <c r="P381" s="136">
        <f t="shared" si="135"/>
        <v>8.0458614100372125E-2</v>
      </c>
      <c r="Q381" s="136">
        <f t="shared" si="135"/>
        <v>0.17178102442056759</v>
      </c>
      <c r="R381" s="136">
        <f t="shared" si="135"/>
        <v>0.21001886020752639</v>
      </c>
      <c r="S381" s="136">
        <f t="shared" si="135"/>
        <v>0.27178704694072203</v>
      </c>
      <c r="T381" s="136">
        <f t="shared" ref="T381" si="136">T370/T379</f>
        <v>0.4631929081308348</v>
      </c>
      <c r="U381" s="136">
        <f t="shared" si="135"/>
        <v>0.43575268769373443</v>
      </c>
      <c r="V381" s="136">
        <f t="shared" si="135"/>
        <v>0.60678554546885932</v>
      </c>
      <c r="W381" s="136">
        <f t="shared" si="135"/>
        <v>0.42051023877618532</v>
      </c>
      <c r="X381" s="136">
        <f t="shared" ref="X381:Y381" si="137">X370/X379</f>
        <v>0.29436938115992745</v>
      </c>
      <c r="Y381" s="136">
        <f t="shared" si="137"/>
        <v>0.64488552595601289</v>
      </c>
    </row>
    <row r="382" spans="4:25" x14ac:dyDescent="0.25">
      <c r="D382" s="123"/>
      <c r="E382" s="124"/>
      <c r="F382" s="114"/>
      <c r="G382" s="123"/>
      <c r="H382" s="114"/>
      <c r="L382" s="115"/>
      <c r="N382" s="172"/>
    </row>
    <row r="383" spans="4:25" x14ac:dyDescent="0.25">
      <c r="D383" s="123"/>
      <c r="E383" s="124"/>
      <c r="F383" s="119"/>
      <c r="G383" s="118"/>
      <c r="H383" s="119"/>
      <c r="I383" s="118"/>
      <c r="J383" s="119"/>
      <c r="K383" s="228" t="str">
        <f>K369</f>
        <v>FY18</v>
      </c>
      <c r="L383" s="228" t="str">
        <f t="shared" ref="L383:W383" si="138">L369</f>
        <v>FY19</v>
      </c>
      <c r="M383" s="228" t="str">
        <f t="shared" si="138"/>
        <v>FY20</v>
      </c>
      <c r="N383" s="225"/>
      <c r="O383" s="228" t="str">
        <f t="shared" si="138"/>
        <v>FY21</v>
      </c>
      <c r="P383" s="228" t="str">
        <f t="shared" si="138"/>
        <v>FY22</v>
      </c>
      <c r="Q383" s="228" t="str">
        <f t="shared" si="138"/>
        <v>FY23</v>
      </c>
      <c r="R383" s="228" t="str">
        <f t="shared" si="138"/>
        <v>FY24</v>
      </c>
      <c r="S383" s="228" t="str">
        <f t="shared" si="138"/>
        <v>FY25</v>
      </c>
      <c r="T383" s="228" t="s">
        <v>1111</v>
      </c>
      <c r="U383" s="228" t="str">
        <f t="shared" si="138"/>
        <v>FY26</v>
      </c>
      <c r="V383" s="228" t="str">
        <f t="shared" si="138"/>
        <v>FY27</v>
      </c>
      <c r="W383" s="228" t="str">
        <f t="shared" si="138"/>
        <v>FY28</v>
      </c>
      <c r="X383" s="228" t="str">
        <f t="shared" ref="X383:Y383" si="139">X369</f>
        <v>FY29</v>
      </c>
      <c r="Y383" s="228" t="str">
        <f t="shared" si="139"/>
        <v>FY30</v>
      </c>
    </row>
    <row r="384" spans="4:25" x14ac:dyDescent="0.25">
      <c r="D384" s="123"/>
      <c r="E384" s="124"/>
      <c r="F384" s="229" t="s">
        <v>314</v>
      </c>
      <c r="G384" s="229"/>
      <c r="H384" s="229" t="s">
        <v>314</v>
      </c>
      <c r="I384" s="229"/>
      <c r="J384" s="119"/>
      <c r="K384" s="230">
        <f t="shared" ref="K384:M390" si="140">SUMIF($B$9:$B$365,$H384,K$9:K$365)</f>
        <v>0</v>
      </c>
      <c r="L384" s="230">
        <f t="shared" si="140"/>
        <v>0</v>
      </c>
      <c r="M384" s="230">
        <f t="shared" si="140"/>
        <v>0</v>
      </c>
      <c r="N384" s="172"/>
      <c r="O384" s="230">
        <f t="shared" ref="O384:Y390" si="141">SUMIF($B$9:$B$365,$H384,O$9:O$365)</f>
        <v>0</v>
      </c>
      <c r="P384" s="230">
        <f t="shared" si="141"/>
        <v>0</v>
      </c>
      <c r="Q384" s="230">
        <f t="shared" si="141"/>
        <v>0</v>
      </c>
      <c r="R384" s="230">
        <f t="shared" si="141"/>
        <v>0</v>
      </c>
      <c r="S384" s="230">
        <f t="shared" si="141"/>
        <v>0</v>
      </c>
      <c r="T384" s="230">
        <f t="shared" si="141"/>
        <v>0</v>
      </c>
      <c r="U384" s="230">
        <f t="shared" si="141"/>
        <v>0</v>
      </c>
      <c r="V384" s="230">
        <f t="shared" si="141"/>
        <v>0</v>
      </c>
      <c r="W384" s="230">
        <f t="shared" si="141"/>
        <v>0</v>
      </c>
      <c r="X384" s="230">
        <f t="shared" si="141"/>
        <v>0</v>
      </c>
      <c r="Y384" s="230">
        <f t="shared" si="141"/>
        <v>0</v>
      </c>
    </row>
    <row r="385" spans="4:25" x14ac:dyDescent="0.25">
      <c r="D385" s="123"/>
      <c r="E385" s="124"/>
      <c r="F385" s="229" t="s">
        <v>316</v>
      </c>
      <c r="G385" s="229"/>
      <c r="H385" s="229" t="s">
        <v>316</v>
      </c>
      <c r="I385" s="229"/>
      <c r="J385" s="119"/>
      <c r="K385" s="230">
        <f t="shared" si="140"/>
        <v>0</v>
      </c>
      <c r="L385" s="230">
        <f t="shared" si="140"/>
        <v>793975</v>
      </c>
      <c r="M385" s="230">
        <f t="shared" si="140"/>
        <v>1685967</v>
      </c>
      <c r="N385" s="172"/>
      <c r="O385" s="230">
        <f t="shared" si="141"/>
        <v>0</v>
      </c>
      <c r="P385" s="230">
        <f t="shared" si="141"/>
        <v>0</v>
      </c>
      <c r="Q385" s="230">
        <f t="shared" si="141"/>
        <v>0</v>
      </c>
      <c r="R385" s="230">
        <f t="shared" si="141"/>
        <v>0</v>
      </c>
      <c r="S385" s="230">
        <f t="shared" si="141"/>
        <v>0</v>
      </c>
      <c r="T385" s="230">
        <f t="shared" si="141"/>
        <v>0</v>
      </c>
      <c r="U385" s="230">
        <f t="shared" si="141"/>
        <v>0</v>
      </c>
      <c r="V385" s="230">
        <f t="shared" si="141"/>
        <v>0</v>
      </c>
      <c r="W385" s="230">
        <f t="shared" si="141"/>
        <v>0</v>
      </c>
      <c r="X385" s="230">
        <f t="shared" si="141"/>
        <v>0</v>
      </c>
      <c r="Y385" s="230">
        <f t="shared" si="141"/>
        <v>0</v>
      </c>
    </row>
    <row r="386" spans="4:25" x14ac:dyDescent="0.25">
      <c r="D386" s="123"/>
      <c r="E386" s="124"/>
      <c r="F386" s="229" t="s">
        <v>315</v>
      </c>
      <c r="G386" s="229"/>
      <c r="H386" s="229" t="s">
        <v>315</v>
      </c>
      <c r="I386" s="229"/>
      <c r="J386" s="119"/>
      <c r="K386" s="230">
        <f t="shared" si="140"/>
        <v>2136000</v>
      </c>
      <c r="L386" s="230">
        <f t="shared" si="140"/>
        <v>812000</v>
      </c>
      <c r="M386" s="230">
        <f t="shared" si="140"/>
        <v>1273000</v>
      </c>
      <c r="N386" s="172"/>
      <c r="O386" s="230">
        <f t="shared" si="141"/>
        <v>575000</v>
      </c>
      <c r="P386" s="230">
        <f t="shared" si="141"/>
        <v>1465000</v>
      </c>
      <c r="Q386" s="230">
        <f t="shared" si="141"/>
        <v>1165250</v>
      </c>
      <c r="R386" s="230">
        <f t="shared" si="141"/>
        <v>1173262.5</v>
      </c>
      <c r="S386" s="230">
        <f t="shared" si="141"/>
        <v>381550.625</v>
      </c>
      <c r="T386" s="230">
        <f t="shared" si="141"/>
        <v>4630226.1285548825</v>
      </c>
      <c r="U386" s="230">
        <f t="shared" si="141"/>
        <v>652628.15625</v>
      </c>
      <c r="V386" s="230">
        <f t="shared" si="141"/>
        <v>274009.56406250002</v>
      </c>
      <c r="W386" s="230">
        <f t="shared" si="141"/>
        <v>2415710.0422656247</v>
      </c>
      <c r="X386" s="230">
        <f t="shared" si="141"/>
        <v>1057745.5443789063</v>
      </c>
      <c r="Y386" s="230">
        <f t="shared" si="141"/>
        <v>230132.82159785158</v>
      </c>
    </row>
    <row r="387" spans="4:25" x14ac:dyDescent="0.25">
      <c r="D387" s="123"/>
      <c r="E387" s="124"/>
      <c r="F387" s="229" t="s">
        <v>365</v>
      </c>
      <c r="G387" s="229"/>
      <c r="H387" s="229" t="s">
        <v>365</v>
      </c>
      <c r="I387" s="229"/>
      <c r="J387" s="119"/>
      <c r="K387" s="230">
        <f t="shared" si="140"/>
        <v>2304217</v>
      </c>
      <c r="L387" s="230">
        <f t="shared" si="140"/>
        <v>3995000</v>
      </c>
      <c r="M387" s="230">
        <f t="shared" si="140"/>
        <v>3502000</v>
      </c>
      <c r="N387" s="172"/>
      <c r="O387" s="230">
        <f t="shared" si="141"/>
        <v>8823400</v>
      </c>
      <c r="P387" s="230">
        <f t="shared" si="141"/>
        <v>4669000</v>
      </c>
      <c r="Q387" s="230">
        <f t="shared" si="141"/>
        <v>2664000</v>
      </c>
      <c r="R387" s="230">
        <f t="shared" si="141"/>
        <v>5216100</v>
      </c>
      <c r="S387" s="230">
        <f t="shared" si="141"/>
        <v>4229000</v>
      </c>
      <c r="T387" s="230">
        <f t="shared" si="141"/>
        <v>25732000</v>
      </c>
      <c r="U387" s="230">
        <f t="shared" si="141"/>
        <v>7299000</v>
      </c>
      <c r="V387" s="230">
        <f t="shared" si="141"/>
        <v>7307000</v>
      </c>
      <c r="W387" s="230">
        <f t="shared" si="141"/>
        <v>3501000</v>
      </c>
      <c r="X387" s="230">
        <f t="shared" si="141"/>
        <v>5759000</v>
      </c>
      <c r="Y387" s="230">
        <f t="shared" si="141"/>
        <v>1866000</v>
      </c>
    </row>
    <row r="388" spans="4:25" x14ac:dyDescent="0.25">
      <c r="D388" s="123"/>
      <c r="E388" s="124"/>
      <c r="F388" s="229" t="s">
        <v>366</v>
      </c>
      <c r="G388" s="229"/>
      <c r="H388" s="229" t="s">
        <v>366</v>
      </c>
      <c r="I388" s="229"/>
      <c r="J388" s="119"/>
      <c r="K388" s="230">
        <f t="shared" si="140"/>
        <v>99419</v>
      </c>
      <c r="L388" s="230">
        <f t="shared" si="140"/>
        <v>159219</v>
      </c>
      <c r="M388" s="230">
        <f t="shared" si="140"/>
        <v>1006419</v>
      </c>
      <c r="N388" s="172"/>
      <c r="O388" s="230">
        <f t="shared" si="141"/>
        <v>1168801</v>
      </c>
      <c r="P388" s="230">
        <f t="shared" si="141"/>
        <v>25000</v>
      </c>
      <c r="Q388" s="230">
        <f t="shared" si="141"/>
        <v>168232</v>
      </c>
      <c r="R388" s="230">
        <f t="shared" si="141"/>
        <v>75000</v>
      </c>
      <c r="S388" s="230">
        <f t="shared" si="141"/>
        <v>283565</v>
      </c>
      <c r="T388" s="230">
        <f t="shared" si="141"/>
        <v>3744333</v>
      </c>
      <c r="U388" s="230">
        <f t="shared" si="141"/>
        <v>1073780</v>
      </c>
      <c r="V388" s="230">
        <f t="shared" si="141"/>
        <v>1110732</v>
      </c>
      <c r="W388" s="230">
        <f t="shared" si="141"/>
        <v>266680</v>
      </c>
      <c r="X388" s="230">
        <f t="shared" si="141"/>
        <v>1098534</v>
      </c>
      <c r="Y388" s="230">
        <f t="shared" si="141"/>
        <v>194607</v>
      </c>
    </row>
    <row r="389" spans="4:25" x14ac:dyDescent="0.25">
      <c r="D389" s="123"/>
      <c r="E389" s="124"/>
      <c r="F389" s="229" t="s">
        <v>367</v>
      </c>
      <c r="G389" s="229"/>
      <c r="H389" s="229" t="s">
        <v>367</v>
      </c>
      <c r="I389" s="229"/>
      <c r="J389" s="119"/>
      <c r="K389" s="230">
        <f t="shared" si="140"/>
        <v>0</v>
      </c>
      <c r="L389" s="230">
        <f t="shared" si="140"/>
        <v>0</v>
      </c>
      <c r="M389" s="230">
        <f t="shared" si="140"/>
        <v>0</v>
      </c>
      <c r="N389" s="172"/>
      <c r="O389" s="230">
        <f t="shared" si="141"/>
        <v>0</v>
      </c>
      <c r="P389" s="230">
        <f t="shared" si="141"/>
        <v>0</v>
      </c>
      <c r="Q389" s="230">
        <f t="shared" si="141"/>
        <v>0</v>
      </c>
      <c r="R389" s="230">
        <f t="shared" si="141"/>
        <v>0</v>
      </c>
      <c r="S389" s="230">
        <f t="shared" si="141"/>
        <v>0</v>
      </c>
      <c r="T389" s="230">
        <f t="shared" si="141"/>
        <v>0</v>
      </c>
      <c r="U389" s="230">
        <f t="shared" si="141"/>
        <v>0</v>
      </c>
      <c r="V389" s="230">
        <f t="shared" si="141"/>
        <v>0</v>
      </c>
      <c r="W389" s="230">
        <f t="shared" si="141"/>
        <v>0</v>
      </c>
      <c r="X389" s="230">
        <f t="shared" si="141"/>
        <v>0</v>
      </c>
      <c r="Y389" s="230">
        <f t="shared" si="141"/>
        <v>0</v>
      </c>
    </row>
    <row r="390" spans="4:25" x14ac:dyDescent="0.25">
      <c r="D390" s="123"/>
      <c r="E390" s="124"/>
      <c r="F390" s="229" t="s">
        <v>1</v>
      </c>
      <c r="G390" s="229"/>
      <c r="H390" s="229" t="s">
        <v>1</v>
      </c>
      <c r="I390" s="229"/>
      <c r="J390" s="119"/>
      <c r="K390" s="230">
        <f t="shared" si="140"/>
        <v>829950</v>
      </c>
      <c r="L390" s="230">
        <f t="shared" si="140"/>
        <v>1159373</v>
      </c>
      <c r="M390" s="230">
        <f t="shared" si="140"/>
        <v>637088</v>
      </c>
      <c r="N390" s="172"/>
      <c r="O390" s="230">
        <f t="shared" si="141"/>
        <v>320000</v>
      </c>
      <c r="P390" s="230">
        <f t="shared" si="141"/>
        <v>3784000</v>
      </c>
      <c r="Q390" s="230">
        <f t="shared" si="141"/>
        <v>3560000</v>
      </c>
      <c r="R390" s="230">
        <f t="shared" si="141"/>
        <v>3285000</v>
      </c>
      <c r="S390" s="230">
        <f t="shared" si="141"/>
        <v>3201800</v>
      </c>
      <c r="T390" s="230">
        <f t="shared" si="141"/>
        <v>17613000</v>
      </c>
      <c r="U390" s="230">
        <f t="shared" si="141"/>
        <v>2935000</v>
      </c>
      <c r="V390" s="230">
        <f t="shared" si="141"/>
        <v>4673000</v>
      </c>
      <c r="W390" s="230">
        <f t="shared" si="141"/>
        <v>4510000</v>
      </c>
      <c r="X390" s="230">
        <f t="shared" si="141"/>
        <v>3460000</v>
      </c>
      <c r="Y390" s="230">
        <f t="shared" si="141"/>
        <v>2035000</v>
      </c>
    </row>
    <row r="391" spans="4:25" ht="15.75" thickBot="1" x14ac:dyDescent="0.3">
      <c r="D391" s="123"/>
      <c r="E391" s="124"/>
      <c r="F391" s="119"/>
      <c r="G391" s="118"/>
      <c r="H391" s="119"/>
      <c r="I391" s="118"/>
      <c r="J391" s="119"/>
      <c r="K391" s="120">
        <f>SUM(K384:K390)</f>
        <v>5369586</v>
      </c>
      <c r="L391" s="120">
        <f t="shared" ref="L391:W391" si="142">SUM(L384:L390)</f>
        <v>6919567</v>
      </c>
      <c r="M391" s="120">
        <f t="shared" si="142"/>
        <v>8104474</v>
      </c>
      <c r="N391" s="171"/>
      <c r="O391" s="120">
        <f t="shared" si="142"/>
        <v>10887201</v>
      </c>
      <c r="P391" s="120">
        <f t="shared" si="142"/>
        <v>9943000</v>
      </c>
      <c r="Q391" s="120">
        <f t="shared" si="142"/>
        <v>7557482</v>
      </c>
      <c r="R391" s="120">
        <f t="shared" si="142"/>
        <v>9749362.5</v>
      </c>
      <c r="S391" s="120">
        <f t="shared" si="142"/>
        <v>8095915.625</v>
      </c>
      <c r="T391" s="120">
        <f t="shared" ref="T391" si="143">SUM(T384:T390)</f>
        <v>51719559.128554881</v>
      </c>
      <c r="U391" s="120">
        <f t="shared" si="142"/>
        <v>11960408.15625</v>
      </c>
      <c r="V391" s="120">
        <f t="shared" si="142"/>
        <v>13364741.5640625</v>
      </c>
      <c r="W391" s="120">
        <f t="shared" si="142"/>
        <v>10693390.042265624</v>
      </c>
      <c r="X391" s="120">
        <f t="shared" ref="X391:Y391" si="144">SUM(X384:X390)</f>
        <v>11375279.544378906</v>
      </c>
      <c r="Y391" s="120">
        <f t="shared" si="144"/>
        <v>4325739.8215978518</v>
      </c>
    </row>
    <row r="392" spans="4:25" ht="15.75" thickTop="1" x14ac:dyDescent="0.25">
      <c r="G392" s="123"/>
      <c r="K392" s="117" t="str">
        <f>IF(K391=K367,"","ERROR")</f>
        <v/>
      </c>
      <c r="L392" s="117" t="str">
        <f>IF(L391=L367,"","ERROR")</f>
        <v/>
      </c>
      <c r="M392" s="117" t="str">
        <f t="shared" ref="M392:X392" si="145">IF(M391=M367,"","ERROR")</f>
        <v/>
      </c>
      <c r="N392" s="117"/>
      <c r="O392" s="117" t="str">
        <f t="shared" si="145"/>
        <v/>
      </c>
      <c r="P392" s="117" t="str">
        <f t="shared" si="145"/>
        <v/>
      </c>
      <c r="Q392" s="117" t="str">
        <f t="shared" si="145"/>
        <v/>
      </c>
      <c r="R392" s="117" t="str">
        <f t="shared" si="145"/>
        <v/>
      </c>
      <c r="S392" s="117" t="str">
        <f t="shared" si="145"/>
        <v/>
      </c>
      <c r="T392" s="117" t="str">
        <f t="shared" ref="T392" si="146">IF(T391=T367,"","ERROR")</f>
        <v/>
      </c>
      <c r="U392" s="117" t="str">
        <f t="shared" si="145"/>
        <v/>
      </c>
      <c r="V392" s="117" t="str">
        <f t="shared" si="145"/>
        <v/>
      </c>
      <c r="W392" s="117" t="str">
        <f t="shared" si="145"/>
        <v/>
      </c>
      <c r="X392" s="117" t="str">
        <f t="shared" si="145"/>
        <v/>
      </c>
      <c r="Y392" s="117" t="str">
        <f t="shared" ref="Y392" si="147">IF(Y391=Y367,"","ERROR")</f>
        <v/>
      </c>
    </row>
    <row r="393" spans="4:25" x14ac:dyDescent="0.25">
      <c r="G393" s="123"/>
      <c r="K393" s="115"/>
      <c r="L393" s="115"/>
      <c r="N393" s="115"/>
    </row>
    <row r="394" spans="4:25" x14ac:dyDescent="0.25">
      <c r="F394" s="401" t="s">
        <v>946</v>
      </c>
      <c r="G394" s="401"/>
      <c r="H394" s="401"/>
      <c r="I394" s="401"/>
      <c r="J394" s="401"/>
      <c r="K394" s="401"/>
      <c r="L394" s="401"/>
      <c r="M394" s="401"/>
      <c r="N394" s="401"/>
      <c r="O394" s="401"/>
      <c r="P394" s="401"/>
      <c r="Q394" s="401"/>
      <c r="R394" s="129"/>
      <c r="S394" s="129"/>
      <c r="T394" s="129"/>
      <c r="U394" s="129"/>
      <c r="V394" s="129"/>
      <c r="W394" s="129"/>
      <c r="X394" s="166"/>
      <c r="Y394" s="166"/>
    </row>
    <row r="395" spans="4:25" x14ac:dyDescent="0.25">
      <c r="F395" s="204" t="s">
        <v>111</v>
      </c>
      <c r="G395" s="167" t="s">
        <v>19</v>
      </c>
      <c r="H395" s="167"/>
      <c r="I395" s="167"/>
      <c r="J395" s="166"/>
      <c r="K395" s="172"/>
      <c r="L395" s="172"/>
      <c r="M395" s="172"/>
      <c r="N395" s="172"/>
      <c r="O395" s="172"/>
      <c r="P395" s="172"/>
      <c r="Q395" s="172"/>
      <c r="R395" s="172"/>
      <c r="S395" s="172"/>
      <c r="T395" s="172">
        <v>25000000</v>
      </c>
      <c r="U395" s="218"/>
      <c r="V395" s="218"/>
      <c r="W395" s="218"/>
      <c r="X395" s="218"/>
    </row>
    <row r="396" spans="4:25" x14ac:dyDescent="0.25">
      <c r="F396" s="204" t="s">
        <v>810</v>
      </c>
      <c r="G396" s="167" t="s">
        <v>19</v>
      </c>
      <c r="H396" s="167"/>
      <c r="I396" s="167"/>
      <c r="J396" s="166"/>
      <c r="K396" s="172"/>
      <c r="L396" s="172"/>
      <c r="M396" s="172"/>
      <c r="N396" s="172"/>
      <c r="O396" s="172"/>
      <c r="P396" s="172"/>
      <c r="Q396" s="172"/>
      <c r="R396" s="172"/>
      <c r="S396" s="172"/>
      <c r="T396" s="172">
        <v>21000000</v>
      </c>
      <c r="U396" s="218"/>
      <c r="V396" s="218"/>
      <c r="W396" s="218"/>
      <c r="X396" s="218"/>
    </row>
    <row r="397" spans="4:25" x14ac:dyDescent="0.25">
      <c r="F397" s="204" t="s">
        <v>773</v>
      </c>
      <c r="G397" s="167" t="s">
        <v>19</v>
      </c>
      <c r="H397" s="167"/>
      <c r="I397" s="167"/>
      <c r="J397" s="166"/>
      <c r="K397" s="172"/>
      <c r="L397" s="172"/>
      <c r="M397" s="172"/>
      <c r="N397" s="172"/>
      <c r="O397" s="172"/>
      <c r="P397" s="172"/>
      <c r="Q397" s="172"/>
      <c r="R397" s="172"/>
      <c r="S397" s="172"/>
      <c r="T397" s="172">
        <v>5000000</v>
      </c>
      <c r="U397" s="218"/>
      <c r="V397" s="218"/>
      <c r="W397" s="218"/>
      <c r="X397" s="218"/>
    </row>
    <row r="398" spans="4:25" x14ac:dyDescent="0.25">
      <c r="F398" s="204" t="s">
        <v>503</v>
      </c>
      <c r="G398" s="167" t="s">
        <v>19</v>
      </c>
      <c r="H398" s="167"/>
      <c r="I398" s="167"/>
      <c r="J398" s="166"/>
      <c r="K398" s="172"/>
      <c r="L398" s="172"/>
      <c r="M398" s="172"/>
      <c r="N398" s="172"/>
      <c r="O398" s="172"/>
      <c r="P398" s="172"/>
      <c r="Q398" s="172"/>
      <c r="R398" s="172"/>
      <c r="S398" s="172"/>
      <c r="T398" s="172">
        <v>2500000</v>
      </c>
      <c r="U398" s="218"/>
      <c r="V398" s="218"/>
      <c r="W398" s="218"/>
      <c r="X398" s="218"/>
    </row>
    <row r="399" spans="4:25" x14ac:dyDescent="0.25">
      <c r="F399" s="204" t="s">
        <v>33</v>
      </c>
      <c r="G399" s="167" t="s">
        <v>19</v>
      </c>
      <c r="H399" s="167"/>
      <c r="I399" s="167"/>
      <c r="J399" s="166"/>
      <c r="K399" s="172"/>
      <c r="L399" s="172"/>
      <c r="M399" s="172"/>
      <c r="N399" s="172"/>
      <c r="O399" s="172"/>
      <c r="P399" s="172"/>
      <c r="Q399" s="172"/>
      <c r="R399" s="172"/>
      <c r="S399" s="172"/>
      <c r="T399" s="172">
        <v>2500000</v>
      </c>
      <c r="U399" s="218"/>
      <c r="V399" s="218"/>
      <c r="W399" s="218"/>
      <c r="X399" s="218"/>
    </row>
    <row r="400" spans="4:25" x14ac:dyDescent="0.25">
      <c r="F400" s="204" t="s">
        <v>772</v>
      </c>
      <c r="G400" s="167" t="s">
        <v>19</v>
      </c>
      <c r="H400" s="167"/>
      <c r="I400" s="167"/>
      <c r="J400" s="166"/>
      <c r="K400" s="172"/>
      <c r="L400" s="172"/>
      <c r="M400" s="172"/>
      <c r="N400" s="172"/>
      <c r="O400" s="172"/>
      <c r="P400" s="172"/>
      <c r="Q400" s="172"/>
      <c r="R400" s="172"/>
      <c r="S400" s="172"/>
      <c r="T400" s="172">
        <v>2000000</v>
      </c>
      <c r="U400" s="218"/>
      <c r="V400" s="218"/>
      <c r="W400" s="218"/>
      <c r="X400" s="218"/>
    </row>
    <row r="401" spans="6:24" x14ac:dyDescent="0.25">
      <c r="F401" s="204" t="s">
        <v>771</v>
      </c>
      <c r="G401" s="167" t="s">
        <v>19</v>
      </c>
      <c r="H401" s="167"/>
      <c r="I401" s="167"/>
      <c r="J401" s="166"/>
      <c r="K401" s="172"/>
      <c r="L401" s="172"/>
      <c r="M401" s="172"/>
      <c r="N401" s="172"/>
      <c r="O401" s="172"/>
      <c r="P401" s="172"/>
      <c r="Q401" s="172"/>
      <c r="R401" s="172"/>
      <c r="S401" s="172"/>
      <c r="T401" s="172">
        <v>1500000</v>
      </c>
      <c r="U401" s="218"/>
      <c r="V401" s="218"/>
      <c r="W401" s="218"/>
      <c r="X401" s="218"/>
    </row>
    <row r="402" spans="6:24" x14ac:dyDescent="0.25">
      <c r="F402" s="204" t="s">
        <v>811</v>
      </c>
      <c r="G402" s="167" t="s">
        <v>19</v>
      </c>
      <c r="H402" s="167"/>
      <c r="I402" s="167"/>
      <c r="J402" s="166"/>
      <c r="K402" s="172"/>
      <c r="L402" s="172"/>
      <c r="M402" s="172"/>
      <c r="N402" s="172"/>
      <c r="O402" s="172"/>
      <c r="P402" s="172"/>
      <c r="Q402" s="172"/>
      <c r="R402" s="172"/>
      <c r="S402" s="172"/>
      <c r="T402" s="172">
        <v>1500000</v>
      </c>
      <c r="U402" s="218"/>
      <c r="V402" s="218"/>
      <c r="W402" s="218"/>
      <c r="X402" s="218"/>
    </row>
    <row r="403" spans="6:24" x14ac:dyDescent="0.25">
      <c r="F403" s="204" t="s">
        <v>912</v>
      </c>
      <c r="G403" s="167" t="s">
        <v>19</v>
      </c>
      <c r="H403" s="167"/>
      <c r="I403" s="167"/>
      <c r="J403" s="166"/>
      <c r="K403" s="172"/>
      <c r="L403" s="172"/>
      <c r="M403" s="172"/>
      <c r="N403" s="172"/>
      <c r="O403" s="172"/>
      <c r="P403" s="172"/>
      <c r="Q403" s="172"/>
      <c r="R403" s="172"/>
      <c r="S403" s="172"/>
      <c r="T403" s="172">
        <f>1870000*0</f>
        <v>0</v>
      </c>
      <c r="U403" s="218"/>
      <c r="V403" s="218"/>
      <c r="W403" s="218"/>
      <c r="X403" s="218"/>
    </row>
    <row r="404" spans="6:24" x14ac:dyDescent="0.25">
      <c r="F404" s="204" t="s">
        <v>350</v>
      </c>
      <c r="G404" s="167" t="s">
        <v>19</v>
      </c>
      <c r="H404" s="167"/>
      <c r="I404" s="167"/>
      <c r="J404" s="166"/>
      <c r="K404" s="172"/>
      <c r="L404" s="172"/>
      <c r="M404" s="172"/>
      <c r="N404" s="172"/>
      <c r="O404" s="172"/>
      <c r="P404" s="172"/>
      <c r="Q404" s="172"/>
      <c r="R404" s="172"/>
      <c r="S404" s="172"/>
      <c r="T404" s="172">
        <v>875000</v>
      </c>
      <c r="U404" s="218"/>
      <c r="V404" s="218"/>
      <c r="W404" s="218"/>
      <c r="X404" s="218"/>
    </row>
    <row r="405" spans="6:24" x14ac:dyDescent="0.25">
      <c r="F405" s="204" t="s">
        <v>374</v>
      </c>
      <c r="G405" s="167" t="s">
        <v>19</v>
      </c>
      <c r="H405" s="167"/>
      <c r="I405" s="167"/>
      <c r="J405" s="166"/>
      <c r="K405" s="172"/>
      <c r="L405" s="172"/>
      <c r="M405" s="172"/>
      <c r="N405" s="172"/>
      <c r="O405" s="172"/>
      <c r="P405" s="172"/>
      <c r="Q405" s="172"/>
      <c r="R405" s="172"/>
      <c r="S405" s="172"/>
      <c r="T405" s="172">
        <v>500000</v>
      </c>
      <c r="U405" s="218"/>
      <c r="V405" s="218"/>
      <c r="W405" s="218"/>
      <c r="X405" s="218"/>
    </row>
    <row r="406" spans="6:24" x14ac:dyDescent="0.25">
      <c r="F406" s="204" t="s">
        <v>41</v>
      </c>
      <c r="G406" s="167" t="s">
        <v>16</v>
      </c>
      <c r="H406" s="167"/>
      <c r="I406" s="167"/>
      <c r="J406" s="166"/>
      <c r="K406" s="172"/>
      <c r="L406" s="172"/>
      <c r="M406" s="172"/>
      <c r="N406" s="172"/>
      <c r="O406" s="172"/>
      <c r="P406" s="172"/>
      <c r="Q406" s="172"/>
      <c r="R406" s="172"/>
      <c r="S406" s="172"/>
      <c r="T406" s="172">
        <v>500000</v>
      </c>
      <c r="U406" s="218"/>
      <c r="V406" s="218"/>
      <c r="W406" s="218"/>
      <c r="X406" s="218"/>
    </row>
    <row r="407" spans="6:24" x14ac:dyDescent="0.25">
      <c r="F407" s="204" t="s">
        <v>43</v>
      </c>
      <c r="G407" s="167" t="s">
        <v>16</v>
      </c>
      <c r="H407" s="167"/>
      <c r="I407" s="167"/>
      <c r="J407" s="166"/>
      <c r="K407" s="172"/>
      <c r="L407" s="172"/>
      <c r="M407" s="172"/>
      <c r="N407" s="172"/>
      <c r="O407" s="172"/>
      <c r="P407" s="172"/>
      <c r="Q407" s="172"/>
      <c r="R407" s="172"/>
      <c r="S407" s="172"/>
      <c r="T407" s="172">
        <v>300000</v>
      </c>
      <c r="U407" s="218"/>
      <c r="V407" s="218"/>
      <c r="W407" s="218"/>
      <c r="X407" s="218"/>
    </row>
    <row r="408" spans="6:24" x14ac:dyDescent="0.25">
      <c r="F408" s="204" t="s">
        <v>184</v>
      </c>
      <c r="G408" s="167" t="s">
        <v>16</v>
      </c>
      <c r="H408" s="167"/>
      <c r="I408" s="167"/>
      <c r="J408" s="166"/>
      <c r="K408" s="172"/>
      <c r="L408" s="172"/>
      <c r="M408" s="172"/>
      <c r="N408" s="172"/>
      <c r="O408" s="172"/>
      <c r="P408" s="172"/>
      <c r="Q408" s="172"/>
      <c r="R408" s="172"/>
      <c r="S408" s="172"/>
      <c r="T408" s="172">
        <v>250000</v>
      </c>
      <c r="U408" s="218"/>
      <c r="V408" s="218"/>
      <c r="W408" s="218"/>
      <c r="X408" s="218"/>
    </row>
    <row r="409" spans="6:24" x14ac:dyDescent="0.25">
      <c r="F409" s="204" t="s">
        <v>889</v>
      </c>
      <c r="G409" s="167" t="s">
        <v>16</v>
      </c>
      <c r="H409" s="167"/>
      <c r="I409" s="167"/>
      <c r="J409" s="166"/>
      <c r="K409" s="172"/>
      <c r="L409" s="172"/>
      <c r="M409" s="172"/>
      <c r="N409" s="172"/>
      <c r="O409" s="172"/>
      <c r="P409" s="172"/>
      <c r="Q409" s="172"/>
      <c r="R409" s="172"/>
      <c r="S409" s="172"/>
      <c r="T409" s="172">
        <v>150000</v>
      </c>
      <c r="U409" s="218"/>
      <c r="V409" s="218"/>
      <c r="W409" s="218"/>
      <c r="X409" s="218"/>
    </row>
    <row r="410" spans="6:24" x14ac:dyDescent="0.25">
      <c r="F410" s="204" t="s">
        <v>752</v>
      </c>
      <c r="G410" s="167" t="s">
        <v>16</v>
      </c>
      <c r="H410" s="167"/>
      <c r="I410" s="167"/>
      <c r="J410" s="166"/>
      <c r="K410" s="172"/>
      <c r="L410" s="172"/>
      <c r="M410" s="172"/>
      <c r="N410" s="172"/>
      <c r="O410" s="172"/>
      <c r="P410" s="172"/>
      <c r="Q410" s="172"/>
      <c r="R410" s="172"/>
      <c r="S410" s="172"/>
      <c r="T410" s="172">
        <v>100000</v>
      </c>
      <c r="U410" s="218"/>
      <c r="V410" s="218"/>
      <c r="W410" s="218"/>
      <c r="X410" s="218"/>
    </row>
    <row r="411" spans="6:24" ht="15.75" thickBot="1" x14ac:dyDescent="0.3">
      <c r="F411" s="204" t="s">
        <v>51</v>
      </c>
      <c r="G411" s="167"/>
      <c r="H411" s="167"/>
      <c r="I411" s="167"/>
      <c r="J411" s="166"/>
      <c r="K411" s="172"/>
      <c r="L411" s="172"/>
      <c r="M411" s="172"/>
      <c r="N411" s="172"/>
      <c r="O411" s="172"/>
      <c r="P411" s="172"/>
      <c r="Q411" s="172"/>
      <c r="R411" s="172"/>
      <c r="S411" s="172"/>
      <c r="T411" s="171">
        <f>SUM(T395:T410)</f>
        <v>63675000</v>
      </c>
      <c r="U411" s="218"/>
      <c r="V411" s="218"/>
      <c r="W411" s="218"/>
      <c r="X411" s="218"/>
    </row>
    <row r="412" spans="6:24" ht="15.75" thickTop="1" x14ac:dyDescent="0.25">
      <c r="L412" s="114"/>
      <c r="N412" s="114"/>
    </row>
    <row r="413" spans="6:24" x14ac:dyDescent="0.25">
      <c r="F413" s="402" t="s">
        <v>523</v>
      </c>
      <c r="G413" s="402"/>
      <c r="H413" s="402"/>
      <c r="I413" s="402"/>
      <c r="J413" s="402"/>
      <c r="K413" s="402"/>
      <c r="L413" s="402"/>
      <c r="N413" s="114"/>
    </row>
    <row r="414" spans="6:24" x14ac:dyDescent="0.25">
      <c r="F414" s="114" t="s">
        <v>1112</v>
      </c>
      <c r="G414" s="114"/>
      <c r="H414" s="114"/>
      <c r="I414" s="114"/>
      <c r="L414" s="114"/>
      <c r="N414" s="114"/>
    </row>
    <row r="415" spans="6:24" x14ac:dyDescent="0.25">
      <c r="F415" s="402" t="s">
        <v>524</v>
      </c>
      <c r="G415" s="402"/>
      <c r="H415" s="402"/>
      <c r="I415" s="402"/>
      <c r="J415" s="402"/>
      <c r="K415" s="402"/>
      <c r="L415" s="402"/>
      <c r="N415" s="114"/>
    </row>
    <row r="416" spans="6:24" x14ac:dyDescent="0.25">
      <c r="F416" s="402" t="s">
        <v>888</v>
      </c>
      <c r="G416" s="402"/>
      <c r="H416" s="402"/>
      <c r="I416" s="402"/>
      <c r="J416" s="402"/>
      <c r="K416" s="402"/>
      <c r="L416" s="263"/>
      <c r="N416" s="114"/>
    </row>
    <row r="417" spans="6:22" x14ac:dyDescent="0.25">
      <c r="F417" s="402" t="s">
        <v>525</v>
      </c>
      <c r="G417" s="402"/>
      <c r="H417" s="402"/>
      <c r="I417" s="402"/>
      <c r="J417" s="402"/>
      <c r="K417" s="402"/>
      <c r="L417" s="402"/>
      <c r="N417" s="114"/>
    </row>
    <row r="418" spans="6:22" x14ac:dyDescent="0.25">
      <c r="F418" s="402" t="s">
        <v>526</v>
      </c>
      <c r="G418" s="402"/>
      <c r="H418" s="402"/>
      <c r="I418" s="402"/>
      <c r="J418" s="402"/>
      <c r="K418" s="402"/>
      <c r="L418" s="402"/>
      <c r="N418" s="114"/>
    </row>
    <row r="419" spans="6:22" x14ac:dyDescent="0.25">
      <c r="F419" s="402" t="s">
        <v>527</v>
      </c>
      <c r="G419" s="402"/>
      <c r="H419" s="402"/>
      <c r="I419" s="402"/>
      <c r="J419" s="402"/>
      <c r="K419" s="402"/>
      <c r="L419" s="402"/>
      <c r="M419" s="402"/>
      <c r="N419" s="402"/>
      <c r="O419" s="402"/>
      <c r="P419" s="402"/>
      <c r="Q419" s="402"/>
      <c r="R419" s="402"/>
      <c r="S419" s="402"/>
      <c r="T419" s="402"/>
      <c r="U419" s="402"/>
      <c r="V419" s="402"/>
    </row>
    <row r="420" spans="6:22" x14ac:dyDescent="0.25">
      <c r="F420" s="402" t="s">
        <v>528</v>
      </c>
      <c r="G420" s="402"/>
      <c r="H420" s="402"/>
      <c r="I420" s="402"/>
      <c r="J420" s="402"/>
      <c r="K420" s="402"/>
      <c r="L420" s="114"/>
      <c r="N420" s="114"/>
    </row>
    <row r="421" spans="6:22" x14ac:dyDescent="0.25">
      <c r="F421" s="402" t="s">
        <v>529</v>
      </c>
      <c r="G421" s="402"/>
      <c r="H421" s="402"/>
      <c r="I421" s="402"/>
      <c r="J421" s="402"/>
      <c r="K421" s="402"/>
      <c r="L421" s="402"/>
      <c r="N421" s="114"/>
    </row>
    <row r="422" spans="6:22" x14ac:dyDescent="0.25">
      <c r="L422" s="114"/>
      <c r="N422" s="114"/>
    </row>
    <row r="423" spans="6:22" x14ac:dyDescent="0.25">
      <c r="F423" s="402" t="s">
        <v>556</v>
      </c>
      <c r="G423" s="402"/>
      <c r="H423" s="402"/>
      <c r="I423" s="402"/>
      <c r="J423" s="402"/>
      <c r="K423" s="402"/>
      <c r="L423" s="402"/>
      <c r="N423" s="114"/>
    </row>
    <row r="424" spans="6:22" x14ac:dyDescent="0.25">
      <c r="L424" s="114"/>
      <c r="N424" s="114"/>
      <c r="O424" s="317"/>
      <c r="P424" s="284"/>
    </row>
    <row r="425" spans="6:22" x14ac:dyDescent="0.25">
      <c r="L425" s="114"/>
      <c r="N425" s="114"/>
    </row>
    <row r="426" spans="6:22" outlineLevel="1" x14ac:dyDescent="0.25">
      <c r="L426" s="114"/>
      <c r="N426" s="114"/>
    </row>
    <row r="427" spans="6:22" outlineLevel="1" x14ac:dyDescent="0.25">
      <c r="L427" s="114"/>
      <c r="N427" s="114"/>
    </row>
    <row r="428" spans="6:22" outlineLevel="1" x14ac:dyDescent="0.25">
      <c r="L428" s="114"/>
      <c r="N428" s="114"/>
    </row>
    <row r="429" spans="6:22" outlineLevel="1" x14ac:dyDescent="0.25">
      <c r="L429" s="114"/>
      <c r="N429" s="114"/>
    </row>
    <row r="430" spans="6:22" outlineLevel="1" x14ac:dyDescent="0.25">
      <c r="L430" s="114"/>
      <c r="N430" s="114"/>
      <c r="P430" s="114" t="s">
        <v>591</v>
      </c>
      <c r="Q430" s="142">
        <v>1680000</v>
      </c>
      <c r="R430" s="114" t="s">
        <v>584</v>
      </c>
    </row>
    <row r="431" spans="6:22" outlineLevel="1" x14ac:dyDescent="0.25">
      <c r="L431" s="114"/>
      <c r="N431" s="114"/>
      <c r="Q431" s="142"/>
    </row>
    <row r="432" spans="6:22" outlineLevel="1" x14ac:dyDescent="0.25">
      <c r="L432" s="114"/>
      <c r="N432" s="114"/>
      <c r="P432" s="114" t="s">
        <v>590</v>
      </c>
      <c r="Q432" s="142">
        <v>500000</v>
      </c>
      <c r="R432" s="114" t="s">
        <v>576</v>
      </c>
    </row>
    <row r="433" spans="12:18" outlineLevel="1" x14ac:dyDescent="0.25">
      <c r="L433" s="114"/>
      <c r="N433" s="114"/>
      <c r="Q433" s="142"/>
    </row>
    <row r="434" spans="12:18" outlineLevel="1" x14ac:dyDescent="0.25">
      <c r="L434" s="114"/>
      <c r="N434" s="114"/>
      <c r="Q434" s="142" t="e">
        <f>'CIP Details'!#REF!</f>
        <v>#REF!</v>
      </c>
      <c r="R434" s="114" t="s">
        <v>577</v>
      </c>
    </row>
    <row r="435" spans="12:18" outlineLevel="1" x14ac:dyDescent="0.25">
      <c r="L435" s="114"/>
      <c r="N435" s="114"/>
      <c r="Q435" s="142">
        <f>L315</f>
        <v>0</v>
      </c>
      <c r="R435" s="114" t="s">
        <v>578</v>
      </c>
    </row>
    <row r="436" spans="12:18" outlineLevel="1" x14ac:dyDescent="0.25">
      <c r="L436" s="114"/>
      <c r="N436" s="114"/>
      <c r="Q436" s="142">
        <f>L274</f>
        <v>0</v>
      </c>
      <c r="R436" s="114" t="s">
        <v>579</v>
      </c>
    </row>
    <row r="437" spans="12:18" outlineLevel="1" x14ac:dyDescent="0.25">
      <c r="L437" s="114"/>
      <c r="N437" s="114"/>
      <c r="P437" s="114" t="s">
        <v>587</v>
      </c>
      <c r="Q437" s="142">
        <f>L128</f>
        <v>0</v>
      </c>
      <c r="R437" s="114" t="s">
        <v>580</v>
      </c>
    </row>
    <row r="438" spans="12:18" outlineLevel="1" x14ac:dyDescent="0.25">
      <c r="L438" s="114"/>
      <c r="N438" s="114"/>
      <c r="Q438" s="142">
        <f>L209</f>
        <v>0</v>
      </c>
      <c r="R438" s="114" t="s">
        <v>581</v>
      </c>
    </row>
    <row r="439" spans="12:18" outlineLevel="1" x14ac:dyDescent="0.25">
      <c r="L439" s="114"/>
      <c r="N439" s="114"/>
      <c r="P439" s="114" t="s">
        <v>588</v>
      </c>
      <c r="Q439" s="142">
        <f>L145</f>
        <v>0</v>
      </c>
      <c r="R439" s="114" t="s">
        <v>582</v>
      </c>
    </row>
    <row r="440" spans="12:18" outlineLevel="1" x14ac:dyDescent="0.25">
      <c r="L440" s="114"/>
      <c r="N440" s="114"/>
      <c r="P440" s="114" t="s">
        <v>588</v>
      </c>
      <c r="Q440" s="142">
        <f>L150</f>
        <v>0</v>
      </c>
      <c r="R440" s="114" t="s">
        <v>589</v>
      </c>
    </row>
    <row r="441" spans="12:18" outlineLevel="1" x14ac:dyDescent="0.25">
      <c r="L441" s="114"/>
      <c r="N441" s="114"/>
      <c r="Q441" s="142" t="e">
        <f>#REF!</f>
        <v>#REF!</v>
      </c>
      <c r="R441" s="114" t="s">
        <v>583</v>
      </c>
    </row>
    <row r="442" spans="12:18" outlineLevel="1" x14ac:dyDescent="0.25">
      <c r="L442" s="114"/>
      <c r="N442" s="114"/>
      <c r="Q442" s="142" t="e">
        <f>#REF!</f>
        <v>#REF!</v>
      </c>
      <c r="R442" s="114" t="s">
        <v>586</v>
      </c>
    </row>
    <row r="443" spans="12:18" outlineLevel="1" x14ac:dyDescent="0.25">
      <c r="L443" s="114"/>
      <c r="N443" s="114"/>
    </row>
    <row r="444" spans="12:18" outlineLevel="1" x14ac:dyDescent="0.25">
      <c r="L444" s="114"/>
      <c r="N444" s="114"/>
      <c r="Q444" s="142">
        <v>-55000</v>
      </c>
      <c r="R444" s="114" t="s">
        <v>585</v>
      </c>
    </row>
    <row r="445" spans="12:18" outlineLevel="1" x14ac:dyDescent="0.25">
      <c r="L445" s="114"/>
      <c r="N445" s="114"/>
    </row>
    <row r="446" spans="12:18" outlineLevel="1" x14ac:dyDescent="0.25">
      <c r="L446" s="114"/>
      <c r="N446" s="114"/>
      <c r="Q446" s="143">
        <v>1200000</v>
      </c>
      <c r="R446" s="114" t="s">
        <v>575</v>
      </c>
    </row>
    <row r="447" spans="12:18" outlineLevel="1" x14ac:dyDescent="0.25">
      <c r="L447" s="114"/>
      <c r="N447" s="114"/>
      <c r="Q447" s="144" t="e">
        <f>4100000-SUM(Q430:Q446)</f>
        <v>#REF!</v>
      </c>
    </row>
    <row r="448" spans="12:18" outlineLevel="1" x14ac:dyDescent="0.25">
      <c r="L448" s="114"/>
      <c r="N448" s="114"/>
    </row>
    <row r="449" spans="12:14" outlineLevel="1" x14ac:dyDescent="0.25">
      <c r="L449" s="114"/>
      <c r="N449" s="114"/>
    </row>
    <row r="450" spans="12:14" outlineLevel="1" x14ac:dyDescent="0.25">
      <c r="L450" s="114"/>
      <c r="N450" s="114"/>
    </row>
    <row r="451" spans="12:14" outlineLevel="1" x14ac:dyDescent="0.25">
      <c r="L451" s="114"/>
      <c r="N451" s="114"/>
    </row>
    <row r="452" spans="12:14" outlineLevel="1" x14ac:dyDescent="0.25">
      <c r="L452" s="114"/>
      <c r="N452" s="114"/>
    </row>
    <row r="453" spans="12:14" outlineLevel="1" x14ac:dyDescent="0.25">
      <c r="L453" s="114"/>
      <c r="N453" s="114"/>
    </row>
    <row r="454" spans="12:14" outlineLevel="1" x14ac:dyDescent="0.25">
      <c r="L454" s="114"/>
      <c r="N454" s="114"/>
    </row>
    <row r="455" spans="12:14" outlineLevel="1" x14ac:dyDescent="0.25">
      <c r="L455" s="114"/>
      <c r="N455" s="114"/>
    </row>
    <row r="456" spans="12:14" outlineLevel="1" x14ac:dyDescent="0.25">
      <c r="L456" s="114"/>
      <c r="N456" s="114"/>
    </row>
    <row r="457" spans="12:14" outlineLevel="1" x14ac:dyDescent="0.25">
      <c r="L457" s="114"/>
      <c r="N457" s="114"/>
    </row>
    <row r="458" spans="12:14" outlineLevel="1" x14ac:dyDescent="0.25">
      <c r="L458" s="114"/>
      <c r="N458" s="114"/>
    </row>
    <row r="459" spans="12:14" outlineLevel="1" x14ac:dyDescent="0.25">
      <c r="L459" s="114"/>
      <c r="N459" s="114"/>
    </row>
    <row r="460" spans="12:14" outlineLevel="1" x14ac:dyDescent="0.25">
      <c r="L460" s="114"/>
      <c r="N460" s="114"/>
    </row>
    <row r="461" spans="12:14" outlineLevel="1" x14ac:dyDescent="0.25">
      <c r="L461" s="114"/>
      <c r="N461" s="114"/>
    </row>
    <row r="462" spans="12:14" outlineLevel="1" x14ac:dyDescent="0.25">
      <c r="L462" s="114"/>
      <c r="N462" s="114"/>
    </row>
    <row r="463" spans="12:14" outlineLevel="1" x14ac:dyDescent="0.25">
      <c r="L463" s="114"/>
      <c r="N463" s="114"/>
    </row>
    <row r="464" spans="12:14" outlineLevel="1" x14ac:dyDescent="0.25">
      <c r="L464" s="114"/>
      <c r="N464" s="114"/>
    </row>
    <row r="465" spans="12:14" outlineLevel="1" x14ac:dyDescent="0.25">
      <c r="L465" s="114"/>
      <c r="N465" s="114"/>
    </row>
    <row r="466" spans="12:14" outlineLevel="1" x14ac:dyDescent="0.25">
      <c r="L466" s="114"/>
      <c r="N466" s="114"/>
    </row>
    <row r="467" spans="12:14" outlineLevel="1" x14ac:dyDescent="0.25">
      <c r="L467" s="114"/>
      <c r="N467" s="114"/>
    </row>
    <row r="468" spans="12:14" outlineLevel="1" x14ac:dyDescent="0.25">
      <c r="L468" s="114"/>
      <c r="N468" s="114"/>
    </row>
    <row r="469" spans="12:14" outlineLevel="1" x14ac:dyDescent="0.25">
      <c r="L469" s="114"/>
      <c r="N469" s="114"/>
    </row>
    <row r="470" spans="12:14" x14ac:dyDescent="0.25">
      <c r="L470" s="114"/>
      <c r="N470" s="114"/>
    </row>
    <row r="471" spans="12:14" x14ac:dyDescent="0.25">
      <c r="L471" s="114"/>
      <c r="N471" s="114"/>
    </row>
    <row r="472" spans="12:14" x14ac:dyDescent="0.25">
      <c r="L472" s="114"/>
      <c r="N472" s="114"/>
    </row>
    <row r="473" spans="12:14" x14ac:dyDescent="0.25">
      <c r="L473" s="114"/>
      <c r="N473" s="114"/>
    </row>
    <row r="474" spans="12:14" x14ac:dyDescent="0.25">
      <c r="L474" s="114"/>
      <c r="N474" s="114"/>
    </row>
    <row r="475" spans="12:14" x14ac:dyDescent="0.25">
      <c r="L475" s="114"/>
      <c r="N475" s="114"/>
    </row>
    <row r="476" spans="12:14" x14ac:dyDescent="0.25">
      <c r="L476" s="114"/>
      <c r="N476" s="114"/>
    </row>
    <row r="477" spans="12:14" x14ac:dyDescent="0.25">
      <c r="L477" s="114"/>
      <c r="N477" s="114"/>
    </row>
    <row r="478" spans="12:14" x14ac:dyDescent="0.25">
      <c r="L478" s="114"/>
      <c r="N478" s="114"/>
    </row>
    <row r="479" spans="12:14" x14ac:dyDescent="0.25">
      <c r="L479" s="114"/>
      <c r="N479" s="114"/>
    </row>
    <row r="480" spans="12:14" x14ac:dyDescent="0.25">
      <c r="L480" s="114"/>
      <c r="N480" s="114"/>
    </row>
    <row r="481" spans="12:14" x14ac:dyDescent="0.25">
      <c r="L481" s="114"/>
      <c r="N481" s="114"/>
    </row>
    <row r="482" spans="12:14" x14ac:dyDescent="0.25">
      <c r="L482" s="114"/>
      <c r="N482" s="114"/>
    </row>
  </sheetData>
  <sortState ref="B247:AA314">
    <sortCondition ref="C247:C314"/>
    <sortCondition descending="1" ref="L247:L314"/>
    <sortCondition descending="1" ref="M247:M314"/>
    <sortCondition descending="1" ref="O247:O314"/>
    <sortCondition descending="1" ref="P247:P314"/>
    <sortCondition descending="1" ref="Q247:Q314"/>
    <sortCondition descending="1" ref="R247:R314"/>
    <sortCondition descending="1" ref="S247:S314"/>
    <sortCondition descending="1" ref="U247:U314"/>
    <sortCondition descending="1" ref="V247:V314"/>
    <sortCondition descending="1" ref="W247:W314"/>
  </sortState>
  <customSheetViews>
    <customSheetView guid="{BB410D8C-36DE-400F-AB69-DB51CF9CA663}" scale="120" showPageBreaks="1" showGridLines="0" fitToPage="1" printArea="1" hiddenRows="1" hiddenColumns="1">
      <pane xSplit="9" ySplit="9" topLeftCell="Q31" activePane="bottomRight" state="frozen"/>
      <selection pane="bottomRight" activeCell="H7" sqref="H7"/>
      <rowBreaks count="1" manualBreakCount="1">
        <brk id="352" max="16383" man="1"/>
      </rowBreaks>
      <pageMargins left="0.3" right="0.3" top="0.4" bottom="0.4" header="0" footer="0"/>
      <pageSetup scale="43" fitToHeight="0" orientation="landscape" r:id="rId1"/>
      <headerFooter>
        <oddFooter>&amp;R&amp;D</oddFooter>
      </headerFooter>
    </customSheetView>
  </customSheetViews>
  <mergeCells count="10">
    <mergeCell ref="F394:Q394"/>
    <mergeCell ref="F420:K420"/>
    <mergeCell ref="F421:L421"/>
    <mergeCell ref="F423:L423"/>
    <mergeCell ref="F419:V419"/>
    <mergeCell ref="F413:L413"/>
    <mergeCell ref="F415:L415"/>
    <mergeCell ref="F417:L417"/>
    <mergeCell ref="F418:L418"/>
    <mergeCell ref="F416:K416"/>
  </mergeCells>
  <pageMargins left="0.3" right="0.3" top="0.4" bottom="0.4" header="0" footer="0"/>
  <pageSetup scale="57" fitToHeight="0" orientation="landscape" r:id="rId2"/>
  <headerFooter>
    <oddFooter>&amp;R&amp;D</oddFooter>
  </headerFooter>
  <rowBreaks count="1" manualBreakCount="1">
    <brk id="367" max="16383" man="1"/>
  </rowBreak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11"/>
  <sheetViews>
    <sheetView topLeftCell="B1" zoomScale="120" zoomScaleNormal="120" workbookViewId="0">
      <selection activeCell="B2" sqref="B2"/>
    </sheetView>
  </sheetViews>
  <sheetFormatPr defaultRowHeight="15" outlineLevelCol="1" x14ac:dyDescent="0.25"/>
  <cols>
    <col min="1" max="1" width="26.7109375" style="235" hidden="1" customWidth="1" outlineLevel="1"/>
    <col min="2" max="2" width="19.42578125" customWidth="1" collapsed="1"/>
    <col min="3" max="3" width="75" bestFit="1" customWidth="1"/>
    <col min="4" max="4" width="13.7109375" style="1" customWidth="1"/>
    <col min="5" max="5" width="11.85546875" bestFit="1" customWidth="1"/>
    <col min="6" max="6" width="14.7109375" customWidth="1"/>
    <col min="7" max="7" width="11.28515625" bestFit="1" customWidth="1"/>
    <col min="8" max="8" width="4.5703125" customWidth="1"/>
    <col min="9" max="10" width="11.28515625" bestFit="1" customWidth="1"/>
    <col min="11" max="11" width="10.5703125" bestFit="1" customWidth="1"/>
    <col min="12" max="13" width="10.85546875" bestFit="1" customWidth="1"/>
    <col min="14" max="14" width="11.7109375" bestFit="1" customWidth="1"/>
    <col min="15" max="15" width="10.85546875" hidden="1" customWidth="1" outlineLevel="1"/>
    <col min="16" max="16" width="12" hidden="1" customWidth="1" outlineLevel="1"/>
    <col min="17" max="19" width="11.28515625" hidden="1" customWidth="1" outlineLevel="1"/>
    <col min="20" max="20" width="9.140625" collapsed="1"/>
  </cols>
  <sheetData>
    <row r="1" spans="1:19" ht="21" x14ac:dyDescent="0.35">
      <c r="B1" s="17" t="s">
        <v>62</v>
      </c>
    </row>
    <row r="2" spans="1:19" ht="21" x14ac:dyDescent="0.35">
      <c r="B2" s="17" t="str">
        <f>'CIP Details'!C2&amp;" - Bond/BAN Details"</f>
        <v>Capital Improvement Plan (CIP) - Bond/BAN Details</v>
      </c>
    </row>
    <row r="3" spans="1:19" ht="21" x14ac:dyDescent="0.35">
      <c r="B3" s="17" t="str">
        <f>'CIP Details'!C3</f>
        <v>Fiscal Year 2021 - 2026+</v>
      </c>
      <c r="J3" s="6"/>
    </row>
    <row r="4" spans="1:19" x14ac:dyDescent="0.25">
      <c r="B4" s="16" t="str">
        <f>'CIP Details'!C4</f>
        <v>(Excludes Berlin Water Control - budgeted separately)</v>
      </c>
      <c r="C4" s="52"/>
    </row>
    <row r="6" spans="1:19" ht="18.75" x14ac:dyDescent="0.25">
      <c r="B6" s="3" t="s">
        <v>246</v>
      </c>
      <c r="C6" s="3" t="s">
        <v>247</v>
      </c>
      <c r="D6" s="3"/>
      <c r="E6" s="3" t="s">
        <v>2</v>
      </c>
      <c r="F6" s="3" t="s">
        <v>3</v>
      </c>
      <c r="G6" s="3" t="s">
        <v>4</v>
      </c>
      <c r="H6" s="215"/>
      <c r="I6" s="3" t="s">
        <v>5</v>
      </c>
      <c r="J6" s="3" t="s">
        <v>6</v>
      </c>
      <c r="K6" s="3" t="s">
        <v>7</v>
      </c>
      <c r="L6" s="3" t="s">
        <v>8</v>
      </c>
      <c r="M6" s="3" t="s">
        <v>9</v>
      </c>
      <c r="N6" s="3" t="s">
        <v>1111</v>
      </c>
      <c r="O6" s="3" t="s">
        <v>10</v>
      </c>
      <c r="P6" s="3" t="s">
        <v>11</v>
      </c>
      <c r="Q6" s="3" t="s">
        <v>45</v>
      </c>
      <c r="R6" s="3" t="s">
        <v>622</v>
      </c>
      <c r="S6" s="3" t="s">
        <v>868</v>
      </c>
    </row>
    <row r="7" spans="1:19" ht="18.75" x14ac:dyDescent="0.25">
      <c r="E7" s="1" t="s">
        <v>385</v>
      </c>
      <c r="F7" s="1" t="s">
        <v>629</v>
      </c>
      <c r="G7" s="1" t="s">
        <v>612</v>
      </c>
      <c r="H7" s="215"/>
      <c r="I7" s="1" t="s">
        <v>613</v>
      </c>
      <c r="J7" s="1" t="s">
        <v>614</v>
      </c>
      <c r="K7" s="1" t="s">
        <v>615</v>
      </c>
      <c r="L7" s="1" t="s">
        <v>616</v>
      </c>
      <c r="M7" s="1" t="s">
        <v>617</v>
      </c>
      <c r="N7" s="1" t="s">
        <v>1113</v>
      </c>
      <c r="O7" s="1" t="s">
        <v>618</v>
      </c>
      <c r="P7" s="1" t="s">
        <v>619</v>
      </c>
      <c r="Q7" s="1" t="s">
        <v>620</v>
      </c>
      <c r="R7" s="1" t="s">
        <v>739</v>
      </c>
      <c r="S7" s="1" t="s">
        <v>886</v>
      </c>
    </row>
    <row r="8" spans="1:19" ht="18.75" x14ac:dyDescent="0.25">
      <c r="E8" s="1"/>
      <c r="F8" s="1"/>
      <c r="G8" s="1"/>
      <c r="H8" s="215"/>
      <c r="I8" s="1"/>
      <c r="J8" s="1"/>
      <c r="K8" s="1"/>
      <c r="L8" s="1"/>
      <c r="M8" s="1"/>
      <c r="N8" s="1"/>
      <c r="O8" s="1"/>
      <c r="P8" s="1"/>
      <c r="Q8" s="1"/>
      <c r="R8" s="1"/>
      <c r="S8" s="1"/>
    </row>
    <row r="9" spans="1:19" ht="18.75" x14ac:dyDescent="0.25">
      <c r="A9" s="235" t="s">
        <v>365</v>
      </c>
      <c r="B9" t="s">
        <v>461</v>
      </c>
      <c r="C9" t="s">
        <v>52</v>
      </c>
      <c r="D9" s="1" t="s">
        <v>13</v>
      </c>
      <c r="E9" s="6" t="str">
        <f>IF(SUMIF('CIP Details'!$A$9:$A$365,'Bond Details'!$A9&amp;'Bond Details'!$B9&amp;'Bond Details'!$C9&amp;$D9,'CIP Details'!K$9:K$365)&gt;0,SUMIF('CIP Details'!$A$9:$A$365,'Bond Details'!$A9&amp;'Bond Details'!$B9&amp;'Bond Details'!$C9&amp;$D9,'CIP Details'!K$9:K$365),"")</f>
        <v/>
      </c>
      <c r="F9" s="6">
        <f>IF(SUMIF('CIP Details'!$A$9:$A$365,'Bond Details'!$A9&amp;'Bond Details'!$B9&amp;'Bond Details'!$C9&amp;$D9,'CIP Details'!L$9:L$365)&gt;0,SUMIF('CIP Details'!$A$9:$A$365,'Bond Details'!$A9&amp;'Bond Details'!$B9&amp;'Bond Details'!$C9&amp;$D9,'CIP Details'!L$9:L$365),"")</f>
        <v>1800000</v>
      </c>
      <c r="G9" s="6" t="str">
        <f>IF(SUMIF('CIP Details'!$A$9:$A$365,'Bond Details'!$A9&amp;'Bond Details'!$B9&amp;'Bond Details'!$C9&amp;$D9,'CIP Details'!M$9:M$365)&gt;0,SUMIF('CIP Details'!$A$9:$A$365,'Bond Details'!$A9&amp;'Bond Details'!$B9&amp;'Bond Details'!$C9&amp;$D9,'CIP Details'!M$9:M$365),"")</f>
        <v/>
      </c>
      <c r="H9" s="215"/>
      <c r="I9" s="6" t="str">
        <f>IF(SUMIF('CIP Details'!$A$9:$A$365,'Bond Details'!$A9&amp;'Bond Details'!$B9&amp;'Bond Details'!$C9&amp;$D9,'CIP Details'!O$9:O$365)&gt;0,SUMIF('CIP Details'!$A$9:$A$365,'Bond Details'!$A9&amp;'Bond Details'!$B9&amp;'Bond Details'!$C9&amp;$D9,'CIP Details'!O$9:O$365),"")</f>
        <v/>
      </c>
      <c r="J9" s="6" t="str">
        <f>IF(SUMIF('CIP Details'!$A$9:$A$365,'Bond Details'!$A9&amp;'Bond Details'!$B9&amp;'Bond Details'!$C9&amp;$D9,'CIP Details'!P$9:P$365)&gt;0,SUMIF('CIP Details'!$A$9:$A$365,'Bond Details'!$A9&amp;'Bond Details'!$B9&amp;'Bond Details'!$C9&amp;$D9,'CIP Details'!P$9:P$365),"")</f>
        <v/>
      </c>
      <c r="K9" s="6" t="str">
        <f>IF(SUMIF('CIP Details'!$A$9:$A$365,'Bond Details'!$A9&amp;'Bond Details'!$B9&amp;'Bond Details'!$C9&amp;$D9,'CIP Details'!Q$9:Q$365)&gt;0,SUMIF('CIP Details'!$A$9:$A$365,'Bond Details'!$A9&amp;'Bond Details'!$B9&amp;'Bond Details'!$C9&amp;$D9,'CIP Details'!Q$9:Q$365),"")</f>
        <v/>
      </c>
      <c r="L9" s="6" t="str">
        <f>IF(SUMIF('CIP Details'!$A$9:$A$365,'Bond Details'!$A9&amp;'Bond Details'!$B9&amp;'Bond Details'!$C9&amp;$D9,'CIP Details'!R$9:R$365)&gt;0,SUMIF('CIP Details'!$A$9:$A$365,'Bond Details'!$A9&amp;'Bond Details'!$B9&amp;'Bond Details'!$C9&amp;$D9,'CIP Details'!R$9:R$365),"")</f>
        <v/>
      </c>
      <c r="M9" s="6" t="str">
        <f>IF(SUMIF('CIP Details'!$A$9:$A$365,'Bond Details'!$A9&amp;'Bond Details'!$B9&amp;'Bond Details'!$C9&amp;$D9,'CIP Details'!S$9:S$365)&gt;0,SUMIF('CIP Details'!$A$9:$A$365,'Bond Details'!$A9&amp;'Bond Details'!$B9&amp;'Bond Details'!$C9&amp;$D9,'CIP Details'!S$9:S$365),"")</f>
        <v/>
      </c>
      <c r="N9" s="6" t="str">
        <f>IF(SUMIF('CIP Details'!$A$9:$A$365,'Bond Details'!$A9&amp;'Bond Details'!$B9&amp;'Bond Details'!$C9&amp;$D9,'CIP Details'!T$9:T$365)&gt;0,SUMIF('CIP Details'!$A$9:$A$365,'Bond Details'!$A9&amp;'Bond Details'!$B9&amp;'Bond Details'!$C9&amp;$D9,'CIP Details'!T$9:T$365),"")</f>
        <v/>
      </c>
      <c r="O9" s="6" t="str">
        <f>IF(SUMIF('CIP Details'!$A$9:$A$365,'Bond Details'!$A9&amp;'Bond Details'!$B9&amp;'Bond Details'!$C9&amp;$D9,'CIP Details'!U$9:U$365)&gt;0,SUMIF('CIP Details'!$A$9:$A$365,'Bond Details'!$A9&amp;'Bond Details'!$B9&amp;'Bond Details'!$C9&amp;$D9,'CIP Details'!U$9:U$365),"")</f>
        <v/>
      </c>
      <c r="P9" s="6" t="str">
        <f>IF(SUMIF('CIP Details'!$A$9:$A$365,'Bond Details'!$A9&amp;'Bond Details'!$B9&amp;'Bond Details'!$C9&amp;$D9,'CIP Details'!V$9:V$365)&gt;0,SUMIF('CIP Details'!$A$9:$A$365,'Bond Details'!$A9&amp;'Bond Details'!$B9&amp;'Bond Details'!$C9&amp;$D9,'CIP Details'!V$9:V$365),"")</f>
        <v/>
      </c>
      <c r="Q9" s="6" t="str">
        <f>IF(SUMIF('CIP Details'!$A$9:$A$365,'Bond Details'!$A9&amp;'Bond Details'!$B9&amp;'Bond Details'!$C9&amp;$D9,'CIP Details'!W$9:W$365)&gt;0,SUMIF('CIP Details'!$A$9:$A$365,'Bond Details'!$A9&amp;'Bond Details'!$B9&amp;'Bond Details'!$C9&amp;$D9,'CIP Details'!W$9:W$365),"")</f>
        <v/>
      </c>
      <c r="R9" s="6" t="str">
        <f>IF(SUMIF('CIP Details'!$A$9:$A$365,'Bond Details'!$A9&amp;'Bond Details'!$B9&amp;'Bond Details'!$C9&amp;$D9,'CIP Details'!X$9:X$365)&gt;0,SUMIF('CIP Details'!$A$9:$A$365,'Bond Details'!$A9&amp;'Bond Details'!$B9&amp;'Bond Details'!$C9&amp;$D9,'CIP Details'!X$9:X$365),"")</f>
        <v/>
      </c>
      <c r="S9" s="6" t="str">
        <f>IF(SUMIF('CIP Details'!$A$9:$A$365,'Bond Details'!$A9&amp;'Bond Details'!$B9&amp;'Bond Details'!$C9&amp;$D9,'CIP Details'!Y$9:Y$365)&gt;0,SUMIF('CIP Details'!$A$9:$A$365,'Bond Details'!$A9&amp;'Bond Details'!$B9&amp;'Bond Details'!$C9&amp;$D9,'CIP Details'!Y$9:Y$365),"")</f>
        <v/>
      </c>
    </row>
    <row r="10" spans="1:19" ht="18.75" x14ac:dyDescent="0.25">
      <c r="A10" s="235" t="s">
        <v>365</v>
      </c>
      <c r="B10" t="s">
        <v>461</v>
      </c>
      <c r="C10" t="s">
        <v>52</v>
      </c>
      <c r="D10" s="1" t="s">
        <v>19</v>
      </c>
      <c r="E10" s="6">
        <f>IF(SUMIF('CIP Details'!$A$9:$A$365,'Bond Details'!$A10&amp;'Bond Details'!$B10&amp;'Bond Details'!$C10&amp;$D10,'CIP Details'!K$9:K$365)&gt;0,SUMIF('CIP Details'!$A$9:$A$365,'Bond Details'!$A10&amp;'Bond Details'!$B10&amp;'Bond Details'!$C10&amp;$D10,'CIP Details'!K$9:K$365),"")</f>
        <v>1050000</v>
      </c>
      <c r="F10" s="6" t="str">
        <f>IF(SUMIF('CIP Details'!$A$9:$A$365,'Bond Details'!$A10&amp;'Bond Details'!$B10&amp;'Bond Details'!$C10&amp;$D10,'CIP Details'!L$9:L$365)&gt;0,SUMIF('CIP Details'!$A$9:$A$365,'Bond Details'!$A10&amp;'Bond Details'!$B10&amp;'Bond Details'!$C10&amp;$D10,'CIP Details'!L$9:L$365),"")</f>
        <v/>
      </c>
      <c r="G10" s="6" t="str">
        <f>IF(SUMIF('CIP Details'!$A$9:$A$365,'Bond Details'!$A10&amp;'Bond Details'!$B10&amp;'Bond Details'!$C10&amp;$D10,'CIP Details'!M$9:M$365)&gt;0,SUMIF('CIP Details'!$A$9:$A$365,'Bond Details'!$A10&amp;'Bond Details'!$B10&amp;'Bond Details'!$C10&amp;$D10,'CIP Details'!M$9:M$365),"")</f>
        <v/>
      </c>
      <c r="H10" s="215"/>
      <c r="I10" s="6">
        <f>IF(SUMIF('CIP Details'!$A$9:$A$365,'Bond Details'!$A10&amp;'Bond Details'!$B10&amp;'Bond Details'!$C10&amp;$D10,'CIP Details'!O$9:O$365)&gt;0,SUMIF('CIP Details'!$A$9:$A$365,'Bond Details'!$A10&amp;'Bond Details'!$B10&amp;'Bond Details'!$C10&amp;$D10,'CIP Details'!O$9:O$365),"")</f>
        <v>1150000</v>
      </c>
      <c r="J10" s="6">
        <f>IF(SUMIF('CIP Details'!$A$9:$A$365,'Bond Details'!$A10&amp;'Bond Details'!$B10&amp;'Bond Details'!$C10&amp;$D10,'CIP Details'!P$9:P$365)&gt;0,SUMIF('CIP Details'!$A$9:$A$365,'Bond Details'!$A10&amp;'Bond Details'!$B10&amp;'Bond Details'!$C10&amp;$D10,'CIP Details'!P$9:P$365),"")</f>
        <v>400000</v>
      </c>
      <c r="K10" s="6">
        <f>IF(SUMIF('CIP Details'!$A$9:$A$365,'Bond Details'!$A10&amp;'Bond Details'!$B10&amp;'Bond Details'!$C10&amp;$D10,'CIP Details'!Q$9:Q$365)&gt;0,SUMIF('CIP Details'!$A$9:$A$365,'Bond Details'!$A10&amp;'Bond Details'!$B10&amp;'Bond Details'!$C10&amp;$D10,'CIP Details'!Q$9:Q$365),"")</f>
        <v>400000</v>
      </c>
      <c r="L10" s="6">
        <f>IF(SUMIF('CIP Details'!$A$9:$A$365,'Bond Details'!$A10&amp;'Bond Details'!$B10&amp;'Bond Details'!$C10&amp;$D10,'CIP Details'!R$9:R$365)&gt;0,SUMIF('CIP Details'!$A$9:$A$365,'Bond Details'!$A10&amp;'Bond Details'!$B10&amp;'Bond Details'!$C10&amp;$D10,'CIP Details'!R$9:R$365),"")</f>
        <v>400000</v>
      </c>
      <c r="M10" s="6">
        <f>IF(SUMIF('CIP Details'!$A$9:$A$365,'Bond Details'!$A10&amp;'Bond Details'!$B10&amp;'Bond Details'!$C10&amp;$D10,'CIP Details'!S$9:S$365)&gt;0,SUMIF('CIP Details'!$A$9:$A$365,'Bond Details'!$A10&amp;'Bond Details'!$B10&amp;'Bond Details'!$C10&amp;$D10,'CIP Details'!S$9:S$365),"")</f>
        <v>400000</v>
      </c>
      <c r="N10" s="6">
        <f>IF(SUMIF('CIP Details'!$A$9:$A$365,'Bond Details'!$A10&amp;'Bond Details'!$B10&amp;'Bond Details'!$C10&amp;$D10,'CIP Details'!T$9:T$365)&gt;0,SUMIF('CIP Details'!$A$9:$A$365,'Bond Details'!$A10&amp;'Bond Details'!$B10&amp;'Bond Details'!$C10&amp;$D10,'CIP Details'!T$9:T$365),"")</f>
        <v>2000000</v>
      </c>
      <c r="O10" s="6">
        <f>IF(SUMIF('CIP Details'!$A$9:$A$365,'Bond Details'!$A10&amp;'Bond Details'!$B10&amp;'Bond Details'!$C10&amp;$D10,'CIP Details'!U$9:U$365)&gt;0,SUMIF('CIP Details'!$A$9:$A$365,'Bond Details'!$A10&amp;'Bond Details'!$B10&amp;'Bond Details'!$C10&amp;$D10,'CIP Details'!U$9:U$365),"")</f>
        <v>400000</v>
      </c>
      <c r="P10" s="6">
        <f>IF(SUMIF('CIP Details'!$A$9:$A$365,'Bond Details'!$A10&amp;'Bond Details'!$B10&amp;'Bond Details'!$C10&amp;$D10,'CIP Details'!V$9:V$365)&gt;0,SUMIF('CIP Details'!$A$9:$A$365,'Bond Details'!$A10&amp;'Bond Details'!$B10&amp;'Bond Details'!$C10&amp;$D10,'CIP Details'!V$9:V$365),"")</f>
        <v>400000</v>
      </c>
      <c r="Q10" s="6">
        <f>IF(SUMIF('CIP Details'!$A$9:$A$365,'Bond Details'!$A10&amp;'Bond Details'!$B10&amp;'Bond Details'!$C10&amp;$D10,'CIP Details'!W$9:W$365)&gt;0,SUMIF('CIP Details'!$A$9:$A$365,'Bond Details'!$A10&amp;'Bond Details'!$B10&amp;'Bond Details'!$C10&amp;$D10,'CIP Details'!W$9:W$365),"")</f>
        <v>400000</v>
      </c>
      <c r="R10" s="6">
        <f>IF(SUMIF('CIP Details'!$A$9:$A$365,'Bond Details'!$A10&amp;'Bond Details'!$B10&amp;'Bond Details'!$C10&amp;$D10,'CIP Details'!X$9:X$365)&gt;0,SUMIF('CIP Details'!$A$9:$A$365,'Bond Details'!$A10&amp;'Bond Details'!$B10&amp;'Bond Details'!$C10&amp;$D10,'CIP Details'!X$9:X$365),"")</f>
        <v>400000</v>
      </c>
      <c r="S10" s="6">
        <f>IF(SUMIF('CIP Details'!$A$9:$A$365,'Bond Details'!$A10&amp;'Bond Details'!$B10&amp;'Bond Details'!$C10&amp;$D10,'CIP Details'!Y$9:Y$365)&gt;0,SUMIF('CIP Details'!$A$9:$A$365,'Bond Details'!$A10&amp;'Bond Details'!$B10&amp;'Bond Details'!$C10&amp;$D10,'CIP Details'!Y$9:Y$365),"")</f>
        <v>400000</v>
      </c>
    </row>
    <row r="11" spans="1:19" ht="18.75" x14ac:dyDescent="0.25">
      <c r="A11" s="235" t="s">
        <v>365</v>
      </c>
      <c r="B11" t="s">
        <v>250</v>
      </c>
      <c r="C11" t="s">
        <v>628</v>
      </c>
      <c r="D11" s="1" t="s">
        <v>19</v>
      </c>
      <c r="E11" s="6" t="str">
        <f>IF(SUMIF('CIP Details'!$A$9:$A$365,'Bond Details'!$A11&amp;'Bond Details'!$B11&amp;'Bond Details'!$C11&amp;$D11,'CIP Details'!K$9:K$365)&gt;0,SUMIF('CIP Details'!$A$9:$A$365,'Bond Details'!$A11&amp;'Bond Details'!$B11&amp;'Bond Details'!$C11&amp;$D11,'CIP Details'!K$9:K$365),"")</f>
        <v/>
      </c>
      <c r="F11" s="6" t="str">
        <f>IF(SUMIF('CIP Details'!$A$9:$A$365,'Bond Details'!$A11&amp;'Bond Details'!$B11&amp;'Bond Details'!$C11&amp;$D11,'CIP Details'!L$9:L$365)&gt;0,SUMIF('CIP Details'!$A$9:$A$365,'Bond Details'!$A11&amp;'Bond Details'!$B11&amp;'Bond Details'!$C11&amp;$D11,'CIP Details'!L$9:L$365),"")</f>
        <v/>
      </c>
      <c r="G11" s="6">
        <f>IF(SUMIF('CIP Details'!$A$9:$A$365,'Bond Details'!$A11&amp;'Bond Details'!$B11&amp;'Bond Details'!$C11&amp;$D11,'CIP Details'!M$9:M$365)&gt;0,SUMIF('CIP Details'!$A$9:$A$365,'Bond Details'!$A11&amp;'Bond Details'!$B11&amp;'Bond Details'!$C11&amp;$D11,'CIP Details'!M$9:M$365),"")</f>
        <v>500000</v>
      </c>
      <c r="H11" s="215"/>
      <c r="I11" s="6" t="str">
        <f>IF(SUMIF('CIP Details'!$A$9:$A$365,'Bond Details'!$A11&amp;'Bond Details'!$B11&amp;'Bond Details'!$C11&amp;$D11,'CIP Details'!O$9:O$365)&gt;0,SUMIF('CIP Details'!$A$9:$A$365,'Bond Details'!$A11&amp;'Bond Details'!$B11&amp;'Bond Details'!$C11&amp;$D11,'CIP Details'!O$9:O$365),"")</f>
        <v/>
      </c>
      <c r="J11" s="6" t="str">
        <f>IF(SUMIF('CIP Details'!$A$9:$A$365,'Bond Details'!$A11&amp;'Bond Details'!$B11&amp;'Bond Details'!$C11&amp;$D11,'CIP Details'!P$9:P$365)&gt;0,SUMIF('CIP Details'!$A$9:$A$365,'Bond Details'!$A11&amp;'Bond Details'!$B11&amp;'Bond Details'!$C11&amp;$D11,'CIP Details'!P$9:P$365),"")</f>
        <v/>
      </c>
      <c r="K11" s="6" t="str">
        <f>IF(SUMIF('CIP Details'!$A$9:$A$365,'Bond Details'!$A11&amp;'Bond Details'!$B11&amp;'Bond Details'!$C11&amp;$D11,'CIP Details'!Q$9:Q$365)&gt;0,SUMIF('CIP Details'!$A$9:$A$365,'Bond Details'!$A11&amp;'Bond Details'!$B11&amp;'Bond Details'!$C11&amp;$D11,'CIP Details'!Q$9:Q$365),"")</f>
        <v/>
      </c>
      <c r="L11" s="6" t="str">
        <f>IF(SUMIF('CIP Details'!$A$9:$A$365,'Bond Details'!$A11&amp;'Bond Details'!$B11&amp;'Bond Details'!$C11&amp;$D11,'CIP Details'!R$9:R$365)&gt;0,SUMIF('CIP Details'!$A$9:$A$365,'Bond Details'!$A11&amp;'Bond Details'!$B11&amp;'Bond Details'!$C11&amp;$D11,'CIP Details'!R$9:R$365),"")</f>
        <v/>
      </c>
      <c r="M11" s="6" t="str">
        <f>IF(SUMIF('CIP Details'!$A$9:$A$365,'Bond Details'!$A11&amp;'Bond Details'!$B11&amp;'Bond Details'!$C11&amp;$D11,'CIP Details'!S$9:S$365)&gt;0,SUMIF('CIP Details'!$A$9:$A$365,'Bond Details'!$A11&amp;'Bond Details'!$B11&amp;'Bond Details'!$C11&amp;$D11,'CIP Details'!S$9:S$365),"")</f>
        <v/>
      </c>
      <c r="N11" s="6" t="str">
        <f>IF(SUMIF('CIP Details'!$A$9:$A$365,'Bond Details'!$A11&amp;'Bond Details'!$B11&amp;'Bond Details'!$C11&amp;$D11,'CIP Details'!T$9:T$365)&gt;0,SUMIF('CIP Details'!$A$9:$A$365,'Bond Details'!$A11&amp;'Bond Details'!$B11&amp;'Bond Details'!$C11&amp;$D11,'CIP Details'!T$9:T$365),"")</f>
        <v/>
      </c>
      <c r="O11" s="6" t="str">
        <f>IF(SUMIF('CIP Details'!$A$9:$A$365,'Bond Details'!$A11&amp;'Bond Details'!$B11&amp;'Bond Details'!$C11&amp;$D11,'CIP Details'!U$9:U$365)&gt;0,SUMIF('CIP Details'!$A$9:$A$365,'Bond Details'!$A11&amp;'Bond Details'!$B11&amp;'Bond Details'!$C11&amp;$D11,'CIP Details'!U$9:U$365),"")</f>
        <v/>
      </c>
      <c r="P11" s="6" t="str">
        <f>IF(SUMIF('CIP Details'!$A$9:$A$365,'Bond Details'!$A11&amp;'Bond Details'!$B11&amp;'Bond Details'!$C11&amp;$D11,'CIP Details'!V$9:V$365)&gt;0,SUMIF('CIP Details'!$A$9:$A$365,'Bond Details'!$A11&amp;'Bond Details'!$B11&amp;'Bond Details'!$C11&amp;$D11,'CIP Details'!V$9:V$365),"")</f>
        <v/>
      </c>
      <c r="Q11" s="6" t="str">
        <f>IF(SUMIF('CIP Details'!$A$9:$A$365,'Bond Details'!$A11&amp;'Bond Details'!$B11&amp;'Bond Details'!$C11&amp;$D11,'CIP Details'!W$9:W$365)&gt;0,SUMIF('CIP Details'!$A$9:$A$365,'Bond Details'!$A11&amp;'Bond Details'!$B11&amp;'Bond Details'!$C11&amp;$D11,'CIP Details'!W$9:W$365),"")</f>
        <v/>
      </c>
      <c r="R11" s="6" t="str">
        <f>IF(SUMIF('CIP Details'!$A$9:$A$365,'Bond Details'!$A11&amp;'Bond Details'!$B11&amp;'Bond Details'!$C11&amp;$D11,'CIP Details'!X$9:X$365)&gt;0,SUMIF('CIP Details'!$A$9:$A$365,'Bond Details'!$A11&amp;'Bond Details'!$B11&amp;'Bond Details'!$C11&amp;$D11,'CIP Details'!X$9:X$365),"")</f>
        <v/>
      </c>
      <c r="S11" s="6" t="str">
        <f>IF(SUMIF('CIP Details'!$A$9:$A$365,'Bond Details'!$A11&amp;'Bond Details'!$B11&amp;'Bond Details'!$C11&amp;$D11,'CIP Details'!Y$9:Y$365)&gt;0,SUMIF('CIP Details'!$A$9:$A$365,'Bond Details'!$A11&amp;'Bond Details'!$B11&amp;'Bond Details'!$C11&amp;$D11,'CIP Details'!Y$9:Y$365),"")</f>
        <v/>
      </c>
    </row>
    <row r="12" spans="1:19" ht="18.75" x14ac:dyDescent="0.25">
      <c r="A12" s="235" t="s">
        <v>365</v>
      </c>
      <c r="B12" t="s">
        <v>250</v>
      </c>
      <c r="C12" t="s">
        <v>628</v>
      </c>
      <c r="D12" s="1" t="s">
        <v>13</v>
      </c>
      <c r="E12" s="6" t="str">
        <f>IF(SUMIF('CIP Details'!$A$9:$A$365,'Bond Details'!$A12&amp;'Bond Details'!$B12&amp;'Bond Details'!$C12&amp;$D12,'CIP Details'!K$9:K$365)&gt;0,SUMIF('CIP Details'!$A$9:$A$365,'Bond Details'!$A12&amp;'Bond Details'!$B12&amp;'Bond Details'!$C12&amp;$D12,'CIP Details'!K$9:K$365),"")</f>
        <v/>
      </c>
      <c r="F12" s="6">
        <f>IF(SUMIF('CIP Details'!$A$9:$A$365,'Bond Details'!$A12&amp;'Bond Details'!$B12&amp;'Bond Details'!$C12&amp;$D12,'CIP Details'!L$9:L$365)&gt;0,SUMIF('CIP Details'!$A$9:$A$365,'Bond Details'!$A12&amp;'Bond Details'!$B12&amp;'Bond Details'!$C12&amp;$D12,'CIP Details'!L$9:L$365),"")</f>
        <v>1000000</v>
      </c>
      <c r="G12" s="6" t="str">
        <f>IF(SUMIF('CIP Details'!$A$9:$A$365,'Bond Details'!$A12&amp;'Bond Details'!$B12&amp;'Bond Details'!$C12&amp;$D12,'CIP Details'!M$9:M$365)&gt;0,SUMIF('CIP Details'!$A$9:$A$365,'Bond Details'!$A12&amp;'Bond Details'!$B12&amp;'Bond Details'!$C12&amp;$D12,'CIP Details'!M$9:M$365),"")</f>
        <v/>
      </c>
      <c r="H12" s="215"/>
      <c r="I12" s="6" t="str">
        <f>IF(SUMIF('CIP Details'!$A$9:$A$365,'Bond Details'!$A12&amp;'Bond Details'!$B12&amp;'Bond Details'!$C12&amp;$D12,'CIP Details'!O$9:O$365)&gt;0,SUMIF('CIP Details'!$A$9:$A$365,'Bond Details'!$A12&amp;'Bond Details'!$B12&amp;'Bond Details'!$C12&amp;$D12,'CIP Details'!O$9:O$365),"")</f>
        <v/>
      </c>
      <c r="J12" s="6" t="str">
        <f>IF(SUMIF('CIP Details'!$A$9:$A$365,'Bond Details'!$A12&amp;'Bond Details'!$B12&amp;'Bond Details'!$C12&amp;$D12,'CIP Details'!P$9:P$365)&gt;0,SUMIF('CIP Details'!$A$9:$A$365,'Bond Details'!$A12&amp;'Bond Details'!$B12&amp;'Bond Details'!$C12&amp;$D12,'CIP Details'!P$9:P$365),"")</f>
        <v/>
      </c>
      <c r="K12" s="6" t="str">
        <f>IF(SUMIF('CIP Details'!$A$9:$A$365,'Bond Details'!$A12&amp;'Bond Details'!$B12&amp;'Bond Details'!$C12&amp;$D12,'CIP Details'!Q$9:Q$365)&gt;0,SUMIF('CIP Details'!$A$9:$A$365,'Bond Details'!$A12&amp;'Bond Details'!$B12&amp;'Bond Details'!$C12&amp;$D12,'CIP Details'!Q$9:Q$365),"")</f>
        <v/>
      </c>
      <c r="L12" s="6" t="str">
        <f>IF(SUMIF('CIP Details'!$A$9:$A$365,'Bond Details'!$A12&amp;'Bond Details'!$B12&amp;'Bond Details'!$C12&amp;$D12,'CIP Details'!R$9:R$365)&gt;0,SUMIF('CIP Details'!$A$9:$A$365,'Bond Details'!$A12&amp;'Bond Details'!$B12&amp;'Bond Details'!$C12&amp;$D12,'CIP Details'!R$9:R$365),"")</f>
        <v/>
      </c>
      <c r="M12" s="6" t="str">
        <f>IF(SUMIF('CIP Details'!$A$9:$A$365,'Bond Details'!$A12&amp;'Bond Details'!$B12&amp;'Bond Details'!$C12&amp;$D12,'CIP Details'!S$9:S$365)&gt;0,SUMIF('CIP Details'!$A$9:$A$365,'Bond Details'!$A12&amp;'Bond Details'!$B12&amp;'Bond Details'!$C12&amp;$D12,'CIP Details'!S$9:S$365),"")</f>
        <v/>
      </c>
      <c r="N12" s="6" t="str">
        <f>IF(SUMIF('CIP Details'!$A$9:$A$365,'Bond Details'!$A12&amp;'Bond Details'!$B12&amp;'Bond Details'!$C12&amp;$D12,'CIP Details'!T$9:T$365)&gt;0,SUMIF('CIP Details'!$A$9:$A$365,'Bond Details'!$A12&amp;'Bond Details'!$B12&amp;'Bond Details'!$C12&amp;$D12,'CIP Details'!T$9:T$365),"")</f>
        <v/>
      </c>
      <c r="O12" s="6" t="str">
        <f>IF(SUMIF('CIP Details'!$A$9:$A$365,'Bond Details'!$A12&amp;'Bond Details'!$B12&amp;'Bond Details'!$C12&amp;$D12,'CIP Details'!U$9:U$365)&gt;0,SUMIF('CIP Details'!$A$9:$A$365,'Bond Details'!$A12&amp;'Bond Details'!$B12&amp;'Bond Details'!$C12&amp;$D12,'CIP Details'!U$9:U$365),"")</f>
        <v/>
      </c>
      <c r="P12" s="6" t="str">
        <f>IF(SUMIF('CIP Details'!$A$9:$A$365,'Bond Details'!$A12&amp;'Bond Details'!$B12&amp;'Bond Details'!$C12&amp;$D12,'CIP Details'!V$9:V$365)&gt;0,SUMIF('CIP Details'!$A$9:$A$365,'Bond Details'!$A12&amp;'Bond Details'!$B12&amp;'Bond Details'!$C12&amp;$D12,'CIP Details'!V$9:V$365),"")</f>
        <v/>
      </c>
      <c r="Q12" s="6" t="str">
        <f>IF(SUMIF('CIP Details'!$A$9:$A$365,'Bond Details'!$A12&amp;'Bond Details'!$B12&amp;'Bond Details'!$C12&amp;$D12,'CIP Details'!W$9:W$365)&gt;0,SUMIF('CIP Details'!$A$9:$A$365,'Bond Details'!$A12&amp;'Bond Details'!$B12&amp;'Bond Details'!$C12&amp;$D12,'CIP Details'!W$9:W$365),"")</f>
        <v/>
      </c>
      <c r="R12" s="6" t="str">
        <f>IF(SUMIF('CIP Details'!$A$9:$A$365,'Bond Details'!$A12&amp;'Bond Details'!$B12&amp;'Bond Details'!$C12&amp;$D12,'CIP Details'!X$9:X$365)&gt;0,SUMIF('CIP Details'!$A$9:$A$365,'Bond Details'!$A12&amp;'Bond Details'!$B12&amp;'Bond Details'!$C12&amp;$D12,'CIP Details'!X$9:X$365),"")</f>
        <v/>
      </c>
      <c r="S12" s="6" t="str">
        <f>IF(SUMIF('CIP Details'!$A$9:$A$365,'Bond Details'!$A12&amp;'Bond Details'!$B12&amp;'Bond Details'!$C12&amp;$D12,'CIP Details'!Y$9:Y$365)&gt;0,SUMIF('CIP Details'!$A$9:$A$365,'Bond Details'!$A12&amp;'Bond Details'!$B12&amp;'Bond Details'!$C12&amp;$D12,'CIP Details'!Y$9:Y$365),"")</f>
        <v/>
      </c>
    </row>
    <row r="13" spans="1:19" ht="18.75" x14ac:dyDescent="0.25">
      <c r="A13" s="235" t="s">
        <v>365</v>
      </c>
      <c r="B13" t="s">
        <v>250</v>
      </c>
      <c r="C13" t="s">
        <v>498</v>
      </c>
      <c r="D13" s="1" t="s">
        <v>19</v>
      </c>
      <c r="E13" s="6">
        <f>IF(SUMIF('CIP Details'!$A$9:$A$365,'Bond Details'!$A13&amp;'Bond Details'!$B13&amp;'Bond Details'!$C13&amp;$D13,'CIP Details'!K$9:K$365)&gt;0,SUMIF('CIP Details'!$A$9:$A$365,'Bond Details'!$A13&amp;'Bond Details'!$B13&amp;'Bond Details'!$C13&amp;$D13,'CIP Details'!K$9:K$365),"")</f>
        <v>1000000</v>
      </c>
      <c r="F13" s="6" t="str">
        <f>IF(SUMIF('CIP Details'!$A$9:$A$365,'Bond Details'!$A13&amp;'Bond Details'!$B13&amp;'Bond Details'!$C13&amp;$D13,'CIP Details'!L$9:L$365)&gt;0,SUMIF('CIP Details'!$A$9:$A$365,'Bond Details'!$A13&amp;'Bond Details'!$B13&amp;'Bond Details'!$C13&amp;$D13,'CIP Details'!L$9:L$365),"")</f>
        <v/>
      </c>
      <c r="G13" s="6" t="str">
        <f>IF(SUMIF('CIP Details'!$A$9:$A$365,'Bond Details'!$A13&amp;'Bond Details'!$B13&amp;'Bond Details'!$C13&amp;$D13,'CIP Details'!M$9:M$365)&gt;0,SUMIF('CIP Details'!$A$9:$A$365,'Bond Details'!$A13&amp;'Bond Details'!$B13&amp;'Bond Details'!$C13&amp;$D13,'CIP Details'!M$9:M$365),"")</f>
        <v/>
      </c>
      <c r="H13" s="215"/>
      <c r="I13" s="6" t="str">
        <f>IF(SUMIF('CIP Details'!$A$9:$A$365,'Bond Details'!$A13&amp;'Bond Details'!$B13&amp;'Bond Details'!$C13&amp;$D13,'CIP Details'!O$9:O$365)&gt;0,SUMIF('CIP Details'!$A$9:$A$365,'Bond Details'!$A13&amp;'Bond Details'!$B13&amp;'Bond Details'!$C13&amp;$D13,'CIP Details'!O$9:O$365),"")</f>
        <v/>
      </c>
      <c r="J13" s="6" t="str">
        <f>IF(SUMIF('CIP Details'!$A$9:$A$365,'Bond Details'!$A13&amp;'Bond Details'!$B13&amp;'Bond Details'!$C13&amp;$D13,'CIP Details'!P$9:P$365)&gt;0,SUMIF('CIP Details'!$A$9:$A$365,'Bond Details'!$A13&amp;'Bond Details'!$B13&amp;'Bond Details'!$C13&amp;$D13,'CIP Details'!P$9:P$365),"")</f>
        <v/>
      </c>
      <c r="K13" s="6" t="str">
        <f>IF(SUMIF('CIP Details'!$A$9:$A$365,'Bond Details'!$A13&amp;'Bond Details'!$B13&amp;'Bond Details'!$C13&amp;$D13,'CIP Details'!Q$9:Q$365)&gt;0,SUMIF('CIP Details'!$A$9:$A$365,'Bond Details'!$A13&amp;'Bond Details'!$B13&amp;'Bond Details'!$C13&amp;$D13,'CIP Details'!Q$9:Q$365),"")</f>
        <v/>
      </c>
      <c r="L13" s="6" t="str">
        <f>IF(SUMIF('CIP Details'!$A$9:$A$365,'Bond Details'!$A13&amp;'Bond Details'!$B13&amp;'Bond Details'!$C13&amp;$D13,'CIP Details'!R$9:R$365)&gt;0,SUMIF('CIP Details'!$A$9:$A$365,'Bond Details'!$A13&amp;'Bond Details'!$B13&amp;'Bond Details'!$C13&amp;$D13,'CIP Details'!R$9:R$365),"")</f>
        <v/>
      </c>
      <c r="M13" s="6" t="str">
        <f>IF(SUMIF('CIP Details'!$A$9:$A$365,'Bond Details'!$A13&amp;'Bond Details'!$B13&amp;'Bond Details'!$C13&amp;$D13,'CIP Details'!S$9:S$365)&gt;0,SUMIF('CIP Details'!$A$9:$A$365,'Bond Details'!$A13&amp;'Bond Details'!$B13&amp;'Bond Details'!$C13&amp;$D13,'CIP Details'!S$9:S$365),"")</f>
        <v/>
      </c>
      <c r="N13" s="6" t="str">
        <f>IF(SUMIF('CIP Details'!$A$9:$A$365,'Bond Details'!$A13&amp;'Bond Details'!$B13&amp;'Bond Details'!$C13&amp;$D13,'CIP Details'!T$9:T$365)&gt;0,SUMIF('CIP Details'!$A$9:$A$365,'Bond Details'!$A13&amp;'Bond Details'!$B13&amp;'Bond Details'!$C13&amp;$D13,'CIP Details'!T$9:T$365),"")</f>
        <v/>
      </c>
      <c r="O13" s="6" t="str">
        <f>IF(SUMIF('CIP Details'!$A$9:$A$365,'Bond Details'!$A13&amp;'Bond Details'!$B13&amp;'Bond Details'!$C13&amp;$D13,'CIP Details'!U$9:U$365)&gt;0,SUMIF('CIP Details'!$A$9:$A$365,'Bond Details'!$A13&amp;'Bond Details'!$B13&amp;'Bond Details'!$C13&amp;$D13,'CIP Details'!U$9:U$365),"")</f>
        <v/>
      </c>
      <c r="P13" s="6" t="str">
        <f>IF(SUMIF('CIP Details'!$A$9:$A$365,'Bond Details'!$A13&amp;'Bond Details'!$B13&amp;'Bond Details'!$C13&amp;$D13,'CIP Details'!V$9:V$365)&gt;0,SUMIF('CIP Details'!$A$9:$A$365,'Bond Details'!$A13&amp;'Bond Details'!$B13&amp;'Bond Details'!$C13&amp;$D13,'CIP Details'!V$9:V$365),"")</f>
        <v/>
      </c>
      <c r="Q13" s="6" t="str">
        <f>IF(SUMIF('CIP Details'!$A$9:$A$365,'Bond Details'!$A13&amp;'Bond Details'!$B13&amp;'Bond Details'!$C13&amp;$D13,'CIP Details'!W$9:W$365)&gt;0,SUMIF('CIP Details'!$A$9:$A$365,'Bond Details'!$A13&amp;'Bond Details'!$B13&amp;'Bond Details'!$C13&amp;$D13,'CIP Details'!W$9:W$365),"")</f>
        <v/>
      </c>
      <c r="R13" s="6" t="str">
        <f>IF(SUMIF('CIP Details'!$A$9:$A$365,'Bond Details'!$A13&amp;'Bond Details'!$B13&amp;'Bond Details'!$C13&amp;$D13,'CIP Details'!X$9:X$365)&gt;0,SUMIF('CIP Details'!$A$9:$A$365,'Bond Details'!$A13&amp;'Bond Details'!$B13&amp;'Bond Details'!$C13&amp;$D13,'CIP Details'!X$9:X$365),"")</f>
        <v/>
      </c>
      <c r="S13" s="6" t="str">
        <f>IF(SUMIF('CIP Details'!$A$9:$A$365,'Bond Details'!$A13&amp;'Bond Details'!$B13&amp;'Bond Details'!$C13&amp;$D13,'CIP Details'!Y$9:Y$365)&gt;0,SUMIF('CIP Details'!$A$9:$A$365,'Bond Details'!$A13&amp;'Bond Details'!$B13&amp;'Bond Details'!$C13&amp;$D13,'CIP Details'!Y$9:Y$365),"")</f>
        <v/>
      </c>
    </row>
    <row r="14" spans="1:19" ht="18.75" x14ac:dyDescent="0.25">
      <c r="A14" s="235" t="s">
        <v>365</v>
      </c>
      <c r="B14" t="s">
        <v>250</v>
      </c>
      <c r="C14" t="s">
        <v>630</v>
      </c>
      <c r="D14" s="1" t="s">
        <v>19</v>
      </c>
      <c r="E14" s="6" t="str">
        <f>IF(SUMIF('CIP Details'!$A$9:$A$365,'Bond Details'!$A14&amp;'Bond Details'!$B14&amp;'Bond Details'!$C14&amp;$D14,'CIP Details'!K$9:K$365)&gt;0,SUMIF('CIP Details'!$A$9:$A$365,'Bond Details'!$A14&amp;'Bond Details'!$B14&amp;'Bond Details'!$C14&amp;$D14,'CIP Details'!K$9:K$365),"")</f>
        <v/>
      </c>
      <c r="F14" s="6" t="str">
        <f>IF(SUMIF('CIP Details'!$A$9:$A$365,'Bond Details'!$A14&amp;'Bond Details'!$B14&amp;'Bond Details'!$C14&amp;$D14,'CIP Details'!L$9:L$365)&gt;0,SUMIF('CIP Details'!$A$9:$A$365,'Bond Details'!$A14&amp;'Bond Details'!$B14&amp;'Bond Details'!$C14&amp;$D14,'CIP Details'!L$9:L$365),"")</f>
        <v/>
      </c>
      <c r="G14" s="6">
        <f>IF(SUMIF('CIP Details'!$A$9:$A$365,'Bond Details'!$A14&amp;'Bond Details'!$B14&amp;'Bond Details'!$C14&amp;$D14,'CIP Details'!M$9:M$365)&gt;0,SUMIF('CIP Details'!$A$9:$A$365,'Bond Details'!$A14&amp;'Bond Details'!$B14&amp;'Bond Details'!$C14&amp;$D14,'CIP Details'!M$9:M$365),"")</f>
        <v>1000000</v>
      </c>
      <c r="H14" s="215"/>
      <c r="I14" s="6" t="str">
        <f>IF(SUMIF('CIP Details'!$A$9:$A$365,'Bond Details'!$A14&amp;'Bond Details'!$B14&amp;'Bond Details'!$C14&amp;$D14,'CIP Details'!O$9:O$365)&gt;0,SUMIF('CIP Details'!$A$9:$A$365,'Bond Details'!$A14&amp;'Bond Details'!$B14&amp;'Bond Details'!$C14&amp;$D14,'CIP Details'!O$9:O$365),"")</f>
        <v/>
      </c>
      <c r="J14" s="6" t="str">
        <f>IF(SUMIF('CIP Details'!$A$9:$A$365,'Bond Details'!$A14&amp;'Bond Details'!$B14&amp;'Bond Details'!$C14&amp;$D14,'CIP Details'!P$9:P$365)&gt;0,SUMIF('CIP Details'!$A$9:$A$365,'Bond Details'!$A14&amp;'Bond Details'!$B14&amp;'Bond Details'!$C14&amp;$D14,'CIP Details'!P$9:P$365),"")</f>
        <v/>
      </c>
      <c r="K14" s="6" t="str">
        <f>IF(SUMIF('CIP Details'!$A$9:$A$365,'Bond Details'!$A14&amp;'Bond Details'!$B14&amp;'Bond Details'!$C14&amp;$D14,'CIP Details'!Q$9:Q$365)&gt;0,SUMIF('CIP Details'!$A$9:$A$365,'Bond Details'!$A14&amp;'Bond Details'!$B14&amp;'Bond Details'!$C14&amp;$D14,'CIP Details'!Q$9:Q$365),"")</f>
        <v/>
      </c>
      <c r="L14" s="6" t="str">
        <f>IF(SUMIF('CIP Details'!$A$9:$A$365,'Bond Details'!$A14&amp;'Bond Details'!$B14&amp;'Bond Details'!$C14&amp;$D14,'CIP Details'!R$9:R$365)&gt;0,SUMIF('CIP Details'!$A$9:$A$365,'Bond Details'!$A14&amp;'Bond Details'!$B14&amp;'Bond Details'!$C14&amp;$D14,'CIP Details'!R$9:R$365),"")</f>
        <v/>
      </c>
      <c r="M14" s="6" t="str">
        <f>IF(SUMIF('CIP Details'!$A$9:$A$365,'Bond Details'!$A14&amp;'Bond Details'!$B14&amp;'Bond Details'!$C14&amp;$D14,'CIP Details'!S$9:S$365)&gt;0,SUMIF('CIP Details'!$A$9:$A$365,'Bond Details'!$A14&amp;'Bond Details'!$B14&amp;'Bond Details'!$C14&amp;$D14,'CIP Details'!S$9:S$365),"")</f>
        <v/>
      </c>
      <c r="N14" s="6" t="str">
        <f>IF(SUMIF('CIP Details'!$A$9:$A$365,'Bond Details'!$A14&amp;'Bond Details'!$B14&amp;'Bond Details'!$C14&amp;$D14,'CIP Details'!T$9:T$365)&gt;0,SUMIF('CIP Details'!$A$9:$A$365,'Bond Details'!$A14&amp;'Bond Details'!$B14&amp;'Bond Details'!$C14&amp;$D14,'CIP Details'!T$9:T$365),"")</f>
        <v/>
      </c>
      <c r="O14" s="6" t="str">
        <f>IF(SUMIF('CIP Details'!$A$9:$A$365,'Bond Details'!$A14&amp;'Bond Details'!$B14&amp;'Bond Details'!$C14&amp;$D14,'CIP Details'!U$9:U$365)&gt;0,SUMIF('CIP Details'!$A$9:$A$365,'Bond Details'!$A14&amp;'Bond Details'!$B14&amp;'Bond Details'!$C14&amp;$D14,'CIP Details'!U$9:U$365),"")</f>
        <v/>
      </c>
      <c r="P14" s="6" t="str">
        <f>IF(SUMIF('CIP Details'!$A$9:$A$365,'Bond Details'!$A14&amp;'Bond Details'!$B14&amp;'Bond Details'!$C14&amp;$D14,'CIP Details'!V$9:V$365)&gt;0,SUMIF('CIP Details'!$A$9:$A$365,'Bond Details'!$A14&amp;'Bond Details'!$B14&amp;'Bond Details'!$C14&amp;$D14,'CIP Details'!V$9:V$365),"")</f>
        <v/>
      </c>
      <c r="Q14" s="6" t="str">
        <f>IF(SUMIF('CIP Details'!$A$9:$A$365,'Bond Details'!$A14&amp;'Bond Details'!$B14&amp;'Bond Details'!$C14&amp;$D14,'CIP Details'!W$9:W$365)&gt;0,SUMIF('CIP Details'!$A$9:$A$365,'Bond Details'!$A14&amp;'Bond Details'!$B14&amp;'Bond Details'!$C14&amp;$D14,'CIP Details'!W$9:W$365),"")</f>
        <v/>
      </c>
      <c r="R14" s="6" t="str">
        <f>IF(SUMIF('CIP Details'!$A$9:$A$365,'Bond Details'!$A14&amp;'Bond Details'!$B14&amp;'Bond Details'!$C14&amp;$D14,'CIP Details'!X$9:X$365)&gt;0,SUMIF('CIP Details'!$A$9:$A$365,'Bond Details'!$A14&amp;'Bond Details'!$B14&amp;'Bond Details'!$C14&amp;$D14,'CIP Details'!X$9:X$365),"")</f>
        <v/>
      </c>
      <c r="S14" s="6" t="str">
        <f>IF(SUMIF('CIP Details'!$A$9:$A$365,'Bond Details'!$A14&amp;'Bond Details'!$B14&amp;'Bond Details'!$C14&amp;$D14,'CIP Details'!Y$9:Y$365)&gt;0,SUMIF('CIP Details'!$A$9:$A$365,'Bond Details'!$A14&amp;'Bond Details'!$B14&amp;'Bond Details'!$C14&amp;$D14,'CIP Details'!Y$9:Y$365),"")</f>
        <v/>
      </c>
    </row>
    <row r="15" spans="1:19" ht="18.75" x14ac:dyDescent="0.25">
      <c r="A15" s="235" t="s">
        <v>365</v>
      </c>
      <c r="B15" t="s">
        <v>250</v>
      </c>
      <c r="C15" t="s">
        <v>631</v>
      </c>
      <c r="D15" s="1" t="s">
        <v>19</v>
      </c>
      <c r="E15" s="6" t="str">
        <f>IF(SUMIF('CIP Details'!$A$9:$A$365,'Bond Details'!$A15&amp;'Bond Details'!$B15&amp;'Bond Details'!$C15&amp;$D15,'CIP Details'!K$9:K$365)&gt;0,SUMIF('CIP Details'!$A$9:$A$365,'Bond Details'!$A15&amp;'Bond Details'!$B15&amp;'Bond Details'!$C15&amp;$D15,'CIP Details'!K$9:K$365),"")</f>
        <v/>
      </c>
      <c r="F15" s="6" t="str">
        <f>IF(SUMIF('CIP Details'!$A$9:$A$365,'Bond Details'!$A15&amp;'Bond Details'!$B15&amp;'Bond Details'!$C15&amp;$D15,'CIP Details'!L$9:L$365)&gt;0,SUMIF('CIP Details'!$A$9:$A$365,'Bond Details'!$A15&amp;'Bond Details'!$B15&amp;'Bond Details'!$C15&amp;$D15,'CIP Details'!L$9:L$365),"")</f>
        <v/>
      </c>
      <c r="G15" s="6" t="str">
        <f>IF(SUMIF('CIP Details'!$A$9:$A$365,'Bond Details'!$A15&amp;'Bond Details'!$B15&amp;'Bond Details'!$C15&amp;$D15,'CIP Details'!M$9:M$365)&gt;0,SUMIF('CIP Details'!$A$9:$A$365,'Bond Details'!$A15&amp;'Bond Details'!$B15&amp;'Bond Details'!$C15&amp;$D15,'CIP Details'!M$9:M$365),"")</f>
        <v/>
      </c>
      <c r="H15" s="215"/>
      <c r="I15" s="6" t="str">
        <f>IF(SUMIF('CIP Details'!$A$9:$A$365,'Bond Details'!$A15&amp;'Bond Details'!$B15&amp;'Bond Details'!$C15&amp;$D15,'CIP Details'!O$9:O$365)&gt;0,SUMIF('CIP Details'!$A$9:$A$365,'Bond Details'!$A15&amp;'Bond Details'!$B15&amp;'Bond Details'!$C15&amp;$D15,'CIP Details'!O$9:O$365),"")</f>
        <v/>
      </c>
      <c r="J15" s="6">
        <f>IF(SUMIF('CIP Details'!$A$9:$A$365,'Bond Details'!$A15&amp;'Bond Details'!$B15&amp;'Bond Details'!$C15&amp;$D15,'CIP Details'!P$9:P$365)&gt;0,SUMIF('CIP Details'!$A$9:$A$365,'Bond Details'!$A15&amp;'Bond Details'!$B15&amp;'Bond Details'!$C15&amp;$D15,'CIP Details'!P$9:P$365),"")</f>
        <v>500000</v>
      </c>
      <c r="K15" s="6">
        <f>IF(SUMIF('CIP Details'!$A$9:$A$365,'Bond Details'!$A15&amp;'Bond Details'!$B15&amp;'Bond Details'!$C15&amp;$D15,'CIP Details'!Q$9:Q$365)&gt;0,SUMIF('CIP Details'!$A$9:$A$365,'Bond Details'!$A15&amp;'Bond Details'!$B15&amp;'Bond Details'!$C15&amp;$D15,'CIP Details'!Q$9:Q$365),"")</f>
        <v>900000</v>
      </c>
      <c r="L15" s="6" t="str">
        <f>IF(SUMIF('CIP Details'!$A$9:$A$365,'Bond Details'!$A15&amp;'Bond Details'!$B15&amp;'Bond Details'!$C15&amp;$D15,'CIP Details'!R$9:R$365)&gt;0,SUMIF('CIP Details'!$A$9:$A$365,'Bond Details'!$A15&amp;'Bond Details'!$B15&amp;'Bond Details'!$C15&amp;$D15,'CIP Details'!R$9:R$365),"")</f>
        <v/>
      </c>
      <c r="M15" s="6" t="str">
        <f>IF(SUMIF('CIP Details'!$A$9:$A$365,'Bond Details'!$A15&amp;'Bond Details'!$B15&amp;'Bond Details'!$C15&amp;$D15,'CIP Details'!S$9:S$365)&gt;0,SUMIF('CIP Details'!$A$9:$A$365,'Bond Details'!$A15&amp;'Bond Details'!$B15&amp;'Bond Details'!$C15&amp;$D15,'CIP Details'!S$9:S$365),"")</f>
        <v/>
      </c>
      <c r="N15" s="6" t="str">
        <f>IF(SUMIF('CIP Details'!$A$9:$A$365,'Bond Details'!$A15&amp;'Bond Details'!$B15&amp;'Bond Details'!$C15&amp;$D15,'CIP Details'!T$9:T$365)&gt;0,SUMIF('CIP Details'!$A$9:$A$365,'Bond Details'!$A15&amp;'Bond Details'!$B15&amp;'Bond Details'!$C15&amp;$D15,'CIP Details'!T$9:T$365),"")</f>
        <v/>
      </c>
      <c r="O15" s="6" t="str">
        <f>IF(SUMIF('CIP Details'!$A$9:$A$365,'Bond Details'!$A15&amp;'Bond Details'!$B15&amp;'Bond Details'!$C15&amp;$D15,'CIP Details'!U$9:U$365)&gt;0,SUMIF('CIP Details'!$A$9:$A$365,'Bond Details'!$A15&amp;'Bond Details'!$B15&amp;'Bond Details'!$C15&amp;$D15,'CIP Details'!U$9:U$365),"")</f>
        <v/>
      </c>
      <c r="P15" s="6" t="str">
        <f>IF(SUMIF('CIP Details'!$A$9:$A$365,'Bond Details'!$A15&amp;'Bond Details'!$B15&amp;'Bond Details'!$C15&amp;$D15,'CIP Details'!V$9:V$365)&gt;0,SUMIF('CIP Details'!$A$9:$A$365,'Bond Details'!$A15&amp;'Bond Details'!$B15&amp;'Bond Details'!$C15&amp;$D15,'CIP Details'!V$9:V$365),"")</f>
        <v/>
      </c>
      <c r="Q15" s="6" t="str">
        <f>IF(SUMIF('CIP Details'!$A$9:$A$365,'Bond Details'!$A15&amp;'Bond Details'!$B15&amp;'Bond Details'!$C15&amp;$D15,'CIP Details'!W$9:W$365)&gt;0,SUMIF('CIP Details'!$A$9:$A$365,'Bond Details'!$A15&amp;'Bond Details'!$B15&amp;'Bond Details'!$C15&amp;$D15,'CIP Details'!W$9:W$365),"")</f>
        <v/>
      </c>
      <c r="R15" s="6" t="str">
        <f>IF(SUMIF('CIP Details'!$A$9:$A$365,'Bond Details'!$A15&amp;'Bond Details'!$B15&amp;'Bond Details'!$C15&amp;$D15,'CIP Details'!X$9:X$365)&gt;0,SUMIF('CIP Details'!$A$9:$A$365,'Bond Details'!$A15&amp;'Bond Details'!$B15&amp;'Bond Details'!$C15&amp;$D15,'CIP Details'!X$9:X$365),"")</f>
        <v/>
      </c>
      <c r="S15" s="6" t="str">
        <f>IF(SUMIF('CIP Details'!$A$9:$A$365,'Bond Details'!$A15&amp;'Bond Details'!$B15&amp;'Bond Details'!$C15&amp;$D15,'CIP Details'!Y$9:Y$365)&gt;0,SUMIF('CIP Details'!$A$9:$A$365,'Bond Details'!$A15&amp;'Bond Details'!$B15&amp;'Bond Details'!$C15&amp;$D15,'CIP Details'!Y$9:Y$365),"")</f>
        <v/>
      </c>
    </row>
    <row r="16" spans="1:19" ht="30" x14ac:dyDescent="0.25">
      <c r="A16" s="235" t="s">
        <v>365</v>
      </c>
      <c r="B16" t="s">
        <v>250</v>
      </c>
      <c r="C16" s="389" t="s">
        <v>839</v>
      </c>
      <c r="D16" s="11" t="s">
        <v>19</v>
      </c>
      <c r="E16" s="6" t="str">
        <f>IF(SUMIF('CIP Details'!$A$9:$A$365,'Bond Details'!$A16&amp;'Bond Details'!$B16&amp;'Bond Details'!$C16&amp;$D16,'CIP Details'!K$9:K$365)&gt;0,SUMIF('CIP Details'!$A$9:$A$365,'Bond Details'!$A16&amp;'Bond Details'!$B16&amp;'Bond Details'!$C16&amp;$D16,'CIP Details'!K$9:K$365),"")</f>
        <v/>
      </c>
      <c r="F16" s="6" t="str">
        <f>IF(SUMIF('CIP Details'!$A$9:$A$365,'Bond Details'!$A16&amp;'Bond Details'!$B16&amp;'Bond Details'!$C16&amp;$D16,'CIP Details'!L$9:L$365)&gt;0,SUMIF('CIP Details'!$A$9:$A$365,'Bond Details'!$A16&amp;'Bond Details'!$B16&amp;'Bond Details'!$C16&amp;$D16,'CIP Details'!L$9:L$365),"")</f>
        <v/>
      </c>
      <c r="G16" s="6" t="str">
        <f>IF(SUMIF('CIP Details'!$A$9:$A$365,'Bond Details'!$A16&amp;'Bond Details'!$B16&amp;'Bond Details'!$C16&amp;$D16,'CIP Details'!M$9:M$365)&gt;0,SUMIF('CIP Details'!$A$9:$A$365,'Bond Details'!$A16&amp;'Bond Details'!$B16&amp;'Bond Details'!$C16&amp;$D16,'CIP Details'!M$9:M$365),"")</f>
        <v/>
      </c>
      <c r="H16" s="215"/>
      <c r="I16" s="6">
        <f>IF(SUMIF('CIP Details'!$A$9:$A$365,'Bond Details'!$A16&amp;'Bond Details'!$B16&amp;'Bond Details'!$C16&amp;$D16,'CIP Details'!O$9:O$365)&gt;0,SUMIF('CIP Details'!$A$9:$A$365,'Bond Details'!$A16&amp;'Bond Details'!$B16&amp;'Bond Details'!$C16&amp;$D16,'CIP Details'!O$9:O$365),"")</f>
        <v>1900000</v>
      </c>
      <c r="J16" s="6" t="str">
        <f>IF(SUMIF('CIP Details'!$A$9:$A$365,'Bond Details'!$A16&amp;'Bond Details'!$B16&amp;'Bond Details'!$C16&amp;$D16,'CIP Details'!P$9:P$365)&gt;0,SUMIF('CIP Details'!$A$9:$A$365,'Bond Details'!$A16&amp;'Bond Details'!$B16&amp;'Bond Details'!$C16&amp;$D16,'CIP Details'!P$9:P$365),"")</f>
        <v/>
      </c>
      <c r="K16" s="6" t="str">
        <f>IF(SUMIF('CIP Details'!$A$9:$A$365,'Bond Details'!$A16&amp;'Bond Details'!$B16&amp;'Bond Details'!$C16&amp;$D16,'CIP Details'!Q$9:Q$365)&gt;0,SUMIF('CIP Details'!$A$9:$A$365,'Bond Details'!$A16&amp;'Bond Details'!$B16&amp;'Bond Details'!$C16&amp;$D16,'CIP Details'!Q$9:Q$365),"")</f>
        <v/>
      </c>
      <c r="L16" s="6" t="str">
        <f>IF(SUMIF('CIP Details'!$A$9:$A$365,'Bond Details'!$A16&amp;'Bond Details'!$B16&amp;'Bond Details'!$C16&amp;$D16,'CIP Details'!R$9:R$365)&gt;0,SUMIF('CIP Details'!$A$9:$A$365,'Bond Details'!$A16&amp;'Bond Details'!$B16&amp;'Bond Details'!$C16&amp;$D16,'CIP Details'!R$9:R$365),"")</f>
        <v/>
      </c>
      <c r="M16" s="6" t="str">
        <f>IF(SUMIF('CIP Details'!$A$9:$A$365,'Bond Details'!$A16&amp;'Bond Details'!$B16&amp;'Bond Details'!$C16&amp;$D16,'CIP Details'!S$9:S$365)&gt;0,SUMIF('CIP Details'!$A$9:$A$365,'Bond Details'!$A16&amp;'Bond Details'!$B16&amp;'Bond Details'!$C16&amp;$D16,'CIP Details'!S$9:S$365),"")</f>
        <v/>
      </c>
      <c r="N16" s="6" t="str">
        <f>IF(SUMIF('CIP Details'!$A$9:$A$365,'Bond Details'!$A16&amp;'Bond Details'!$B16&amp;'Bond Details'!$C16&amp;$D16,'CIP Details'!T$9:T$365)&gt;0,SUMIF('CIP Details'!$A$9:$A$365,'Bond Details'!$A16&amp;'Bond Details'!$B16&amp;'Bond Details'!$C16&amp;$D16,'CIP Details'!T$9:T$365),"")</f>
        <v/>
      </c>
      <c r="O16" s="6" t="str">
        <f>IF(SUMIF('CIP Details'!$A$9:$A$365,'Bond Details'!$A16&amp;'Bond Details'!$B16&amp;'Bond Details'!$C16&amp;$D16,'CIP Details'!U$9:U$365)&gt;0,SUMIF('CIP Details'!$A$9:$A$365,'Bond Details'!$A16&amp;'Bond Details'!$B16&amp;'Bond Details'!$C16&amp;$D16,'CIP Details'!U$9:U$365),"")</f>
        <v/>
      </c>
      <c r="P16" s="6" t="str">
        <f>IF(SUMIF('CIP Details'!$A$9:$A$365,'Bond Details'!$A16&amp;'Bond Details'!$B16&amp;'Bond Details'!$C16&amp;$D16,'CIP Details'!V$9:V$365)&gt;0,SUMIF('CIP Details'!$A$9:$A$365,'Bond Details'!$A16&amp;'Bond Details'!$B16&amp;'Bond Details'!$C16&amp;$D16,'CIP Details'!V$9:V$365),"")</f>
        <v/>
      </c>
      <c r="Q16" s="6" t="str">
        <f>IF(SUMIF('CIP Details'!$A$9:$A$365,'Bond Details'!$A16&amp;'Bond Details'!$B16&amp;'Bond Details'!$C16&amp;$D16,'CIP Details'!W$9:W$365)&gt;0,SUMIF('CIP Details'!$A$9:$A$365,'Bond Details'!$A16&amp;'Bond Details'!$B16&amp;'Bond Details'!$C16&amp;$D16,'CIP Details'!W$9:W$365),"")</f>
        <v/>
      </c>
      <c r="R16" s="6" t="str">
        <f>IF(SUMIF('CIP Details'!$A$9:$A$365,'Bond Details'!$A16&amp;'Bond Details'!$B16&amp;'Bond Details'!$C16&amp;$D16,'CIP Details'!X$9:X$365)&gt;0,SUMIF('CIP Details'!$A$9:$A$365,'Bond Details'!$A16&amp;'Bond Details'!$B16&amp;'Bond Details'!$C16&amp;$D16,'CIP Details'!X$9:X$365),"")</f>
        <v/>
      </c>
      <c r="S16" s="6" t="str">
        <f>IF(SUMIF('CIP Details'!$A$9:$A$365,'Bond Details'!$A16&amp;'Bond Details'!$B16&amp;'Bond Details'!$C16&amp;$D16,'CIP Details'!Y$9:Y$365)&gt;0,SUMIF('CIP Details'!$A$9:$A$365,'Bond Details'!$A16&amp;'Bond Details'!$B16&amp;'Bond Details'!$C16&amp;$D16,'CIP Details'!Y$9:Y$365),"")</f>
        <v/>
      </c>
    </row>
    <row r="17" spans="1:19" ht="18.75" x14ac:dyDescent="0.25">
      <c r="A17" s="235" t="s">
        <v>365</v>
      </c>
      <c r="B17" t="s">
        <v>250</v>
      </c>
      <c r="C17" s="372" t="s">
        <v>920</v>
      </c>
      <c r="D17" s="11" t="s">
        <v>19</v>
      </c>
      <c r="E17" s="6" t="str">
        <f>IF(SUMIF('CIP Details'!$A$9:$A$365,'Bond Details'!$A17&amp;'Bond Details'!$B17&amp;'Bond Details'!$C17&amp;$D17,'CIP Details'!K$9:K$365)&gt;0,SUMIF('CIP Details'!$A$9:$A$365,'Bond Details'!$A17&amp;'Bond Details'!$B17&amp;'Bond Details'!$C17&amp;$D17,'CIP Details'!K$9:K$365),"")</f>
        <v/>
      </c>
      <c r="F17" s="6" t="str">
        <f>IF(SUMIF('CIP Details'!$A$9:$A$365,'Bond Details'!$A17&amp;'Bond Details'!$B17&amp;'Bond Details'!$C17&amp;$D17,'CIP Details'!L$9:L$365)&gt;0,SUMIF('CIP Details'!$A$9:$A$365,'Bond Details'!$A17&amp;'Bond Details'!$B17&amp;'Bond Details'!$C17&amp;$D17,'CIP Details'!L$9:L$365),"")</f>
        <v/>
      </c>
      <c r="G17" s="6" t="str">
        <f>IF(SUMIF('CIP Details'!$A$9:$A$365,'Bond Details'!$A17&amp;'Bond Details'!$B17&amp;'Bond Details'!$C17&amp;$D17,'CIP Details'!M$9:M$365)&gt;0,SUMIF('CIP Details'!$A$9:$A$365,'Bond Details'!$A17&amp;'Bond Details'!$B17&amp;'Bond Details'!$C17&amp;$D17,'CIP Details'!M$9:M$365),"")</f>
        <v/>
      </c>
      <c r="H17" s="215"/>
      <c r="I17" s="6">
        <f>IF(SUMIF('CIP Details'!$A$9:$A$365,'Bond Details'!$A17&amp;'Bond Details'!$B17&amp;'Bond Details'!$C17&amp;$D17,'CIP Details'!O$9:O$365)&gt;0,SUMIF('CIP Details'!$A$9:$A$365,'Bond Details'!$A17&amp;'Bond Details'!$B17&amp;'Bond Details'!$C17&amp;$D17,'CIP Details'!O$9:O$365),"")</f>
        <v>500000</v>
      </c>
      <c r="J17" s="6" t="str">
        <f>IF(SUMIF('CIP Details'!$A$9:$A$365,'Bond Details'!$A17&amp;'Bond Details'!$B17&amp;'Bond Details'!$C17&amp;$D17,'CIP Details'!P$9:P$365)&gt;0,SUMIF('CIP Details'!$A$9:$A$365,'Bond Details'!$A17&amp;'Bond Details'!$B17&amp;'Bond Details'!$C17&amp;$D17,'CIP Details'!P$9:P$365),"")</f>
        <v/>
      </c>
      <c r="K17" s="6" t="str">
        <f>IF(SUMIF('CIP Details'!$A$9:$A$365,'Bond Details'!$A17&amp;'Bond Details'!$B17&amp;'Bond Details'!$C17&amp;$D17,'CIP Details'!Q$9:Q$365)&gt;0,SUMIF('CIP Details'!$A$9:$A$365,'Bond Details'!$A17&amp;'Bond Details'!$B17&amp;'Bond Details'!$C17&amp;$D17,'CIP Details'!Q$9:Q$365),"")</f>
        <v/>
      </c>
      <c r="L17" s="6" t="str">
        <f>IF(SUMIF('CIP Details'!$A$9:$A$365,'Bond Details'!$A17&amp;'Bond Details'!$B17&amp;'Bond Details'!$C17&amp;$D17,'CIP Details'!R$9:R$365)&gt;0,SUMIF('CIP Details'!$A$9:$A$365,'Bond Details'!$A17&amp;'Bond Details'!$B17&amp;'Bond Details'!$C17&amp;$D17,'CIP Details'!R$9:R$365),"")</f>
        <v/>
      </c>
      <c r="M17" s="6" t="str">
        <f>IF(SUMIF('CIP Details'!$A$9:$A$365,'Bond Details'!$A17&amp;'Bond Details'!$B17&amp;'Bond Details'!$C17&amp;$D17,'CIP Details'!S$9:S$365)&gt;0,SUMIF('CIP Details'!$A$9:$A$365,'Bond Details'!$A17&amp;'Bond Details'!$B17&amp;'Bond Details'!$C17&amp;$D17,'CIP Details'!S$9:S$365),"")</f>
        <v/>
      </c>
      <c r="N17" s="6" t="str">
        <f>IF(SUMIF('CIP Details'!$A$9:$A$365,'Bond Details'!$A17&amp;'Bond Details'!$B17&amp;'Bond Details'!$C17&amp;$D17,'CIP Details'!T$9:T$365)&gt;0,SUMIF('CIP Details'!$A$9:$A$365,'Bond Details'!$A17&amp;'Bond Details'!$B17&amp;'Bond Details'!$C17&amp;$D17,'CIP Details'!T$9:T$365),"")</f>
        <v/>
      </c>
      <c r="O17" s="6" t="str">
        <f>IF(SUMIF('CIP Details'!$A$9:$A$365,'Bond Details'!$A17&amp;'Bond Details'!$B17&amp;'Bond Details'!$C17&amp;$D17,'CIP Details'!U$9:U$365)&gt;0,SUMIF('CIP Details'!$A$9:$A$365,'Bond Details'!$A17&amp;'Bond Details'!$B17&amp;'Bond Details'!$C17&amp;$D17,'CIP Details'!U$9:U$365),"")</f>
        <v/>
      </c>
      <c r="P17" s="6" t="str">
        <f>IF(SUMIF('CIP Details'!$A$9:$A$365,'Bond Details'!$A17&amp;'Bond Details'!$B17&amp;'Bond Details'!$C17&amp;$D17,'CIP Details'!V$9:V$365)&gt;0,SUMIF('CIP Details'!$A$9:$A$365,'Bond Details'!$A17&amp;'Bond Details'!$B17&amp;'Bond Details'!$C17&amp;$D17,'CIP Details'!V$9:V$365),"")</f>
        <v/>
      </c>
      <c r="Q17" s="6" t="str">
        <f>IF(SUMIF('CIP Details'!$A$9:$A$365,'Bond Details'!$A17&amp;'Bond Details'!$B17&amp;'Bond Details'!$C17&amp;$D17,'CIP Details'!W$9:W$365)&gt;0,SUMIF('CIP Details'!$A$9:$A$365,'Bond Details'!$A17&amp;'Bond Details'!$B17&amp;'Bond Details'!$C17&amp;$D17,'CIP Details'!W$9:W$365),"")</f>
        <v/>
      </c>
      <c r="R17" s="6" t="str">
        <f>IF(SUMIF('CIP Details'!$A$9:$A$365,'Bond Details'!$A17&amp;'Bond Details'!$B17&amp;'Bond Details'!$C17&amp;$D17,'CIP Details'!X$9:X$365)&gt;0,SUMIF('CIP Details'!$A$9:$A$365,'Bond Details'!$A17&amp;'Bond Details'!$B17&amp;'Bond Details'!$C17&amp;$D17,'CIP Details'!X$9:X$365),"")</f>
        <v/>
      </c>
      <c r="S17" s="6" t="str">
        <f>IF(SUMIF('CIP Details'!$A$9:$A$365,'Bond Details'!$A17&amp;'Bond Details'!$B17&amp;'Bond Details'!$C17&amp;$D17,'CIP Details'!Y$9:Y$365)&gt;0,SUMIF('CIP Details'!$A$9:$A$365,'Bond Details'!$A17&amp;'Bond Details'!$B17&amp;'Bond Details'!$C17&amp;$D17,'CIP Details'!Y$9:Y$365),"")</f>
        <v/>
      </c>
    </row>
    <row r="18" spans="1:19" ht="18.75" x14ac:dyDescent="0.25">
      <c r="A18" s="235" t="s">
        <v>365</v>
      </c>
      <c r="B18" t="s">
        <v>461</v>
      </c>
      <c r="C18" t="s">
        <v>609</v>
      </c>
      <c r="D18" s="1" t="s">
        <v>13</v>
      </c>
      <c r="E18" s="6" t="str">
        <f>IF(SUMIF('CIP Details'!$A$9:$A$365,'Bond Details'!$A18&amp;'Bond Details'!$B18&amp;'Bond Details'!$C18&amp;$D18,'CIP Details'!K$9:K$365)&gt;0,SUMIF('CIP Details'!$A$9:$A$365,'Bond Details'!$A18&amp;'Bond Details'!$B18&amp;'Bond Details'!$C18&amp;$D18,'CIP Details'!K$9:K$365),"")</f>
        <v/>
      </c>
      <c r="F18" s="6">
        <f>IF(SUMIF('CIP Details'!$A$9:$A$365,'Bond Details'!$A18&amp;'Bond Details'!$B18&amp;'Bond Details'!$C18&amp;$D18,'CIP Details'!L$9:L$365)&gt;0,SUMIF('CIP Details'!$A$9:$A$365,'Bond Details'!$A18&amp;'Bond Details'!$B18&amp;'Bond Details'!$C18&amp;$D18,'CIP Details'!L$9:L$365),"")</f>
        <v>310000</v>
      </c>
      <c r="G18" s="6" t="str">
        <f>IF(SUMIF('CIP Details'!$A$9:$A$365,'Bond Details'!$A18&amp;'Bond Details'!$B18&amp;'Bond Details'!$C18&amp;$D18,'CIP Details'!M$9:M$365)&gt;0,SUMIF('CIP Details'!$A$9:$A$365,'Bond Details'!$A18&amp;'Bond Details'!$B18&amp;'Bond Details'!$C18&amp;$D18,'CIP Details'!M$9:M$365),"")</f>
        <v/>
      </c>
      <c r="H18" s="215"/>
      <c r="I18" s="6" t="str">
        <f>IF(SUMIF('CIP Details'!$A$9:$A$365,'Bond Details'!$A18&amp;'Bond Details'!$B18&amp;'Bond Details'!$C18&amp;$D18,'CIP Details'!O$9:O$365)&gt;0,SUMIF('CIP Details'!$A$9:$A$365,'Bond Details'!$A18&amp;'Bond Details'!$B18&amp;'Bond Details'!$C18&amp;$D18,'CIP Details'!O$9:O$365),"")</f>
        <v/>
      </c>
      <c r="J18" s="6" t="str">
        <f>IF(SUMIF('CIP Details'!$A$9:$A$365,'Bond Details'!$A18&amp;'Bond Details'!$B18&amp;'Bond Details'!$C18&amp;$D18,'CIP Details'!P$9:P$365)&gt;0,SUMIF('CIP Details'!$A$9:$A$365,'Bond Details'!$A18&amp;'Bond Details'!$B18&amp;'Bond Details'!$C18&amp;$D18,'CIP Details'!P$9:P$365),"")</f>
        <v/>
      </c>
      <c r="K18" s="6" t="str">
        <f>IF(SUMIF('CIP Details'!$A$9:$A$365,'Bond Details'!$A18&amp;'Bond Details'!$B18&amp;'Bond Details'!$C18&amp;$D18,'CIP Details'!Q$9:Q$365)&gt;0,SUMIF('CIP Details'!$A$9:$A$365,'Bond Details'!$A18&amp;'Bond Details'!$B18&amp;'Bond Details'!$C18&amp;$D18,'CIP Details'!Q$9:Q$365),"")</f>
        <v/>
      </c>
      <c r="L18" s="6" t="str">
        <f>IF(SUMIF('CIP Details'!$A$9:$A$365,'Bond Details'!$A18&amp;'Bond Details'!$B18&amp;'Bond Details'!$C18&amp;$D18,'CIP Details'!R$9:R$365)&gt;0,SUMIF('CIP Details'!$A$9:$A$365,'Bond Details'!$A18&amp;'Bond Details'!$B18&amp;'Bond Details'!$C18&amp;$D18,'CIP Details'!R$9:R$365),"")</f>
        <v/>
      </c>
      <c r="M18" s="6" t="str">
        <f>IF(SUMIF('CIP Details'!$A$9:$A$365,'Bond Details'!$A18&amp;'Bond Details'!$B18&amp;'Bond Details'!$C18&amp;$D18,'CIP Details'!S$9:S$365)&gt;0,SUMIF('CIP Details'!$A$9:$A$365,'Bond Details'!$A18&amp;'Bond Details'!$B18&amp;'Bond Details'!$C18&amp;$D18,'CIP Details'!S$9:S$365),"")</f>
        <v/>
      </c>
      <c r="N18" s="6" t="str">
        <f>IF(SUMIF('CIP Details'!$A$9:$A$365,'Bond Details'!$A18&amp;'Bond Details'!$B18&amp;'Bond Details'!$C18&amp;$D18,'CIP Details'!T$9:T$365)&gt;0,SUMIF('CIP Details'!$A$9:$A$365,'Bond Details'!$A18&amp;'Bond Details'!$B18&amp;'Bond Details'!$C18&amp;$D18,'CIP Details'!T$9:T$365),"")</f>
        <v/>
      </c>
      <c r="O18" s="6" t="str">
        <f>IF(SUMIF('CIP Details'!$A$9:$A$365,'Bond Details'!$A18&amp;'Bond Details'!$B18&amp;'Bond Details'!$C18&amp;$D18,'CIP Details'!U$9:U$365)&gt;0,SUMIF('CIP Details'!$A$9:$A$365,'Bond Details'!$A18&amp;'Bond Details'!$B18&amp;'Bond Details'!$C18&amp;$D18,'CIP Details'!U$9:U$365),"")</f>
        <v/>
      </c>
      <c r="P18" s="6" t="str">
        <f>IF(SUMIF('CIP Details'!$A$9:$A$365,'Bond Details'!$A18&amp;'Bond Details'!$B18&amp;'Bond Details'!$C18&amp;$D18,'CIP Details'!V$9:V$365)&gt;0,SUMIF('CIP Details'!$A$9:$A$365,'Bond Details'!$A18&amp;'Bond Details'!$B18&amp;'Bond Details'!$C18&amp;$D18,'CIP Details'!V$9:V$365),"")</f>
        <v/>
      </c>
      <c r="Q18" s="6" t="str">
        <f>IF(SUMIF('CIP Details'!$A$9:$A$365,'Bond Details'!$A18&amp;'Bond Details'!$B18&amp;'Bond Details'!$C18&amp;$D18,'CIP Details'!W$9:W$365)&gt;0,SUMIF('CIP Details'!$A$9:$A$365,'Bond Details'!$A18&amp;'Bond Details'!$B18&amp;'Bond Details'!$C18&amp;$D18,'CIP Details'!W$9:W$365),"")</f>
        <v/>
      </c>
      <c r="R18" s="6" t="str">
        <f>IF(SUMIF('CIP Details'!$A$9:$A$365,'Bond Details'!$A18&amp;'Bond Details'!$B18&amp;'Bond Details'!$C18&amp;$D18,'CIP Details'!X$9:X$365)&gt;0,SUMIF('CIP Details'!$A$9:$A$365,'Bond Details'!$A18&amp;'Bond Details'!$B18&amp;'Bond Details'!$C18&amp;$D18,'CIP Details'!X$9:X$365),"")</f>
        <v/>
      </c>
      <c r="S18" s="6" t="str">
        <f>IF(SUMIF('CIP Details'!$A$9:$A$365,'Bond Details'!$A18&amp;'Bond Details'!$B18&amp;'Bond Details'!$C18&amp;$D18,'CIP Details'!Y$9:Y$365)&gt;0,SUMIF('CIP Details'!$A$9:$A$365,'Bond Details'!$A18&amp;'Bond Details'!$B18&amp;'Bond Details'!$C18&amp;$D18,'CIP Details'!Y$9:Y$365),"")</f>
        <v/>
      </c>
    </row>
    <row r="19" spans="1:19" ht="18.75" x14ac:dyDescent="0.25">
      <c r="A19" s="235" t="s">
        <v>365</v>
      </c>
      <c r="B19" t="s">
        <v>47</v>
      </c>
      <c r="C19" s="24" t="s">
        <v>495</v>
      </c>
      <c r="D19" s="1" t="s">
        <v>19</v>
      </c>
      <c r="E19" s="6" t="str">
        <f>IF(SUMIF('CIP Details'!$A$9:$A$365,'Bond Details'!$A19&amp;'Bond Details'!$B19&amp;'Bond Details'!$C19&amp;$D19,'CIP Details'!K$9:K$365)&gt;0,SUMIF('CIP Details'!$A$9:$A$365,'Bond Details'!$A19&amp;'Bond Details'!$B19&amp;'Bond Details'!$C19&amp;$D19,'CIP Details'!K$9:K$365),"")</f>
        <v/>
      </c>
      <c r="F19" s="6" t="str">
        <f>IF(SUMIF('CIP Details'!$A$9:$A$365,'Bond Details'!$A19&amp;'Bond Details'!$B19&amp;'Bond Details'!$C19&amp;$D19,'CIP Details'!L$9:L$365)&gt;0,SUMIF('CIP Details'!$A$9:$A$365,'Bond Details'!$A19&amp;'Bond Details'!$B19&amp;'Bond Details'!$C19&amp;$D19,'CIP Details'!L$9:L$365),"")</f>
        <v/>
      </c>
      <c r="G19" s="6" t="str">
        <f>IF(SUMIF('CIP Details'!$A$9:$A$365,'Bond Details'!$A19&amp;'Bond Details'!$B19&amp;'Bond Details'!$C19&amp;$D19,'CIP Details'!M$9:M$365)&gt;0,SUMIF('CIP Details'!$A$9:$A$365,'Bond Details'!$A19&amp;'Bond Details'!$B19&amp;'Bond Details'!$C19&amp;$D19,'CIP Details'!M$9:M$365),"")</f>
        <v/>
      </c>
      <c r="H19" s="215"/>
      <c r="I19" s="6" t="str">
        <f>IF(SUMIF('CIP Details'!$A$9:$A$365,'Bond Details'!$A19&amp;'Bond Details'!$B19&amp;'Bond Details'!$C19&amp;$D19,'CIP Details'!O$9:O$365)&gt;0,SUMIF('CIP Details'!$A$9:$A$365,'Bond Details'!$A19&amp;'Bond Details'!$B19&amp;'Bond Details'!$C19&amp;$D19,'CIP Details'!O$9:O$365),"")</f>
        <v/>
      </c>
      <c r="J19" s="6" t="str">
        <f>IF(SUMIF('CIP Details'!$A$9:$A$365,'Bond Details'!$A19&amp;'Bond Details'!$B19&amp;'Bond Details'!$C19&amp;$D19,'CIP Details'!P$9:P$365)&gt;0,SUMIF('CIP Details'!$A$9:$A$365,'Bond Details'!$A19&amp;'Bond Details'!$B19&amp;'Bond Details'!$C19&amp;$D19,'CIP Details'!P$9:P$365),"")</f>
        <v/>
      </c>
      <c r="K19" s="6" t="str">
        <f>IF(SUMIF('CIP Details'!$A$9:$A$365,'Bond Details'!$A19&amp;'Bond Details'!$B19&amp;'Bond Details'!$C19&amp;$D19,'CIP Details'!Q$9:Q$365)&gt;0,SUMIF('CIP Details'!$A$9:$A$365,'Bond Details'!$A19&amp;'Bond Details'!$B19&amp;'Bond Details'!$C19&amp;$D19,'CIP Details'!Q$9:Q$365),"")</f>
        <v/>
      </c>
      <c r="L19" s="6" t="str">
        <f>IF(SUMIF('CIP Details'!$A$9:$A$365,'Bond Details'!$A19&amp;'Bond Details'!$B19&amp;'Bond Details'!$C19&amp;$D19,'CIP Details'!R$9:R$365)&gt;0,SUMIF('CIP Details'!$A$9:$A$365,'Bond Details'!$A19&amp;'Bond Details'!$B19&amp;'Bond Details'!$C19&amp;$D19,'CIP Details'!R$9:R$365),"")</f>
        <v/>
      </c>
      <c r="M19" s="6" t="str">
        <f>IF(SUMIF('CIP Details'!$A$9:$A$365,'Bond Details'!$A19&amp;'Bond Details'!$B19&amp;'Bond Details'!$C19&amp;$D19,'CIP Details'!S$9:S$365)&gt;0,SUMIF('CIP Details'!$A$9:$A$365,'Bond Details'!$A19&amp;'Bond Details'!$B19&amp;'Bond Details'!$C19&amp;$D19,'CIP Details'!S$9:S$365),"")</f>
        <v/>
      </c>
      <c r="N19" s="6">
        <f>IF(SUMIF('CIP Details'!$A$9:$A$365,'Bond Details'!$A19&amp;'Bond Details'!$B19&amp;'Bond Details'!$C19&amp;$D19,'CIP Details'!T$9:T$365)&gt;0,SUMIF('CIP Details'!$A$9:$A$365,'Bond Details'!$A19&amp;'Bond Details'!$B19&amp;'Bond Details'!$C19&amp;$D19,'CIP Details'!T$9:T$365),"")</f>
        <v>2100000</v>
      </c>
      <c r="O19" s="6">
        <f>IF(SUMIF('CIP Details'!$A$9:$A$365,'Bond Details'!$A19&amp;'Bond Details'!$B19&amp;'Bond Details'!$C19&amp;$D19,'CIP Details'!U$9:U$365)&gt;0,SUMIF('CIP Details'!$A$9:$A$365,'Bond Details'!$A19&amp;'Bond Details'!$B19&amp;'Bond Details'!$C19&amp;$D19,'CIP Details'!U$9:U$365),"")</f>
        <v>2100000</v>
      </c>
      <c r="P19" s="6" t="str">
        <f>IF(SUMIF('CIP Details'!$A$9:$A$365,'Bond Details'!$A19&amp;'Bond Details'!$B19&amp;'Bond Details'!$C19&amp;$D19,'CIP Details'!V$9:V$365)&gt;0,SUMIF('CIP Details'!$A$9:$A$365,'Bond Details'!$A19&amp;'Bond Details'!$B19&amp;'Bond Details'!$C19&amp;$D19,'CIP Details'!V$9:V$365),"")</f>
        <v/>
      </c>
      <c r="Q19" s="6" t="str">
        <f>IF(SUMIF('CIP Details'!$A$9:$A$365,'Bond Details'!$A19&amp;'Bond Details'!$B19&amp;'Bond Details'!$C19&amp;$D19,'CIP Details'!W$9:W$365)&gt;0,SUMIF('CIP Details'!$A$9:$A$365,'Bond Details'!$A19&amp;'Bond Details'!$B19&amp;'Bond Details'!$C19&amp;$D19,'CIP Details'!W$9:W$365),"")</f>
        <v/>
      </c>
      <c r="R19" s="6" t="str">
        <f>IF(SUMIF('CIP Details'!$A$9:$A$365,'Bond Details'!$A19&amp;'Bond Details'!$B19&amp;'Bond Details'!$C19&amp;$D19,'CIP Details'!X$9:X$365)&gt;0,SUMIF('CIP Details'!$A$9:$A$365,'Bond Details'!$A19&amp;'Bond Details'!$B19&amp;'Bond Details'!$C19&amp;$D19,'CIP Details'!X$9:X$365),"")</f>
        <v/>
      </c>
      <c r="S19" s="6" t="str">
        <f>IF(SUMIF('CIP Details'!$A$9:$A$365,'Bond Details'!$A19&amp;'Bond Details'!$B19&amp;'Bond Details'!$C19&amp;$D19,'CIP Details'!Y$9:Y$365)&gt;0,SUMIF('CIP Details'!$A$9:$A$365,'Bond Details'!$A19&amp;'Bond Details'!$B19&amp;'Bond Details'!$C19&amp;$D19,'CIP Details'!Y$9:Y$365),"")</f>
        <v/>
      </c>
    </row>
    <row r="20" spans="1:19" ht="18.75" x14ac:dyDescent="0.25">
      <c r="A20" s="235" t="s">
        <v>365</v>
      </c>
      <c r="B20" t="s">
        <v>47</v>
      </c>
      <c r="C20" t="s">
        <v>450</v>
      </c>
      <c r="D20" s="1" t="s">
        <v>19</v>
      </c>
      <c r="E20" s="6" t="str">
        <f>IF(SUMIF('CIP Details'!$A$9:$A$365,'Bond Details'!$A20&amp;'Bond Details'!$B20&amp;'Bond Details'!$C20&amp;$D20,'CIP Details'!K$9:K$365)&gt;0,SUMIF('CIP Details'!$A$9:$A$365,'Bond Details'!$A20&amp;'Bond Details'!$B20&amp;'Bond Details'!$C20&amp;$D20,'CIP Details'!K$9:K$365),"")</f>
        <v/>
      </c>
      <c r="F20" s="6" t="str">
        <f>IF(SUMIF('CIP Details'!$A$9:$A$365,'Bond Details'!$A20&amp;'Bond Details'!$B20&amp;'Bond Details'!$C20&amp;$D20,'CIP Details'!L$9:L$365)&gt;0,SUMIF('CIP Details'!$A$9:$A$365,'Bond Details'!$A20&amp;'Bond Details'!$B20&amp;'Bond Details'!$C20&amp;$D20,'CIP Details'!L$9:L$365),"")</f>
        <v/>
      </c>
      <c r="G20" s="6" t="str">
        <f>IF(SUMIF('CIP Details'!$A$9:$A$365,'Bond Details'!$A20&amp;'Bond Details'!$B20&amp;'Bond Details'!$C20&amp;$D20,'CIP Details'!M$9:M$365)&gt;0,SUMIF('CIP Details'!$A$9:$A$365,'Bond Details'!$A20&amp;'Bond Details'!$B20&amp;'Bond Details'!$C20&amp;$D20,'CIP Details'!M$9:M$365),"")</f>
        <v/>
      </c>
      <c r="H20" s="215"/>
      <c r="I20" s="6" t="str">
        <f>IF(SUMIF('CIP Details'!$A$9:$A$365,'Bond Details'!$A20&amp;'Bond Details'!$B20&amp;'Bond Details'!$C20&amp;$D20,'CIP Details'!O$9:O$365)&gt;0,SUMIF('CIP Details'!$A$9:$A$365,'Bond Details'!$A20&amp;'Bond Details'!$B20&amp;'Bond Details'!$C20&amp;$D20,'CIP Details'!O$9:O$365),"")</f>
        <v/>
      </c>
      <c r="J20" s="6" t="str">
        <f>IF(SUMIF('CIP Details'!$A$9:$A$365,'Bond Details'!$A20&amp;'Bond Details'!$B20&amp;'Bond Details'!$C20&amp;$D20,'CIP Details'!P$9:P$365)&gt;0,SUMIF('CIP Details'!$A$9:$A$365,'Bond Details'!$A20&amp;'Bond Details'!$B20&amp;'Bond Details'!$C20&amp;$D20,'CIP Details'!P$9:P$365),"")</f>
        <v/>
      </c>
      <c r="K20" s="6" t="str">
        <f>IF(SUMIF('CIP Details'!$A$9:$A$365,'Bond Details'!$A20&amp;'Bond Details'!$B20&amp;'Bond Details'!$C20&amp;$D20,'CIP Details'!Q$9:Q$365)&gt;0,SUMIF('CIP Details'!$A$9:$A$365,'Bond Details'!$A20&amp;'Bond Details'!$B20&amp;'Bond Details'!$C20&amp;$D20,'CIP Details'!Q$9:Q$365),"")</f>
        <v/>
      </c>
      <c r="L20" s="6" t="str">
        <f>IF(SUMIF('CIP Details'!$A$9:$A$365,'Bond Details'!$A20&amp;'Bond Details'!$B20&amp;'Bond Details'!$C20&amp;$D20,'CIP Details'!R$9:R$365)&gt;0,SUMIF('CIP Details'!$A$9:$A$365,'Bond Details'!$A20&amp;'Bond Details'!$B20&amp;'Bond Details'!$C20&amp;$D20,'CIP Details'!R$9:R$365),"")</f>
        <v/>
      </c>
      <c r="M20" s="6" t="str">
        <f>IF(SUMIF('CIP Details'!$A$9:$A$365,'Bond Details'!$A20&amp;'Bond Details'!$B20&amp;'Bond Details'!$C20&amp;$D20,'CIP Details'!S$9:S$365)&gt;0,SUMIF('CIP Details'!$A$9:$A$365,'Bond Details'!$A20&amp;'Bond Details'!$B20&amp;'Bond Details'!$C20&amp;$D20,'CIP Details'!S$9:S$365),"")</f>
        <v/>
      </c>
      <c r="N20" s="6">
        <f>IF(SUMIF('CIP Details'!$A$9:$A$365,'Bond Details'!$A20&amp;'Bond Details'!$B20&amp;'Bond Details'!$C20&amp;$D20,'CIP Details'!T$9:T$365)&gt;0,SUMIF('CIP Details'!$A$9:$A$365,'Bond Details'!$A20&amp;'Bond Details'!$B20&amp;'Bond Details'!$C20&amp;$D20,'CIP Details'!T$9:T$365),"")</f>
        <v>1200000</v>
      </c>
      <c r="O20" s="6" t="str">
        <f>IF(SUMIF('CIP Details'!$A$9:$A$365,'Bond Details'!$A20&amp;'Bond Details'!$B20&amp;'Bond Details'!$C20&amp;$D20,'CIP Details'!U$9:U$365)&gt;0,SUMIF('CIP Details'!$A$9:$A$365,'Bond Details'!$A20&amp;'Bond Details'!$B20&amp;'Bond Details'!$C20&amp;$D20,'CIP Details'!U$9:U$365),"")</f>
        <v/>
      </c>
      <c r="P20" s="6">
        <f>IF(SUMIF('CIP Details'!$A$9:$A$365,'Bond Details'!$A20&amp;'Bond Details'!$B20&amp;'Bond Details'!$C20&amp;$D20,'CIP Details'!V$9:V$365)&gt;0,SUMIF('CIP Details'!$A$9:$A$365,'Bond Details'!$A20&amp;'Bond Details'!$B20&amp;'Bond Details'!$C20&amp;$D20,'CIP Details'!V$9:V$365),"")</f>
        <v>1200000</v>
      </c>
      <c r="Q20" s="6" t="str">
        <f>IF(SUMIF('CIP Details'!$A$9:$A$365,'Bond Details'!$A20&amp;'Bond Details'!$B20&amp;'Bond Details'!$C20&amp;$D20,'CIP Details'!W$9:W$365)&gt;0,SUMIF('CIP Details'!$A$9:$A$365,'Bond Details'!$A20&amp;'Bond Details'!$B20&amp;'Bond Details'!$C20&amp;$D20,'CIP Details'!W$9:W$365),"")</f>
        <v/>
      </c>
      <c r="R20" s="6" t="str">
        <f>IF(SUMIF('CIP Details'!$A$9:$A$365,'Bond Details'!$A20&amp;'Bond Details'!$B20&amp;'Bond Details'!$C20&amp;$D20,'CIP Details'!X$9:X$365)&gt;0,SUMIF('CIP Details'!$A$9:$A$365,'Bond Details'!$A20&amp;'Bond Details'!$B20&amp;'Bond Details'!$C20&amp;$D20,'CIP Details'!X$9:X$365),"")</f>
        <v/>
      </c>
      <c r="S20" s="6" t="str">
        <f>IF(SUMIF('CIP Details'!$A$9:$A$365,'Bond Details'!$A20&amp;'Bond Details'!$B20&amp;'Bond Details'!$C20&amp;$D20,'CIP Details'!Y$9:Y$365)&gt;0,SUMIF('CIP Details'!$A$9:$A$365,'Bond Details'!$A20&amp;'Bond Details'!$B20&amp;'Bond Details'!$C20&amp;$D20,'CIP Details'!Y$9:Y$365),"")</f>
        <v/>
      </c>
    </row>
    <row r="21" spans="1:19" ht="18.75" x14ac:dyDescent="0.25">
      <c r="A21" s="235" t="s">
        <v>365</v>
      </c>
      <c r="B21" t="s">
        <v>47</v>
      </c>
      <c r="C21" s="24" t="s">
        <v>455</v>
      </c>
      <c r="D21" s="1" t="s">
        <v>19</v>
      </c>
      <c r="E21" s="6" t="str">
        <f>IF(SUMIF('CIP Details'!$A$9:$A$365,'Bond Details'!$A21&amp;'Bond Details'!$B21&amp;'Bond Details'!$C21&amp;$D21,'CIP Details'!K$9:K$365)&gt;0,SUMIF('CIP Details'!$A$9:$A$365,'Bond Details'!$A21&amp;'Bond Details'!$B21&amp;'Bond Details'!$C21&amp;$D21,'CIP Details'!K$9:K$365),"")</f>
        <v/>
      </c>
      <c r="F21" s="6" t="str">
        <f>IF(SUMIF('CIP Details'!$A$9:$A$365,'Bond Details'!$A21&amp;'Bond Details'!$B21&amp;'Bond Details'!$C21&amp;$D21,'CIP Details'!L$9:L$365)&gt;0,SUMIF('CIP Details'!$A$9:$A$365,'Bond Details'!$A21&amp;'Bond Details'!$B21&amp;'Bond Details'!$C21&amp;$D21,'CIP Details'!L$9:L$365),"")</f>
        <v/>
      </c>
      <c r="G21" s="6" t="str">
        <f>IF(SUMIF('CIP Details'!$A$9:$A$365,'Bond Details'!$A21&amp;'Bond Details'!$B21&amp;'Bond Details'!$C21&amp;$D21,'CIP Details'!M$9:M$365)&gt;0,SUMIF('CIP Details'!$A$9:$A$365,'Bond Details'!$A21&amp;'Bond Details'!$B21&amp;'Bond Details'!$C21&amp;$D21,'CIP Details'!M$9:M$365),"")</f>
        <v/>
      </c>
      <c r="H21" s="215"/>
      <c r="I21" s="6" t="str">
        <f>IF(SUMIF('CIP Details'!$A$9:$A$365,'Bond Details'!$A21&amp;'Bond Details'!$B21&amp;'Bond Details'!$C21&amp;$D21,'CIP Details'!O$9:O$365)&gt;0,SUMIF('CIP Details'!$A$9:$A$365,'Bond Details'!$A21&amp;'Bond Details'!$B21&amp;'Bond Details'!$C21&amp;$D21,'CIP Details'!O$9:O$365),"")</f>
        <v/>
      </c>
      <c r="J21" s="6" t="str">
        <f>IF(SUMIF('CIP Details'!$A$9:$A$365,'Bond Details'!$A21&amp;'Bond Details'!$B21&amp;'Bond Details'!$C21&amp;$D21,'CIP Details'!P$9:P$365)&gt;0,SUMIF('CIP Details'!$A$9:$A$365,'Bond Details'!$A21&amp;'Bond Details'!$B21&amp;'Bond Details'!$C21&amp;$D21,'CIP Details'!P$9:P$365),"")</f>
        <v/>
      </c>
      <c r="K21" s="6" t="str">
        <f>IF(SUMIF('CIP Details'!$A$9:$A$365,'Bond Details'!$A21&amp;'Bond Details'!$B21&amp;'Bond Details'!$C21&amp;$D21,'CIP Details'!Q$9:Q$365)&gt;0,SUMIF('CIP Details'!$A$9:$A$365,'Bond Details'!$A21&amp;'Bond Details'!$B21&amp;'Bond Details'!$C21&amp;$D21,'CIP Details'!Q$9:Q$365),"")</f>
        <v/>
      </c>
      <c r="L21" s="6">
        <f>IF(SUMIF('CIP Details'!$A$9:$A$365,'Bond Details'!$A21&amp;'Bond Details'!$B21&amp;'Bond Details'!$C21&amp;$D21,'CIP Details'!R$9:R$365)&gt;0,SUMIF('CIP Details'!$A$9:$A$365,'Bond Details'!$A21&amp;'Bond Details'!$B21&amp;'Bond Details'!$C21&amp;$D21,'CIP Details'!R$9:R$365),"")</f>
        <v>1200000</v>
      </c>
      <c r="M21" s="6" t="str">
        <f>IF(SUMIF('CIP Details'!$A$9:$A$365,'Bond Details'!$A21&amp;'Bond Details'!$B21&amp;'Bond Details'!$C21&amp;$D21,'CIP Details'!S$9:S$365)&gt;0,SUMIF('CIP Details'!$A$9:$A$365,'Bond Details'!$A21&amp;'Bond Details'!$B21&amp;'Bond Details'!$C21&amp;$D21,'CIP Details'!S$9:S$365),"")</f>
        <v/>
      </c>
      <c r="N21" s="6" t="str">
        <f>IF(SUMIF('CIP Details'!$A$9:$A$365,'Bond Details'!$A21&amp;'Bond Details'!$B21&amp;'Bond Details'!$C21&amp;$D21,'CIP Details'!T$9:T$365)&gt;0,SUMIF('CIP Details'!$A$9:$A$365,'Bond Details'!$A21&amp;'Bond Details'!$B21&amp;'Bond Details'!$C21&amp;$D21,'CIP Details'!T$9:T$365),"")</f>
        <v/>
      </c>
      <c r="O21" s="6" t="str">
        <f>IF(SUMIF('CIP Details'!$A$9:$A$365,'Bond Details'!$A21&amp;'Bond Details'!$B21&amp;'Bond Details'!$C21&amp;$D21,'CIP Details'!U$9:U$365)&gt;0,SUMIF('CIP Details'!$A$9:$A$365,'Bond Details'!$A21&amp;'Bond Details'!$B21&amp;'Bond Details'!$C21&amp;$D21,'CIP Details'!U$9:U$365),"")</f>
        <v/>
      </c>
      <c r="P21" s="6" t="str">
        <f>IF(SUMIF('CIP Details'!$A$9:$A$365,'Bond Details'!$A21&amp;'Bond Details'!$B21&amp;'Bond Details'!$C21&amp;$D21,'CIP Details'!V$9:V$365)&gt;0,SUMIF('CIP Details'!$A$9:$A$365,'Bond Details'!$A21&amp;'Bond Details'!$B21&amp;'Bond Details'!$C21&amp;$D21,'CIP Details'!V$9:V$365),"")</f>
        <v/>
      </c>
      <c r="Q21" s="6" t="str">
        <f>IF(SUMIF('CIP Details'!$A$9:$A$365,'Bond Details'!$A21&amp;'Bond Details'!$B21&amp;'Bond Details'!$C21&amp;$D21,'CIP Details'!W$9:W$365)&gt;0,SUMIF('CIP Details'!$A$9:$A$365,'Bond Details'!$A21&amp;'Bond Details'!$B21&amp;'Bond Details'!$C21&amp;$D21,'CIP Details'!W$9:W$365),"")</f>
        <v/>
      </c>
      <c r="R21" s="6" t="str">
        <f>IF(SUMIF('CIP Details'!$A$9:$A$365,'Bond Details'!$A21&amp;'Bond Details'!$B21&amp;'Bond Details'!$C21&amp;$D21,'CIP Details'!X$9:X$365)&gt;0,SUMIF('CIP Details'!$A$9:$A$365,'Bond Details'!$A21&amp;'Bond Details'!$B21&amp;'Bond Details'!$C21&amp;$D21,'CIP Details'!X$9:X$365),"")</f>
        <v/>
      </c>
      <c r="S21" s="6" t="str">
        <f>IF(SUMIF('CIP Details'!$A$9:$A$365,'Bond Details'!$A21&amp;'Bond Details'!$B21&amp;'Bond Details'!$C21&amp;$D21,'CIP Details'!Y$9:Y$365)&gt;0,SUMIF('CIP Details'!$A$9:$A$365,'Bond Details'!$A21&amp;'Bond Details'!$B21&amp;'Bond Details'!$C21&amp;$D21,'CIP Details'!Y$9:Y$365),"")</f>
        <v/>
      </c>
    </row>
    <row r="22" spans="1:19" ht="18.75" x14ac:dyDescent="0.25">
      <c r="A22" s="235" t="s">
        <v>365</v>
      </c>
      <c r="B22" t="s">
        <v>47</v>
      </c>
      <c r="C22" s="24" t="s">
        <v>456</v>
      </c>
      <c r="D22" s="1" t="s">
        <v>19</v>
      </c>
      <c r="E22" s="6" t="str">
        <f>IF(SUMIF('CIP Details'!$A$9:$A$365,'Bond Details'!$A22&amp;'Bond Details'!$B22&amp;'Bond Details'!$C22&amp;$D22,'CIP Details'!K$9:K$365)&gt;0,SUMIF('CIP Details'!$A$9:$A$365,'Bond Details'!$A22&amp;'Bond Details'!$B22&amp;'Bond Details'!$C22&amp;$D22,'CIP Details'!K$9:K$365),"")</f>
        <v/>
      </c>
      <c r="F22" s="6" t="str">
        <f>IF(SUMIF('CIP Details'!$A$9:$A$365,'Bond Details'!$A22&amp;'Bond Details'!$B22&amp;'Bond Details'!$C22&amp;$D22,'CIP Details'!L$9:L$365)&gt;0,SUMIF('CIP Details'!$A$9:$A$365,'Bond Details'!$A22&amp;'Bond Details'!$B22&amp;'Bond Details'!$C22&amp;$D22,'CIP Details'!L$9:L$365),"")</f>
        <v/>
      </c>
      <c r="G22" s="6" t="str">
        <f>IF(SUMIF('CIP Details'!$A$9:$A$365,'Bond Details'!$A22&amp;'Bond Details'!$B22&amp;'Bond Details'!$C22&amp;$D22,'CIP Details'!M$9:M$365)&gt;0,SUMIF('CIP Details'!$A$9:$A$365,'Bond Details'!$A22&amp;'Bond Details'!$B22&amp;'Bond Details'!$C22&amp;$D22,'CIP Details'!M$9:M$365),"")</f>
        <v/>
      </c>
      <c r="H22" s="215"/>
      <c r="I22" s="6" t="str">
        <f>IF(SUMIF('CIP Details'!$A$9:$A$365,'Bond Details'!$A22&amp;'Bond Details'!$B22&amp;'Bond Details'!$C22&amp;$D22,'CIP Details'!O$9:O$365)&gt;0,SUMIF('CIP Details'!$A$9:$A$365,'Bond Details'!$A22&amp;'Bond Details'!$B22&amp;'Bond Details'!$C22&amp;$D22,'CIP Details'!O$9:O$365),"")</f>
        <v/>
      </c>
      <c r="J22" s="6" t="str">
        <f>IF(SUMIF('CIP Details'!$A$9:$A$365,'Bond Details'!$A22&amp;'Bond Details'!$B22&amp;'Bond Details'!$C22&amp;$D22,'CIP Details'!P$9:P$365)&gt;0,SUMIF('CIP Details'!$A$9:$A$365,'Bond Details'!$A22&amp;'Bond Details'!$B22&amp;'Bond Details'!$C22&amp;$D22,'CIP Details'!P$9:P$365),"")</f>
        <v/>
      </c>
      <c r="K22" s="6" t="str">
        <f>IF(SUMIF('CIP Details'!$A$9:$A$365,'Bond Details'!$A22&amp;'Bond Details'!$B22&amp;'Bond Details'!$C22&amp;$D22,'CIP Details'!Q$9:Q$365)&gt;0,SUMIF('CIP Details'!$A$9:$A$365,'Bond Details'!$A22&amp;'Bond Details'!$B22&amp;'Bond Details'!$C22&amp;$D22,'CIP Details'!Q$9:Q$365),"")</f>
        <v/>
      </c>
      <c r="L22" s="6" t="str">
        <f>IF(SUMIF('CIP Details'!$A$9:$A$365,'Bond Details'!$A22&amp;'Bond Details'!$B22&amp;'Bond Details'!$C22&amp;$D22,'CIP Details'!R$9:R$365)&gt;0,SUMIF('CIP Details'!$A$9:$A$365,'Bond Details'!$A22&amp;'Bond Details'!$B22&amp;'Bond Details'!$C22&amp;$D22,'CIP Details'!R$9:R$365),"")</f>
        <v/>
      </c>
      <c r="M22" s="6" t="str">
        <f>IF(SUMIF('CIP Details'!$A$9:$A$365,'Bond Details'!$A22&amp;'Bond Details'!$B22&amp;'Bond Details'!$C22&amp;$D22,'CIP Details'!S$9:S$365)&gt;0,SUMIF('CIP Details'!$A$9:$A$365,'Bond Details'!$A22&amp;'Bond Details'!$B22&amp;'Bond Details'!$C22&amp;$D22,'CIP Details'!S$9:S$365),"")</f>
        <v/>
      </c>
      <c r="N22" s="6">
        <f>IF(SUMIF('CIP Details'!$A$9:$A$365,'Bond Details'!$A22&amp;'Bond Details'!$B22&amp;'Bond Details'!$C22&amp;$D22,'CIP Details'!T$9:T$365)&gt;0,SUMIF('CIP Details'!$A$9:$A$365,'Bond Details'!$A22&amp;'Bond Details'!$B22&amp;'Bond Details'!$C22&amp;$D22,'CIP Details'!T$9:T$365),"")</f>
        <v>750000</v>
      </c>
      <c r="O22" s="6">
        <f>IF(SUMIF('CIP Details'!$A$9:$A$365,'Bond Details'!$A22&amp;'Bond Details'!$B22&amp;'Bond Details'!$C22&amp;$D22,'CIP Details'!U$9:U$365)&gt;0,SUMIF('CIP Details'!$A$9:$A$365,'Bond Details'!$A22&amp;'Bond Details'!$B22&amp;'Bond Details'!$C22&amp;$D22,'CIP Details'!U$9:U$365),"")</f>
        <v>750000</v>
      </c>
      <c r="P22" s="6" t="str">
        <f>IF(SUMIF('CIP Details'!$A$9:$A$365,'Bond Details'!$A22&amp;'Bond Details'!$B22&amp;'Bond Details'!$C22&amp;$D22,'CIP Details'!V$9:V$365)&gt;0,SUMIF('CIP Details'!$A$9:$A$365,'Bond Details'!$A22&amp;'Bond Details'!$B22&amp;'Bond Details'!$C22&amp;$D22,'CIP Details'!V$9:V$365),"")</f>
        <v/>
      </c>
      <c r="Q22" s="6" t="str">
        <f>IF(SUMIF('CIP Details'!$A$9:$A$365,'Bond Details'!$A22&amp;'Bond Details'!$B22&amp;'Bond Details'!$C22&amp;$D22,'CIP Details'!W$9:W$365)&gt;0,SUMIF('CIP Details'!$A$9:$A$365,'Bond Details'!$A22&amp;'Bond Details'!$B22&amp;'Bond Details'!$C22&amp;$D22,'CIP Details'!W$9:W$365),"")</f>
        <v/>
      </c>
      <c r="R22" s="6" t="str">
        <f>IF(SUMIF('CIP Details'!$A$9:$A$365,'Bond Details'!$A22&amp;'Bond Details'!$B22&amp;'Bond Details'!$C22&amp;$D22,'CIP Details'!X$9:X$365)&gt;0,SUMIF('CIP Details'!$A$9:$A$365,'Bond Details'!$A22&amp;'Bond Details'!$B22&amp;'Bond Details'!$C22&amp;$D22,'CIP Details'!X$9:X$365),"")</f>
        <v/>
      </c>
      <c r="S22" s="6" t="str">
        <f>IF(SUMIF('CIP Details'!$A$9:$A$365,'Bond Details'!$A22&amp;'Bond Details'!$B22&amp;'Bond Details'!$C22&amp;$D22,'CIP Details'!Y$9:Y$365)&gt;0,SUMIF('CIP Details'!$A$9:$A$365,'Bond Details'!$A22&amp;'Bond Details'!$B22&amp;'Bond Details'!$C22&amp;$D22,'CIP Details'!Y$9:Y$365),"")</f>
        <v/>
      </c>
    </row>
    <row r="23" spans="1:19" ht="18.75" x14ac:dyDescent="0.25">
      <c r="A23" s="235" t="s">
        <v>365</v>
      </c>
      <c r="B23" t="s">
        <v>47</v>
      </c>
      <c r="C23" s="26" t="s">
        <v>263</v>
      </c>
      <c r="D23" s="1" t="s">
        <v>19</v>
      </c>
      <c r="E23" s="6" t="str">
        <f>IF(SUMIF('CIP Details'!$A$9:$A$365,'Bond Details'!$A23&amp;'Bond Details'!$B23&amp;'Bond Details'!$C23&amp;$D23,'CIP Details'!K$9:K$365)&gt;0,SUMIF('CIP Details'!$A$9:$A$365,'Bond Details'!$A23&amp;'Bond Details'!$B23&amp;'Bond Details'!$C23&amp;$D23,'CIP Details'!K$9:K$365),"")</f>
        <v/>
      </c>
      <c r="F23" s="6" t="str">
        <f>IF(SUMIF('CIP Details'!$A$9:$A$365,'Bond Details'!$A23&amp;'Bond Details'!$B23&amp;'Bond Details'!$C23&amp;$D23,'CIP Details'!L$9:L$365)&gt;0,SUMIF('CIP Details'!$A$9:$A$365,'Bond Details'!$A23&amp;'Bond Details'!$B23&amp;'Bond Details'!$C23&amp;$D23,'CIP Details'!L$9:L$365),"")</f>
        <v/>
      </c>
      <c r="G23" s="6" t="str">
        <f>IF(SUMIF('CIP Details'!$A$9:$A$365,'Bond Details'!$A23&amp;'Bond Details'!$B23&amp;'Bond Details'!$C23&amp;$D23,'CIP Details'!M$9:M$365)&gt;0,SUMIF('CIP Details'!$A$9:$A$365,'Bond Details'!$A23&amp;'Bond Details'!$B23&amp;'Bond Details'!$C23&amp;$D23,'CIP Details'!M$9:M$365),"")</f>
        <v/>
      </c>
      <c r="H23" s="215"/>
      <c r="I23" s="6" t="str">
        <f>IF(SUMIF('CIP Details'!$A$9:$A$365,'Bond Details'!$A23&amp;'Bond Details'!$B23&amp;'Bond Details'!$C23&amp;$D23,'CIP Details'!O$9:O$365)&gt;0,SUMIF('CIP Details'!$A$9:$A$365,'Bond Details'!$A23&amp;'Bond Details'!$B23&amp;'Bond Details'!$C23&amp;$D23,'CIP Details'!O$9:O$365),"")</f>
        <v/>
      </c>
      <c r="J23" s="6" t="str">
        <f>IF(SUMIF('CIP Details'!$A$9:$A$365,'Bond Details'!$A23&amp;'Bond Details'!$B23&amp;'Bond Details'!$C23&amp;$D23,'CIP Details'!P$9:P$365)&gt;0,SUMIF('CIP Details'!$A$9:$A$365,'Bond Details'!$A23&amp;'Bond Details'!$B23&amp;'Bond Details'!$C23&amp;$D23,'CIP Details'!P$9:P$365),"")</f>
        <v/>
      </c>
      <c r="K23" s="6" t="str">
        <f>IF(SUMIF('CIP Details'!$A$9:$A$365,'Bond Details'!$A23&amp;'Bond Details'!$B23&amp;'Bond Details'!$C23&amp;$D23,'CIP Details'!Q$9:Q$365)&gt;0,SUMIF('CIP Details'!$A$9:$A$365,'Bond Details'!$A23&amp;'Bond Details'!$B23&amp;'Bond Details'!$C23&amp;$D23,'CIP Details'!Q$9:Q$365),"")</f>
        <v/>
      </c>
      <c r="L23" s="6" t="str">
        <f>IF(SUMIF('CIP Details'!$A$9:$A$365,'Bond Details'!$A23&amp;'Bond Details'!$B23&amp;'Bond Details'!$C23&amp;$D23,'CIP Details'!R$9:R$365)&gt;0,SUMIF('CIP Details'!$A$9:$A$365,'Bond Details'!$A23&amp;'Bond Details'!$B23&amp;'Bond Details'!$C23&amp;$D23,'CIP Details'!R$9:R$365),"")</f>
        <v/>
      </c>
      <c r="M23" s="6">
        <f>IF(SUMIF('CIP Details'!$A$9:$A$365,'Bond Details'!$A23&amp;'Bond Details'!$B23&amp;'Bond Details'!$C23&amp;$D23,'CIP Details'!S$9:S$365)&gt;0,SUMIF('CIP Details'!$A$9:$A$365,'Bond Details'!$A23&amp;'Bond Details'!$B23&amp;'Bond Details'!$C23&amp;$D23,'CIP Details'!S$9:S$365),"")</f>
        <v>750000</v>
      </c>
      <c r="N23" s="6" t="str">
        <f>IF(SUMIF('CIP Details'!$A$9:$A$365,'Bond Details'!$A23&amp;'Bond Details'!$B23&amp;'Bond Details'!$C23&amp;$D23,'CIP Details'!T$9:T$365)&gt;0,SUMIF('CIP Details'!$A$9:$A$365,'Bond Details'!$A23&amp;'Bond Details'!$B23&amp;'Bond Details'!$C23&amp;$D23,'CIP Details'!T$9:T$365),"")</f>
        <v/>
      </c>
      <c r="O23" s="6" t="str">
        <f>IF(SUMIF('CIP Details'!$A$9:$A$365,'Bond Details'!$A23&amp;'Bond Details'!$B23&amp;'Bond Details'!$C23&amp;$D23,'CIP Details'!U$9:U$365)&gt;0,SUMIF('CIP Details'!$A$9:$A$365,'Bond Details'!$A23&amp;'Bond Details'!$B23&amp;'Bond Details'!$C23&amp;$D23,'CIP Details'!U$9:U$365),"")</f>
        <v/>
      </c>
      <c r="P23" s="6" t="str">
        <f>IF(SUMIF('CIP Details'!$A$9:$A$365,'Bond Details'!$A23&amp;'Bond Details'!$B23&amp;'Bond Details'!$C23&amp;$D23,'CIP Details'!V$9:V$365)&gt;0,SUMIF('CIP Details'!$A$9:$A$365,'Bond Details'!$A23&amp;'Bond Details'!$B23&amp;'Bond Details'!$C23&amp;$D23,'CIP Details'!V$9:V$365),"")</f>
        <v/>
      </c>
      <c r="Q23" s="6" t="str">
        <f>IF(SUMIF('CIP Details'!$A$9:$A$365,'Bond Details'!$A23&amp;'Bond Details'!$B23&amp;'Bond Details'!$C23&amp;$D23,'CIP Details'!W$9:W$365)&gt;0,SUMIF('CIP Details'!$A$9:$A$365,'Bond Details'!$A23&amp;'Bond Details'!$B23&amp;'Bond Details'!$C23&amp;$D23,'CIP Details'!W$9:W$365),"")</f>
        <v/>
      </c>
      <c r="R23" s="6" t="str">
        <f>IF(SUMIF('CIP Details'!$A$9:$A$365,'Bond Details'!$A23&amp;'Bond Details'!$B23&amp;'Bond Details'!$C23&amp;$D23,'CIP Details'!X$9:X$365)&gt;0,SUMIF('CIP Details'!$A$9:$A$365,'Bond Details'!$A23&amp;'Bond Details'!$B23&amp;'Bond Details'!$C23&amp;$D23,'CIP Details'!X$9:X$365),"")</f>
        <v/>
      </c>
      <c r="S23" s="6" t="str">
        <f>IF(SUMIF('CIP Details'!$A$9:$A$365,'Bond Details'!$A23&amp;'Bond Details'!$B23&amp;'Bond Details'!$C23&amp;$D23,'CIP Details'!Y$9:Y$365)&gt;0,SUMIF('CIP Details'!$A$9:$A$365,'Bond Details'!$A23&amp;'Bond Details'!$B23&amp;'Bond Details'!$C23&amp;$D23,'CIP Details'!Y$9:Y$365),"")</f>
        <v/>
      </c>
    </row>
    <row r="24" spans="1:19" ht="18.75" x14ac:dyDescent="0.25">
      <c r="A24" s="235" t="s">
        <v>365</v>
      </c>
      <c r="B24" t="s">
        <v>47</v>
      </c>
      <c r="C24" s="26" t="s">
        <v>264</v>
      </c>
      <c r="D24" s="1" t="s">
        <v>19</v>
      </c>
      <c r="E24" s="6" t="str">
        <f>IF(SUMIF('CIP Details'!$A$9:$A$365,'Bond Details'!$A24&amp;'Bond Details'!$B24&amp;'Bond Details'!$C24&amp;$D24,'CIP Details'!K$9:K$365)&gt;0,SUMIF('CIP Details'!$A$9:$A$365,'Bond Details'!$A24&amp;'Bond Details'!$B24&amp;'Bond Details'!$C24&amp;$D24,'CIP Details'!K$9:K$365),"")</f>
        <v/>
      </c>
      <c r="F24" s="6" t="str">
        <f>IF(SUMIF('CIP Details'!$A$9:$A$365,'Bond Details'!$A24&amp;'Bond Details'!$B24&amp;'Bond Details'!$C24&amp;$D24,'CIP Details'!L$9:L$365)&gt;0,SUMIF('CIP Details'!$A$9:$A$365,'Bond Details'!$A24&amp;'Bond Details'!$B24&amp;'Bond Details'!$C24&amp;$D24,'CIP Details'!L$9:L$365),"")</f>
        <v/>
      </c>
      <c r="G24" s="6" t="str">
        <f>IF(SUMIF('CIP Details'!$A$9:$A$365,'Bond Details'!$A24&amp;'Bond Details'!$B24&amp;'Bond Details'!$C24&amp;$D24,'CIP Details'!M$9:M$365)&gt;0,SUMIF('CIP Details'!$A$9:$A$365,'Bond Details'!$A24&amp;'Bond Details'!$B24&amp;'Bond Details'!$C24&amp;$D24,'CIP Details'!M$9:M$365),"")</f>
        <v/>
      </c>
      <c r="H24" s="215"/>
      <c r="I24" s="6" t="str">
        <f>IF(SUMIF('CIP Details'!$A$9:$A$365,'Bond Details'!$A24&amp;'Bond Details'!$B24&amp;'Bond Details'!$C24&amp;$D24,'CIP Details'!O$9:O$365)&gt;0,SUMIF('CIP Details'!$A$9:$A$365,'Bond Details'!$A24&amp;'Bond Details'!$B24&amp;'Bond Details'!$C24&amp;$D24,'CIP Details'!O$9:O$365),"")</f>
        <v/>
      </c>
      <c r="J24" s="6" t="str">
        <f>IF(SUMIF('CIP Details'!$A$9:$A$365,'Bond Details'!$A24&amp;'Bond Details'!$B24&amp;'Bond Details'!$C24&amp;$D24,'CIP Details'!P$9:P$365)&gt;0,SUMIF('CIP Details'!$A$9:$A$365,'Bond Details'!$A24&amp;'Bond Details'!$B24&amp;'Bond Details'!$C24&amp;$D24,'CIP Details'!P$9:P$365),"")</f>
        <v/>
      </c>
      <c r="K24" s="6" t="str">
        <f>IF(SUMIF('CIP Details'!$A$9:$A$365,'Bond Details'!$A24&amp;'Bond Details'!$B24&amp;'Bond Details'!$C24&amp;$D24,'CIP Details'!Q$9:Q$365)&gt;0,SUMIF('CIP Details'!$A$9:$A$365,'Bond Details'!$A24&amp;'Bond Details'!$B24&amp;'Bond Details'!$C24&amp;$D24,'CIP Details'!Q$9:Q$365),"")</f>
        <v/>
      </c>
      <c r="L24" s="6" t="str">
        <f>IF(SUMIF('CIP Details'!$A$9:$A$365,'Bond Details'!$A24&amp;'Bond Details'!$B24&amp;'Bond Details'!$C24&amp;$D24,'CIP Details'!R$9:R$365)&gt;0,SUMIF('CIP Details'!$A$9:$A$365,'Bond Details'!$A24&amp;'Bond Details'!$B24&amp;'Bond Details'!$C24&amp;$D24,'CIP Details'!R$9:R$365),"")</f>
        <v/>
      </c>
      <c r="M24" s="6">
        <f>IF(SUMIF('CIP Details'!$A$9:$A$365,'Bond Details'!$A24&amp;'Bond Details'!$B24&amp;'Bond Details'!$C24&amp;$D24,'CIP Details'!S$9:S$365)&gt;0,SUMIF('CIP Details'!$A$9:$A$365,'Bond Details'!$A24&amp;'Bond Details'!$B24&amp;'Bond Details'!$C24&amp;$D24,'CIP Details'!S$9:S$365),"")</f>
        <v>750000</v>
      </c>
      <c r="N24" s="6" t="str">
        <f>IF(SUMIF('CIP Details'!$A$9:$A$365,'Bond Details'!$A24&amp;'Bond Details'!$B24&amp;'Bond Details'!$C24&amp;$D24,'CIP Details'!T$9:T$365)&gt;0,SUMIF('CIP Details'!$A$9:$A$365,'Bond Details'!$A24&amp;'Bond Details'!$B24&amp;'Bond Details'!$C24&amp;$D24,'CIP Details'!T$9:T$365),"")</f>
        <v/>
      </c>
      <c r="O24" s="6" t="str">
        <f>IF(SUMIF('CIP Details'!$A$9:$A$365,'Bond Details'!$A24&amp;'Bond Details'!$B24&amp;'Bond Details'!$C24&amp;$D24,'CIP Details'!U$9:U$365)&gt;0,SUMIF('CIP Details'!$A$9:$A$365,'Bond Details'!$A24&amp;'Bond Details'!$B24&amp;'Bond Details'!$C24&amp;$D24,'CIP Details'!U$9:U$365),"")</f>
        <v/>
      </c>
      <c r="P24" s="6" t="str">
        <f>IF(SUMIF('CIP Details'!$A$9:$A$365,'Bond Details'!$A24&amp;'Bond Details'!$B24&amp;'Bond Details'!$C24&amp;$D24,'CIP Details'!V$9:V$365)&gt;0,SUMIF('CIP Details'!$A$9:$A$365,'Bond Details'!$A24&amp;'Bond Details'!$B24&amp;'Bond Details'!$C24&amp;$D24,'CIP Details'!V$9:V$365),"")</f>
        <v/>
      </c>
      <c r="Q24" s="6" t="str">
        <f>IF(SUMIF('CIP Details'!$A$9:$A$365,'Bond Details'!$A24&amp;'Bond Details'!$B24&amp;'Bond Details'!$C24&amp;$D24,'CIP Details'!W$9:W$365)&gt;0,SUMIF('CIP Details'!$A$9:$A$365,'Bond Details'!$A24&amp;'Bond Details'!$B24&amp;'Bond Details'!$C24&amp;$D24,'CIP Details'!W$9:W$365),"")</f>
        <v/>
      </c>
      <c r="R24" s="6" t="str">
        <f>IF(SUMIF('CIP Details'!$A$9:$A$365,'Bond Details'!$A24&amp;'Bond Details'!$B24&amp;'Bond Details'!$C24&amp;$D24,'CIP Details'!X$9:X$365)&gt;0,SUMIF('CIP Details'!$A$9:$A$365,'Bond Details'!$A24&amp;'Bond Details'!$B24&amp;'Bond Details'!$C24&amp;$D24,'CIP Details'!X$9:X$365),"")</f>
        <v/>
      </c>
      <c r="S24" s="6" t="str">
        <f>IF(SUMIF('CIP Details'!$A$9:$A$365,'Bond Details'!$A24&amp;'Bond Details'!$B24&amp;'Bond Details'!$C24&amp;$D24,'CIP Details'!Y$9:Y$365)&gt;0,SUMIF('CIP Details'!$A$9:$A$365,'Bond Details'!$A24&amp;'Bond Details'!$B24&amp;'Bond Details'!$C24&amp;$D24,'CIP Details'!Y$9:Y$365),"")</f>
        <v/>
      </c>
    </row>
    <row r="25" spans="1:19" ht="18.75" x14ac:dyDescent="0.25">
      <c r="A25" s="235" t="s">
        <v>366</v>
      </c>
      <c r="B25" s="114" t="s">
        <v>46</v>
      </c>
      <c r="C25" s="276" t="s">
        <v>907</v>
      </c>
      <c r="D25" s="1" t="s">
        <v>19</v>
      </c>
      <c r="E25" s="6" t="str">
        <f>IF(SUMIF('CIP Details'!$A$9:$A$365,'Bond Details'!$A25&amp;'Bond Details'!$B25&amp;'Bond Details'!$C25&amp;$D25,'CIP Details'!K$9:K$365)&gt;0,SUMIF('CIP Details'!$A$9:$A$365,'Bond Details'!$A25&amp;'Bond Details'!$B25&amp;'Bond Details'!$C25&amp;$D25,'CIP Details'!K$9:K$365),"")</f>
        <v/>
      </c>
      <c r="F25" s="6" t="str">
        <f>IF(SUMIF('CIP Details'!$A$9:$A$365,'Bond Details'!$A25&amp;'Bond Details'!$B25&amp;'Bond Details'!$C25&amp;$D25,'CIP Details'!L$9:L$365)&gt;0,SUMIF('CIP Details'!$A$9:$A$365,'Bond Details'!$A25&amp;'Bond Details'!$B25&amp;'Bond Details'!$C25&amp;$D25,'CIP Details'!L$9:L$365),"")</f>
        <v/>
      </c>
      <c r="G25" s="6">
        <f>IF(SUMIF('CIP Details'!$A$9:$A$365,'Bond Details'!$A25&amp;'Bond Details'!$B25&amp;'Bond Details'!$C25&amp;$D25,'CIP Details'!M$9:M$365)&gt;0,SUMIF('CIP Details'!$A$9:$A$365,'Bond Details'!$A25&amp;'Bond Details'!$B25&amp;'Bond Details'!$C25&amp;$D25,'CIP Details'!M$9:M$365),"")</f>
        <v>1000000</v>
      </c>
      <c r="H25" s="215"/>
      <c r="I25" s="6" t="str">
        <f>IF(SUMIF('CIP Details'!$A$9:$A$365,'Bond Details'!$A25&amp;'Bond Details'!$B25&amp;'Bond Details'!$C25&amp;$D25,'CIP Details'!O$9:O$365)&gt;0,SUMIF('CIP Details'!$A$9:$A$365,'Bond Details'!$A25&amp;'Bond Details'!$B25&amp;'Bond Details'!$C25&amp;$D25,'CIP Details'!O$9:O$365),"")</f>
        <v/>
      </c>
      <c r="J25" s="6" t="str">
        <f>IF(SUMIF('CIP Details'!$A$9:$A$365,'Bond Details'!$A25&amp;'Bond Details'!$B25&amp;'Bond Details'!$C25&amp;$D25,'CIP Details'!P$9:P$365)&gt;0,SUMIF('CIP Details'!$A$9:$A$365,'Bond Details'!$A25&amp;'Bond Details'!$B25&amp;'Bond Details'!$C25&amp;$D25,'CIP Details'!P$9:P$365),"")</f>
        <v/>
      </c>
      <c r="K25" s="6" t="str">
        <f>IF(SUMIF('CIP Details'!$A$9:$A$365,'Bond Details'!$A25&amp;'Bond Details'!$B25&amp;'Bond Details'!$C25&amp;$D25,'CIP Details'!Q$9:Q$365)&gt;0,SUMIF('CIP Details'!$A$9:$A$365,'Bond Details'!$A25&amp;'Bond Details'!$B25&amp;'Bond Details'!$C25&amp;$D25,'CIP Details'!Q$9:Q$365),"")</f>
        <v/>
      </c>
      <c r="L25" s="6" t="str">
        <f>IF(SUMIF('CIP Details'!$A$9:$A$365,'Bond Details'!$A25&amp;'Bond Details'!$B25&amp;'Bond Details'!$C25&amp;$D25,'CIP Details'!R$9:R$365)&gt;0,SUMIF('CIP Details'!$A$9:$A$365,'Bond Details'!$A25&amp;'Bond Details'!$B25&amp;'Bond Details'!$C25&amp;$D25,'CIP Details'!R$9:R$365),"")</f>
        <v/>
      </c>
      <c r="M25" s="6" t="str">
        <f>IF(SUMIF('CIP Details'!$A$9:$A$365,'Bond Details'!$A25&amp;'Bond Details'!$B25&amp;'Bond Details'!$C25&amp;$D25,'CIP Details'!S$9:S$365)&gt;0,SUMIF('CIP Details'!$A$9:$A$365,'Bond Details'!$A25&amp;'Bond Details'!$B25&amp;'Bond Details'!$C25&amp;$D25,'CIP Details'!S$9:S$365),"")</f>
        <v/>
      </c>
      <c r="N25" s="6">
        <f>IF(SUMIF('CIP Details'!$A$9:$A$365,'Bond Details'!$A25&amp;'Bond Details'!$B25&amp;'Bond Details'!$C25&amp;$D25,'CIP Details'!T$9:T$365)&gt;0,SUMIF('CIP Details'!$A$9:$A$365,'Bond Details'!$A25&amp;'Bond Details'!$B25&amp;'Bond Details'!$C25&amp;$D25,'CIP Details'!T$9:T$365),"")</f>
        <v>1000000</v>
      </c>
      <c r="O25" s="6" t="str">
        <f>IF(SUMIF('CIP Details'!$A$9:$A$365,'Bond Details'!$A25&amp;'Bond Details'!$B25&amp;'Bond Details'!$C25&amp;$D25,'CIP Details'!U$9:U$365)&gt;0,SUMIF('CIP Details'!$A$9:$A$365,'Bond Details'!$A25&amp;'Bond Details'!$B25&amp;'Bond Details'!$C25&amp;$D25,'CIP Details'!U$9:U$365),"")</f>
        <v/>
      </c>
      <c r="P25" s="6" t="str">
        <f>IF(SUMIF('CIP Details'!$A$9:$A$365,'Bond Details'!$A25&amp;'Bond Details'!$B25&amp;'Bond Details'!$C25&amp;$D25,'CIP Details'!V$9:V$365)&gt;0,SUMIF('CIP Details'!$A$9:$A$365,'Bond Details'!$A25&amp;'Bond Details'!$B25&amp;'Bond Details'!$C25&amp;$D25,'CIP Details'!V$9:V$365),"")</f>
        <v/>
      </c>
      <c r="Q25" s="6" t="str">
        <f>IF(SUMIF('CIP Details'!$A$9:$A$365,'Bond Details'!$A25&amp;'Bond Details'!$B25&amp;'Bond Details'!$C25&amp;$D25,'CIP Details'!W$9:W$365)&gt;0,SUMIF('CIP Details'!$A$9:$A$365,'Bond Details'!$A25&amp;'Bond Details'!$B25&amp;'Bond Details'!$C25&amp;$D25,'CIP Details'!W$9:W$365),"")</f>
        <v/>
      </c>
      <c r="R25" s="6">
        <f>IF(SUMIF('CIP Details'!$A$9:$A$365,'Bond Details'!$A25&amp;'Bond Details'!$B25&amp;'Bond Details'!$C25&amp;$D25,'CIP Details'!X$9:X$365)&gt;0,SUMIF('CIP Details'!$A$9:$A$365,'Bond Details'!$A25&amp;'Bond Details'!$B25&amp;'Bond Details'!$C25&amp;$D25,'CIP Details'!X$9:X$365),"")</f>
        <v>1000000</v>
      </c>
      <c r="S25" s="6" t="str">
        <f>IF(SUMIF('CIP Details'!$A$9:$A$365,'Bond Details'!$A25&amp;'Bond Details'!$B25&amp;'Bond Details'!$C25&amp;$D25,'CIP Details'!Y$9:Y$365)&gt;0,SUMIF('CIP Details'!$A$9:$A$365,'Bond Details'!$A25&amp;'Bond Details'!$B25&amp;'Bond Details'!$C25&amp;$D25,'CIP Details'!Y$9:Y$365),"")</f>
        <v/>
      </c>
    </row>
    <row r="26" spans="1:19" ht="18.75" x14ac:dyDescent="0.25">
      <c r="A26" s="235" t="s">
        <v>1</v>
      </c>
      <c r="B26" s="114" t="s">
        <v>1</v>
      </c>
      <c r="C26" s="200" t="s">
        <v>194</v>
      </c>
      <c r="D26" s="123" t="s">
        <v>19</v>
      </c>
      <c r="E26" s="6" t="str">
        <f>IF(SUMIF('CIP Details'!$A$9:$A$365,'Bond Details'!$A26&amp;'Bond Details'!$B26&amp;'Bond Details'!$C26&amp;$D26,'CIP Details'!K$9:K$365)&gt;0,SUMIF('CIP Details'!$A$9:$A$365,'Bond Details'!$A26&amp;'Bond Details'!$B26&amp;'Bond Details'!$C26&amp;$D26,'CIP Details'!K$9:K$365),"")</f>
        <v/>
      </c>
      <c r="F26" s="6" t="str">
        <f>IF(SUMIF('CIP Details'!$A$9:$A$365,'Bond Details'!$A26&amp;'Bond Details'!$B26&amp;'Bond Details'!$C26&amp;$D26,'CIP Details'!L$9:L$365)&gt;0,SUMIF('CIP Details'!$A$9:$A$365,'Bond Details'!$A26&amp;'Bond Details'!$B26&amp;'Bond Details'!$C26&amp;$D26,'CIP Details'!L$9:L$365),"")</f>
        <v/>
      </c>
      <c r="G26" s="6" t="str">
        <f>IF(SUMIF('CIP Details'!$A$9:$A$365,'Bond Details'!$A26&amp;'Bond Details'!$B26&amp;'Bond Details'!$C26&amp;$D26,'CIP Details'!M$9:M$365)&gt;0,SUMIF('CIP Details'!$A$9:$A$365,'Bond Details'!$A26&amp;'Bond Details'!$B26&amp;'Bond Details'!$C26&amp;$D26,'CIP Details'!M$9:M$365),"")</f>
        <v/>
      </c>
      <c r="H26" s="215"/>
      <c r="I26" s="6" t="str">
        <f>IF(SUMIF('CIP Details'!$A$9:$A$365,'Bond Details'!$A26&amp;'Bond Details'!$B26&amp;'Bond Details'!$C26&amp;$D26,'CIP Details'!O$9:O$365)&gt;0,SUMIF('CIP Details'!$A$9:$A$365,'Bond Details'!$A26&amp;'Bond Details'!$B26&amp;'Bond Details'!$C26&amp;$D26,'CIP Details'!O$9:O$365),"")</f>
        <v/>
      </c>
      <c r="J26" s="6" t="str">
        <f>IF(SUMIF('CIP Details'!$A$9:$A$365,'Bond Details'!$A26&amp;'Bond Details'!$B26&amp;'Bond Details'!$C26&amp;$D26,'CIP Details'!P$9:P$365)&gt;0,SUMIF('CIP Details'!$A$9:$A$365,'Bond Details'!$A26&amp;'Bond Details'!$B26&amp;'Bond Details'!$C26&amp;$D26,'CIP Details'!P$9:P$365),"")</f>
        <v/>
      </c>
      <c r="K26" s="6" t="str">
        <f>IF(SUMIF('CIP Details'!$A$9:$A$365,'Bond Details'!$A26&amp;'Bond Details'!$B26&amp;'Bond Details'!$C26&amp;$D26,'CIP Details'!Q$9:Q$365)&gt;0,SUMIF('CIP Details'!$A$9:$A$365,'Bond Details'!$A26&amp;'Bond Details'!$B26&amp;'Bond Details'!$C26&amp;$D26,'CIP Details'!Q$9:Q$365),"")</f>
        <v/>
      </c>
      <c r="L26" s="6" t="str">
        <f>IF(SUMIF('CIP Details'!$A$9:$A$365,'Bond Details'!$A26&amp;'Bond Details'!$B26&amp;'Bond Details'!$C26&amp;$D26,'CIP Details'!R$9:R$365)&gt;0,SUMIF('CIP Details'!$A$9:$A$365,'Bond Details'!$A26&amp;'Bond Details'!$B26&amp;'Bond Details'!$C26&amp;$D26,'CIP Details'!R$9:R$365),"")</f>
        <v/>
      </c>
      <c r="M26" s="6" t="str">
        <f>IF(SUMIF('CIP Details'!$A$9:$A$365,'Bond Details'!$A26&amp;'Bond Details'!$B26&amp;'Bond Details'!$C26&amp;$D26,'CIP Details'!S$9:S$365)&gt;0,SUMIF('CIP Details'!$A$9:$A$365,'Bond Details'!$A26&amp;'Bond Details'!$B26&amp;'Bond Details'!$C26&amp;$D26,'CIP Details'!S$9:S$365),"")</f>
        <v/>
      </c>
      <c r="N26" s="6">
        <f>IF(SUMIF('CIP Details'!$A$9:$A$365,'Bond Details'!$A26&amp;'Bond Details'!$B26&amp;'Bond Details'!$C26&amp;$D26,'CIP Details'!T$9:T$365)&gt;0,SUMIF('CIP Details'!$A$9:$A$365,'Bond Details'!$A26&amp;'Bond Details'!$B26&amp;'Bond Details'!$C26&amp;$D26,'CIP Details'!T$9:T$365),"")</f>
        <v>1000000</v>
      </c>
      <c r="O26" s="6">
        <f>IF(SUMIF('CIP Details'!$A$9:$A$365,'Bond Details'!$A26&amp;'Bond Details'!$B26&amp;'Bond Details'!$C26&amp;$D26,'CIP Details'!U$9:U$365)&gt;0,SUMIF('CIP Details'!$A$9:$A$365,'Bond Details'!$A26&amp;'Bond Details'!$B26&amp;'Bond Details'!$C26&amp;$D26,'CIP Details'!U$9:U$365),"")</f>
        <v>1000000</v>
      </c>
      <c r="P26" s="6" t="str">
        <f>IF(SUMIF('CIP Details'!$A$9:$A$365,'Bond Details'!$A26&amp;'Bond Details'!$B26&amp;'Bond Details'!$C26&amp;$D26,'CIP Details'!V$9:V$365)&gt;0,SUMIF('CIP Details'!$A$9:$A$365,'Bond Details'!$A26&amp;'Bond Details'!$B26&amp;'Bond Details'!$C26&amp;$D26,'CIP Details'!V$9:V$365),"")</f>
        <v/>
      </c>
      <c r="Q26" s="6" t="str">
        <f>IF(SUMIF('CIP Details'!$A$9:$A$365,'Bond Details'!$A26&amp;'Bond Details'!$B26&amp;'Bond Details'!$C26&amp;$D26,'CIP Details'!W$9:W$365)&gt;0,SUMIF('CIP Details'!$A$9:$A$365,'Bond Details'!$A26&amp;'Bond Details'!$B26&amp;'Bond Details'!$C26&amp;$D26,'CIP Details'!W$9:W$365),"")</f>
        <v/>
      </c>
      <c r="R26" s="6" t="str">
        <f>IF(SUMIF('CIP Details'!$A$9:$A$365,'Bond Details'!$A26&amp;'Bond Details'!$B26&amp;'Bond Details'!$C26&amp;$D26,'CIP Details'!X$9:X$365)&gt;0,SUMIF('CIP Details'!$A$9:$A$365,'Bond Details'!$A26&amp;'Bond Details'!$B26&amp;'Bond Details'!$C26&amp;$D26,'CIP Details'!X$9:X$365),"")</f>
        <v/>
      </c>
      <c r="S26" s="6" t="str">
        <f>IF(SUMIF('CIP Details'!$A$9:$A$365,'Bond Details'!$A26&amp;'Bond Details'!$B26&amp;'Bond Details'!$C26&amp;$D26,'CIP Details'!Y$9:Y$365)&gt;0,SUMIF('CIP Details'!$A$9:$A$365,'Bond Details'!$A26&amp;'Bond Details'!$B26&amp;'Bond Details'!$C26&amp;$D26,'CIP Details'!Y$9:Y$365),"")</f>
        <v/>
      </c>
    </row>
    <row r="27" spans="1:19" ht="18.75" x14ac:dyDescent="0.25">
      <c r="A27" s="235" t="s">
        <v>1</v>
      </c>
      <c r="B27" s="114" t="s">
        <v>1</v>
      </c>
      <c r="C27" s="200" t="s">
        <v>195</v>
      </c>
      <c r="D27" s="123" t="s">
        <v>19</v>
      </c>
      <c r="E27" s="6" t="str">
        <f>IF(SUMIF('CIP Details'!$A$9:$A$365,'Bond Details'!$A27&amp;'Bond Details'!$B27&amp;'Bond Details'!$C27&amp;$D27,'CIP Details'!K$9:K$365)&gt;0,SUMIF('CIP Details'!$A$9:$A$365,'Bond Details'!$A27&amp;'Bond Details'!$B27&amp;'Bond Details'!$C27&amp;$D27,'CIP Details'!K$9:K$365),"")</f>
        <v/>
      </c>
      <c r="F27" s="6" t="str">
        <f>IF(SUMIF('CIP Details'!$A$9:$A$365,'Bond Details'!$A27&amp;'Bond Details'!$B27&amp;'Bond Details'!$C27&amp;$D27,'CIP Details'!L$9:L$365)&gt;0,SUMIF('CIP Details'!$A$9:$A$365,'Bond Details'!$A27&amp;'Bond Details'!$B27&amp;'Bond Details'!$C27&amp;$D27,'CIP Details'!L$9:L$365),"")</f>
        <v/>
      </c>
      <c r="G27" s="6" t="str">
        <f>IF(SUMIF('CIP Details'!$A$9:$A$365,'Bond Details'!$A27&amp;'Bond Details'!$B27&amp;'Bond Details'!$C27&amp;$D27,'CIP Details'!M$9:M$365)&gt;0,SUMIF('CIP Details'!$A$9:$A$365,'Bond Details'!$A27&amp;'Bond Details'!$B27&amp;'Bond Details'!$C27&amp;$D27,'CIP Details'!M$9:M$365),"")</f>
        <v/>
      </c>
      <c r="H27" s="215"/>
      <c r="I27" s="6" t="str">
        <f>IF(SUMIF('CIP Details'!$A$9:$A$365,'Bond Details'!$A27&amp;'Bond Details'!$B27&amp;'Bond Details'!$C27&amp;$D27,'CIP Details'!O$9:O$365)&gt;0,SUMIF('CIP Details'!$A$9:$A$365,'Bond Details'!$A27&amp;'Bond Details'!$B27&amp;'Bond Details'!$C27&amp;$D27,'CIP Details'!O$9:O$365),"")</f>
        <v/>
      </c>
      <c r="J27" s="6" t="str">
        <f>IF(SUMIF('CIP Details'!$A$9:$A$365,'Bond Details'!$A27&amp;'Bond Details'!$B27&amp;'Bond Details'!$C27&amp;$D27,'CIP Details'!P$9:P$365)&gt;0,SUMIF('CIP Details'!$A$9:$A$365,'Bond Details'!$A27&amp;'Bond Details'!$B27&amp;'Bond Details'!$C27&amp;$D27,'CIP Details'!P$9:P$365),"")</f>
        <v/>
      </c>
      <c r="K27" s="6" t="str">
        <f>IF(SUMIF('CIP Details'!$A$9:$A$365,'Bond Details'!$A27&amp;'Bond Details'!$B27&amp;'Bond Details'!$C27&amp;$D27,'CIP Details'!Q$9:Q$365)&gt;0,SUMIF('CIP Details'!$A$9:$A$365,'Bond Details'!$A27&amp;'Bond Details'!$B27&amp;'Bond Details'!$C27&amp;$D27,'CIP Details'!Q$9:Q$365),"")</f>
        <v/>
      </c>
      <c r="L27" s="6" t="str">
        <f>IF(SUMIF('CIP Details'!$A$9:$A$365,'Bond Details'!$A27&amp;'Bond Details'!$B27&amp;'Bond Details'!$C27&amp;$D27,'CIP Details'!R$9:R$365)&gt;0,SUMIF('CIP Details'!$A$9:$A$365,'Bond Details'!$A27&amp;'Bond Details'!$B27&amp;'Bond Details'!$C27&amp;$D27,'CIP Details'!R$9:R$365),"")</f>
        <v/>
      </c>
      <c r="M27" s="6" t="str">
        <f>IF(SUMIF('CIP Details'!$A$9:$A$365,'Bond Details'!$A27&amp;'Bond Details'!$B27&amp;'Bond Details'!$C27&amp;$D27,'CIP Details'!S$9:S$365)&gt;0,SUMIF('CIP Details'!$A$9:$A$365,'Bond Details'!$A27&amp;'Bond Details'!$B27&amp;'Bond Details'!$C27&amp;$D27,'CIP Details'!S$9:S$365),"")</f>
        <v/>
      </c>
      <c r="N27" s="6">
        <f>IF(SUMIF('CIP Details'!$A$9:$A$365,'Bond Details'!$A27&amp;'Bond Details'!$B27&amp;'Bond Details'!$C27&amp;$D27,'CIP Details'!T$9:T$365)&gt;0,SUMIF('CIP Details'!$A$9:$A$365,'Bond Details'!$A27&amp;'Bond Details'!$B27&amp;'Bond Details'!$C27&amp;$D27,'CIP Details'!T$9:T$365),"")</f>
        <v>1000000</v>
      </c>
      <c r="O27" s="6">
        <f>IF(SUMIF('CIP Details'!$A$9:$A$365,'Bond Details'!$A27&amp;'Bond Details'!$B27&amp;'Bond Details'!$C27&amp;$D27,'CIP Details'!U$9:U$365)&gt;0,SUMIF('CIP Details'!$A$9:$A$365,'Bond Details'!$A27&amp;'Bond Details'!$B27&amp;'Bond Details'!$C27&amp;$D27,'CIP Details'!U$9:U$365),"")</f>
        <v>1000000</v>
      </c>
      <c r="P27" s="6" t="str">
        <f>IF(SUMIF('CIP Details'!$A$9:$A$365,'Bond Details'!$A27&amp;'Bond Details'!$B27&amp;'Bond Details'!$C27&amp;$D27,'CIP Details'!V$9:V$365)&gt;0,SUMIF('CIP Details'!$A$9:$A$365,'Bond Details'!$A27&amp;'Bond Details'!$B27&amp;'Bond Details'!$C27&amp;$D27,'CIP Details'!V$9:V$365),"")</f>
        <v/>
      </c>
      <c r="Q27" s="6" t="str">
        <f>IF(SUMIF('CIP Details'!$A$9:$A$365,'Bond Details'!$A27&amp;'Bond Details'!$B27&amp;'Bond Details'!$C27&amp;$D27,'CIP Details'!W$9:W$365)&gt;0,SUMIF('CIP Details'!$A$9:$A$365,'Bond Details'!$A27&amp;'Bond Details'!$B27&amp;'Bond Details'!$C27&amp;$D27,'CIP Details'!W$9:W$365),"")</f>
        <v/>
      </c>
      <c r="R27" s="6" t="str">
        <f>IF(SUMIF('CIP Details'!$A$9:$A$365,'Bond Details'!$A27&amp;'Bond Details'!$B27&amp;'Bond Details'!$C27&amp;$D27,'CIP Details'!X$9:X$365)&gt;0,SUMIF('CIP Details'!$A$9:$A$365,'Bond Details'!$A27&amp;'Bond Details'!$B27&amp;'Bond Details'!$C27&amp;$D27,'CIP Details'!X$9:X$365),"")</f>
        <v/>
      </c>
      <c r="S27" s="6" t="str">
        <f>IF(SUMIF('CIP Details'!$A$9:$A$365,'Bond Details'!$A27&amp;'Bond Details'!$B27&amp;'Bond Details'!$C27&amp;$D27,'CIP Details'!Y$9:Y$365)&gt;0,SUMIF('CIP Details'!$A$9:$A$365,'Bond Details'!$A27&amp;'Bond Details'!$B27&amp;'Bond Details'!$C27&amp;$D27,'CIP Details'!Y$9:Y$365),"")</f>
        <v/>
      </c>
    </row>
    <row r="28" spans="1:19" ht="18.75" x14ac:dyDescent="0.25">
      <c r="A28" s="235" t="s">
        <v>1</v>
      </c>
      <c r="B28" s="114" t="s">
        <v>1</v>
      </c>
      <c r="C28" s="200" t="s">
        <v>726</v>
      </c>
      <c r="D28" s="123" t="s">
        <v>19</v>
      </c>
      <c r="E28" s="6" t="str">
        <f>IF(SUMIF('CIP Details'!$A$9:$A$365,'Bond Details'!$A28&amp;'Bond Details'!$B28&amp;'Bond Details'!$C28&amp;$D28,'CIP Details'!K$9:K$365)&gt;0,SUMIF('CIP Details'!$A$9:$A$365,'Bond Details'!$A28&amp;'Bond Details'!$B28&amp;'Bond Details'!$C28&amp;$D28,'CIP Details'!K$9:K$365),"")</f>
        <v/>
      </c>
      <c r="F28" s="6" t="str">
        <f>IF(SUMIF('CIP Details'!$A$9:$A$365,'Bond Details'!$A28&amp;'Bond Details'!$B28&amp;'Bond Details'!$C28&amp;$D28,'CIP Details'!L$9:L$365)&gt;0,SUMIF('CIP Details'!$A$9:$A$365,'Bond Details'!$A28&amp;'Bond Details'!$B28&amp;'Bond Details'!$C28&amp;$D28,'CIP Details'!L$9:L$365),"")</f>
        <v/>
      </c>
      <c r="G28" s="6" t="str">
        <f>IF(SUMIF('CIP Details'!$A$9:$A$365,'Bond Details'!$A28&amp;'Bond Details'!$B28&amp;'Bond Details'!$C28&amp;$D28,'CIP Details'!M$9:M$365)&gt;0,SUMIF('CIP Details'!$A$9:$A$365,'Bond Details'!$A28&amp;'Bond Details'!$B28&amp;'Bond Details'!$C28&amp;$D28,'CIP Details'!M$9:M$365),"")</f>
        <v/>
      </c>
      <c r="H28" s="215"/>
      <c r="I28" s="6" t="str">
        <f>IF(SUMIF('CIP Details'!$A$9:$A$365,'Bond Details'!$A28&amp;'Bond Details'!$B28&amp;'Bond Details'!$C28&amp;$D28,'CIP Details'!O$9:O$365)&gt;0,SUMIF('CIP Details'!$A$9:$A$365,'Bond Details'!$A28&amp;'Bond Details'!$B28&amp;'Bond Details'!$C28&amp;$D28,'CIP Details'!O$9:O$365),"")</f>
        <v/>
      </c>
      <c r="J28" s="6" t="str">
        <f>IF(SUMIF('CIP Details'!$A$9:$A$365,'Bond Details'!$A28&amp;'Bond Details'!$B28&amp;'Bond Details'!$C28&amp;$D28,'CIP Details'!P$9:P$365)&gt;0,SUMIF('CIP Details'!$A$9:$A$365,'Bond Details'!$A28&amp;'Bond Details'!$B28&amp;'Bond Details'!$C28&amp;$D28,'CIP Details'!P$9:P$365),"")</f>
        <v/>
      </c>
      <c r="K28" s="6" t="str">
        <f>IF(SUMIF('CIP Details'!$A$9:$A$365,'Bond Details'!$A28&amp;'Bond Details'!$B28&amp;'Bond Details'!$C28&amp;$D28,'CIP Details'!Q$9:Q$365)&gt;0,SUMIF('CIP Details'!$A$9:$A$365,'Bond Details'!$A28&amp;'Bond Details'!$B28&amp;'Bond Details'!$C28&amp;$D28,'CIP Details'!Q$9:Q$365),"")</f>
        <v/>
      </c>
      <c r="L28" s="6" t="str">
        <f>IF(SUMIF('CIP Details'!$A$9:$A$365,'Bond Details'!$A28&amp;'Bond Details'!$B28&amp;'Bond Details'!$C28&amp;$D28,'CIP Details'!R$9:R$365)&gt;0,SUMIF('CIP Details'!$A$9:$A$365,'Bond Details'!$A28&amp;'Bond Details'!$B28&amp;'Bond Details'!$C28&amp;$D28,'CIP Details'!R$9:R$365),"")</f>
        <v/>
      </c>
      <c r="M28" s="6">
        <f>IF(SUMIF('CIP Details'!$A$9:$A$365,'Bond Details'!$A28&amp;'Bond Details'!$B28&amp;'Bond Details'!$C28&amp;$D28,'CIP Details'!S$9:S$365)&gt;0,SUMIF('CIP Details'!$A$9:$A$365,'Bond Details'!$A28&amp;'Bond Details'!$B28&amp;'Bond Details'!$C28&amp;$D28,'CIP Details'!S$9:S$365),"")</f>
        <v>1000000</v>
      </c>
      <c r="N28" s="6" t="str">
        <f>IF(SUMIF('CIP Details'!$A$9:$A$365,'Bond Details'!$A28&amp;'Bond Details'!$B28&amp;'Bond Details'!$C28&amp;$D28,'CIP Details'!T$9:T$365)&gt;0,SUMIF('CIP Details'!$A$9:$A$365,'Bond Details'!$A28&amp;'Bond Details'!$B28&amp;'Bond Details'!$C28&amp;$D28,'CIP Details'!T$9:T$365),"")</f>
        <v/>
      </c>
      <c r="O28" s="6" t="str">
        <f>IF(SUMIF('CIP Details'!$A$9:$A$365,'Bond Details'!$A28&amp;'Bond Details'!$B28&amp;'Bond Details'!$C28&amp;$D28,'CIP Details'!U$9:U$365)&gt;0,SUMIF('CIP Details'!$A$9:$A$365,'Bond Details'!$A28&amp;'Bond Details'!$B28&amp;'Bond Details'!$C28&amp;$D28,'CIP Details'!U$9:U$365),"")</f>
        <v/>
      </c>
      <c r="P28" s="6" t="str">
        <f>IF(SUMIF('CIP Details'!$A$9:$A$365,'Bond Details'!$A28&amp;'Bond Details'!$B28&amp;'Bond Details'!$C28&amp;$D28,'CIP Details'!V$9:V$365)&gt;0,SUMIF('CIP Details'!$A$9:$A$365,'Bond Details'!$A28&amp;'Bond Details'!$B28&amp;'Bond Details'!$C28&amp;$D28,'CIP Details'!V$9:V$365),"")</f>
        <v/>
      </c>
      <c r="Q28" s="6" t="str">
        <f>IF(SUMIF('CIP Details'!$A$9:$A$365,'Bond Details'!$A28&amp;'Bond Details'!$B28&amp;'Bond Details'!$C28&amp;$D28,'CIP Details'!W$9:W$365)&gt;0,SUMIF('CIP Details'!$A$9:$A$365,'Bond Details'!$A28&amp;'Bond Details'!$B28&amp;'Bond Details'!$C28&amp;$D28,'CIP Details'!W$9:W$365),"")</f>
        <v/>
      </c>
      <c r="R28" s="6" t="str">
        <f>IF(SUMIF('CIP Details'!$A$9:$A$365,'Bond Details'!$A28&amp;'Bond Details'!$B28&amp;'Bond Details'!$C28&amp;$D28,'CIP Details'!X$9:X$365)&gt;0,SUMIF('CIP Details'!$A$9:$A$365,'Bond Details'!$A28&amp;'Bond Details'!$B28&amp;'Bond Details'!$C28&amp;$D28,'CIP Details'!X$9:X$365),"")</f>
        <v/>
      </c>
      <c r="S28" s="6" t="str">
        <f>IF(SUMIF('CIP Details'!$A$9:$A$365,'Bond Details'!$A28&amp;'Bond Details'!$B28&amp;'Bond Details'!$C28&amp;$D28,'CIP Details'!Y$9:Y$365)&gt;0,SUMIF('CIP Details'!$A$9:$A$365,'Bond Details'!$A28&amp;'Bond Details'!$B28&amp;'Bond Details'!$C28&amp;$D28,'CIP Details'!Y$9:Y$365),"")</f>
        <v/>
      </c>
    </row>
    <row r="29" spans="1:19" ht="18.75" x14ac:dyDescent="0.25">
      <c r="A29" s="235" t="s">
        <v>1</v>
      </c>
      <c r="B29" s="114" t="s">
        <v>1</v>
      </c>
      <c r="C29" s="200" t="s">
        <v>240</v>
      </c>
      <c r="D29" s="123" t="s">
        <v>19</v>
      </c>
      <c r="E29" s="6" t="str">
        <f>IF(SUMIF('CIP Details'!$A$9:$A$365,'Bond Details'!$A29&amp;'Bond Details'!$B29&amp;'Bond Details'!$C29&amp;$D29,'CIP Details'!K$9:K$365)&gt;0,SUMIF('CIP Details'!$A$9:$A$365,'Bond Details'!$A29&amp;'Bond Details'!$B29&amp;'Bond Details'!$C29&amp;$D29,'CIP Details'!K$9:K$365),"")</f>
        <v/>
      </c>
      <c r="F29" s="6" t="str">
        <f>IF(SUMIF('CIP Details'!$A$9:$A$365,'Bond Details'!$A29&amp;'Bond Details'!$B29&amp;'Bond Details'!$C29&amp;$D29,'CIP Details'!L$9:L$365)&gt;0,SUMIF('CIP Details'!$A$9:$A$365,'Bond Details'!$A29&amp;'Bond Details'!$B29&amp;'Bond Details'!$C29&amp;$D29,'CIP Details'!L$9:L$365),"")</f>
        <v/>
      </c>
      <c r="G29" s="6" t="str">
        <f>IF(SUMIF('CIP Details'!$A$9:$A$365,'Bond Details'!$A29&amp;'Bond Details'!$B29&amp;'Bond Details'!$C29&amp;$D29,'CIP Details'!M$9:M$365)&gt;0,SUMIF('CIP Details'!$A$9:$A$365,'Bond Details'!$A29&amp;'Bond Details'!$B29&amp;'Bond Details'!$C29&amp;$D29,'CIP Details'!M$9:M$365),"")</f>
        <v/>
      </c>
      <c r="H29" s="215"/>
      <c r="I29" s="6" t="str">
        <f>IF(SUMIF('CIP Details'!$A$9:$A$365,'Bond Details'!$A29&amp;'Bond Details'!$B29&amp;'Bond Details'!$C29&amp;$D29,'CIP Details'!O$9:O$365)&gt;0,SUMIF('CIP Details'!$A$9:$A$365,'Bond Details'!$A29&amp;'Bond Details'!$B29&amp;'Bond Details'!$C29&amp;$D29,'CIP Details'!O$9:O$365),"")</f>
        <v/>
      </c>
      <c r="J29" s="6">
        <f>IF(SUMIF('CIP Details'!$A$9:$A$365,'Bond Details'!$A29&amp;'Bond Details'!$B29&amp;'Bond Details'!$C29&amp;$D29,'CIP Details'!P$9:P$365)&gt;0,SUMIF('CIP Details'!$A$9:$A$365,'Bond Details'!$A29&amp;'Bond Details'!$B29&amp;'Bond Details'!$C29&amp;$D29,'CIP Details'!P$9:P$365),"")</f>
        <v>2800000</v>
      </c>
      <c r="K29" s="6" t="str">
        <f>IF(SUMIF('CIP Details'!$A$9:$A$365,'Bond Details'!$A29&amp;'Bond Details'!$B29&amp;'Bond Details'!$C29&amp;$D29,'CIP Details'!Q$9:Q$365)&gt;0,SUMIF('CIP Details'!$A$9:$A$365,'Bond Details'!$A29&amp;'Bond Details'!$B29&amp;'Bond Details'!$C29&amp;$D29,'CIP Details'!Q$9:Q$365),"")</f>
        <v/>
      </c>
      <c r="L29" s="6" t="str">
        <f>IF(SUMIF('CIP Details'!$A$9:$A$365,'Bond Details'!$A29&amp;'Bond Details'!$B29&amp;'Bond Details'!$C29&amp;$D29,'CIP Details'!R$9:R$365)&gt;0,SUMIF('CIP Details'!$A$9:$A$365,'Bond Details'!$A29&amp;'Bond Details'!$B29&amp;'Bond Details'!$C29&amp;$D29,'CIP Details'!R$9:R$365),"")</f>
        <v/>
      </c>
      <c r="M29" s="6" t="str">
        <f>IF(SUMIF('CIP Details'!$A$9:$A$365,'Bond Details'!$A29&amp;'Bond Details'!$B29&amp;'Bond Details'!$C29&amp;$D29,'CIP Details'!S$9:S$365)&gt;0,SUMIF('CIP Details'!$A$9:$A$365,'Bond Details'!$A29&amp;'Bond Details'!$B29&amp;'Bond Details'!$C29&amp;$D29,'CIP Details'!S$9:S$365),"")</f>
        <v/>
      </c>
      <c r="N29" s="6" t="str">
        <f>IF(SUMIF('CIP Details'!$A$9:$A$365,'Bond Details'!$A29&amp;'Bond Details'!$B29&amp;'Bond Details'!$C29&amp;$D29,'CIP Details'!T$9:T$365)&gt;0,SUMIF('CIP Details'!$A$9:$A$365,'Bond Details'!$A29&amp;'Bond Details'!$B29&amp;'Bond Details'!$C29&amp;$D29,'CIP Details'!T$9:T$365),"")</f>
        <v/>
      </c>
      <c r="O29" s="6" t="str">
        <f>IF(SUMIF('CIP Details'!$A$9:$A$365,'Bond Details'!$A29&amp;'Bond Details'!$B29&amp;'Bond Details'!$C29&amp;$D29,'CIP Details'!U$9:U$365)&gt;0,SUMIF('CIP Details'!$A$9:$A$365,'Bond Details'!$A29&amp;'Bond Details'!$B29&amp;'Bond Details'!$C29&amp;$D29,'CIP Details'!U$9:U$365),"")</f>
        <v/>
      </c>
      <c r="P29" s="6" t="str">
        <f>IF(SUMIF('CIP Details'!$A$9:$A$365,'Bond Details'!$A29&amp;'Bond Details'!$B29&amp;'Bond Details'!$C29&amp;$D29,'CIP Details'!V$9:V$365)&gt;0,SUMIF('CIP Details'!$A$9:$A$365,'Bond Details'!$A29&amp;'Bond Details'!$B29&amp;'Bond Details'!$C29&amp;$D29,'CIP Details'!V$9:V$365),"")</f>
        <v/>
      </c>
      <c r="Q29" s="6" t="str">
        <f>IF(SUMIF('CIP Details'!$A$9:$A$365,'Bond Details'!$A29&amp;'Bond Details'!$B29&amp;'Bond Details'!$C29&amp;$D29,'CIP Details'!W$9:W$365)&gt;0,SUMIF('CIP Details'!$A$9:$A$365,'Bond Details'!$A29&amp;'Bond Details'!$B29&amp;'Bond Details'!$C29&amp;$D29,'CIP Details'!W$9:W$365),"")</f>
        <v/>
      </c>
      <c r="R29" s="6" t="str">
        <f>IF(SUMIF('CIP Details'!$A$9:$A$365,'Bond Details'!$A29&amp;'Bond Details'!$B29&amp;'Bond Details'!$C29&amp;$D29,'CIP Details'!X$9:X$365)&gt;0,SUMIF('CIP Details'!$A$9:$A$365,'Bond Details'!$A29&amp;'Bond Details'!$B29&amp;'Bond Details'!$C29&amp;$D29,'CIP Details'!X$9:X$365),"")</f>
        <v/>
      </c>
      <c r="S29" s="6" t="str">
        <f>IF(SUMIF('CIP Details'!$A$9:$A$365,'Bond Details'!$A29&amp;'Bond Details'!$B29&amp;'Bond Details'!$C29&amp;$D29,'CIP Details'!Y$9:Y$365)&gt;0,SUMIF('CIP Details'!$A$9:$A$365,'Bond Details'!$A29&amp;'Bond Details'!$B29&amp;'Bond Details'!$C29&amp;$D29,'CIP Details'!Y$9:Y$365),"")</f>
        <v/>
      </c>
    </row>
    <row r="30" spans="1:19" ht="18.75" x14ac:dyDescent="0.25">
      <c r="A30" s="235" t="s">
        <v>1</v>
      </c>
      <c r="B30" s="114" t="s">
        <v>1</v>
      </c>
      <c r="C30" s="200" t="s">
        <v>198</v>
      </c>
      <c r="D30" s="123" t="s">
        <v>19</v>
      </c>
      <c r="E30" s="6" t="str">
        <f>IF(SUMIF('CIP Details'!$A$9:$A$365,'Bond Details'!$A30&amp;'Bond Details'!$B30&amp;'Bond Details'!$C30&amp;$D30,'CIP Details'!K$9:K$365)&gt;0,SUMIF('CIP Details'!$A$9:$A$365,'Bond Details'!$A30&amp;'Bond Details'!$B30&amp;'Bond Details'!$C30&amp;$D30,'CIP Details'!K$9:K$365),"")</f>
        <v/>
      </c>
      <c r="F30" s="6" t="str">
        <f>IF(SUMIF('CIP Details'!$A$9:$A$365,'Bond Details'!$A30&amp;'Bond Details'!$B30&amp;'Bond Details'!$C30&amp;$D30,'CIP Details'!L$9:L$365)&gt;0,SUMIF('CIP Details'!$A$9:$A$365,'Bond Details'!$A30&amp;'Bond Details'!$B30&amp;'Bond Details'!$C30&amp;$D30,'CIP Details'!L$9:L$365),"")</f>
        <v/>
      </c>
      <c r="G30" s="6" t="str">
        <f>IF(SUMIF('CIP Details'!$A$9:$A$365,'Bond Details'!$A30&amp;'Bond Details'!$B30&amp;'Bond Details'!$C30&amp;$D30,'CIP Details'!M$9:M$365)&gt;0,SUMIF('CIP Details'!$A$9:$A$365,'Bond Details'!$A30&amp;'Bond Details'!$B30&amp;'Bond Details'!$C30&amp;$D30,'CIP Details'!M$9:M$365),"")</f>
        <v/>
      </c>
      <c r="H30" s="215"/>
      <c r="I30" s="6" t="str">
        <f>IF(SUMIF('CIP Details'!$A$9:$A$365,'Bond Details'!$A30&amp;'Bond Details'!$B30&amp;'Bond Details'!$C30&amp;$D30,'CIP Details'!O$9:O$365)&gt;0,SUMIF('CIP Details'!$A$9:$A$365,'Bond Details'!$A30&amp;'Bond Details'!$B30&amp;'Bond Details'!$C30&amp;$D30,'CIP Details'!O$9:O$365),"")</f>
        <v/>
      </c>
      <c r="J30" s="6" t="str">
        <f>IF(SUMIF('CIP Details'!$A$9:$A$365,'Bond Details'!$A30&amp;'Bond Details'!$B30&amp;'Bond Details'!$C30&amp;$D30,'CIP Details'!P$9:P$365)&gt;0,SUMIF('CIP Details'!$A$9:$A$365,'Bond Details'!$A30&amp;'Bond Details'!$B30&amp;'Bond Details'!$C30&amp;$D30,'CIP Details'!P$9:P$365),"")</f>
        <v/>
      </c>
      <c r="K30" s="6">
        <f>IF(SUMIF('CIP Details'!$A$9:$A$365,'Bond Details'!$A30&amp;'Bond Details'!$B30&amp;'Bond Details'!$C30&amp;$D30,'CIP Details'!Q$9:Q$365)&gt;0,SUMIF('CIP Details'!$A$9:$A$365,'Bond Details'!$A30&amp;'Bond Details'!$B30&amp;'Bond Details'!$C30&amp;$D30,'CIP Details'!Q$9:Q$365),"")</f>
        <v>2800000</v>
      </c>
      <c r="L30" s="6" t="str">
        <f>IF(SUMIF('CIP Details'!$A$9:$A$365,'Bond Details'!$A30&amp;'Bond Details'!$B30&amp;'Bond Details'!$C30&amp;$D30,'CIP Details'!R$9:R$365)&gt;0,SUMIF('CIP Details'!$A$9:$A$365,'Bond Details'!$A30&amp;'Bond Details'!$B30&amp;'Bond Details'!$C30&amp;$D30,'CIP Details'!R$9:R$365),"")</f>
        <v/>
      </c>
      <c r="M30" s="6" t="str">
        <f>IF(SUMIF('CIP Details'!$A$9:$A$365,'Bond Details'!$A30&amp;'Bond Details'!$B30&amp;'Bond Details'!$C30&amp;$D30,'CIP Details'!S$9:S$365)&gt;0,SUMIF('CIP Details'!$A$9:$A$365,'Bond Details'!$A30&amp;'Bond Details'!$B30&amp;'Bond Details'!$C30&amp;$D30,'CIP Details'!S$9:S$365),"")</f>
        <v/>
      </c>
      <c r="N30" s="6" t="str">
        <f>IF(SUMIF('CIP Details'!$A$9:$A$365,'Bond Details'!$A30&amp;'Bond Details'!$B30&amp;'Bond Details'!$C30&amp;$D30,'CIP Details'!T$9:T$365)&gt;0,SUMIF('CIP Details'!$A$9:$A$365,'Bond Details'!$A30&amp;'Bond Details'!$B30&amp;'Bond Details'!$C30&amp;$D30,'CIP Details'!T$9:T$365),"")</f>
        <v/>
      </c>
      <c r="O30" s="6" t="str">
        <f>IF(SUMIF('CIP Details'!$A$9:$A$365,'Bond Details'!$A30&amp;'Bond Details'!$B30&amp;'Bond Details'!$C30&amp;$D30,'CIP Details'!U$9:U$365)&gt;0,SUMIF('CIP Details'!$A$9:$A$365,'Bond Details'!$A30&amp;'Bond Details'!$B30&amp;'Bond Details'!$C30&amp;$D30,'CIP Details'!U$9:U$365),"")</f>
        <v/>
      </c>
      <c r="P30" s="6" t="str">
        <f>IF(SUMIF('CIP Details'!$A$9:$A$365,'Bond Details'!$A30&amp;'Bond Details'!$B30&amp;'Bond Details'!$C30&amp;$D30,'CIP Details'!V$9:V$365)&gt;0,SUMIF('CIP Details'!$A$9:$A$365,'Bond Details'!$A30&amp;'Bond Details'!$B30&amp;'Bond Details'!$C30&amp;$D30,'CIP Details'!V$9:V$365),"")</f>
        <v/>
      </c>
      <c r="Q30" s="6" t="str">
        <f>IF(SUMIF('CIP Details'!$A$9:$A$365,'Bond Details'!$A30&amp;'Bond Details'!$B30&amp;'Bond Details'!$C30&amp;$D30,'CIP Details'!W$9:W$365)&gt;0,SUMIF('CIP Details'!$A$9:$A$365,'Bond Details'!$A30&amp;'Bond Details'!$B30&amp;'Bond Details'!$C30&amp;$D30,'CIP Details'!W$9:W$365),"")</f>
        <v/>
      </c>
      <c r="R30" s="6" t="str">
        <f>IF(SUMIF('CIP Details'!$A$9:$A$365,'Bond Details'!$A30&amp;'Bond Details'!$B30&amp;'Bond Details'!$C30&amp;$D30,'CIP Details'!X$9:X$365)&gt;0,SUMIF('CIP Details'!$A$9:$A$365,'Bond Details'!$A30&amp;'Bond Details'!$B30&amp;'Bond Details'!$C30&amp;$D30,'CIP Details'!X$9:X$365),"")</f>
        <v/>
      </c>
      <c r="S30" s="6" t="str">
        <f>IF(SUMIF('CIP Details'!$A$9:$A$365,'Bond Details'!$A30&amp;'Bond Details'!$B30&amp;'Bond Details'!$C30&amp;$D30,'CIP Details'!Y$9:Y$365)&gt;0,SUMIF('CIP Details'!$A$9:$A$365,'Bond Details'!$A30&amp;'Bond Details'!$B30&amp;'Bond Details'!$C30&amp;$D30,'CIP Details'!Y$9:Y$365),"")</f>
        <v/>
      </c>
    </row>
    <row r="31" spans="1:19" ht="18.75" x14ac:dyDescent="0.25">
      <c r="A31" s="235" t="s">
        <v>1</v>
      </c>
      <c r="B31" s="114" t="s">
        <v>1</v>
      </c>
      <c r="C31" s="200" t="s">
        <v>199</v>
      </c>
      <c r="D31" s="123" t="s">
        <v>19</v>
      </c>
      <c r="E31" s="6" t="str">
        <f>IF(SUMIF('CIP Details'!$A$9:$A$365,'Bond Details'!$A31&amp;'Bond Details'!$B31&amp;'Bond Details'!$C31&amp;$D31,'CIP Details'!K$9:K$365)&gt;0,SUMIF('CIP Details'!$A$9:$A$365,'Bond Details'!$A31&amp;'Bond Details'!$B31&amp;'Bond Details'!$C31&amp;$D31,'CIP Details'!K$9:K$365),"")</f>
        <v/>
      </c>
      <c r="F31" s="6" t="str">
        <f>IF(SUMIF('CIP Details'!$A$9:$A$365,'Bond Details'!$A31&amp;'Bond Details'!$B31&amp;'Bond Details'!$C31&amp;$D31,'CIP Details'!L$9:L$365)&gt;0,SUMIF('CIP Details'!$A$9:$A$365,'Bond Details'!$A31&amp;'Bond Details'!$B31&amp;'Bond Details'!$C31&amp;$D31,'CIP Details'!L$9:L$365),"")</f>
        <v/>
      </c>
      <c r="G31" s="6" t="str">
        <f>IF(SUMIF('CIP Details'!$A$9:$A$365,'Bond Details'!$A31&amp;'Bond Details'!$B31&amp;'Bond Details'!$C31&amp;$D31,'CIP Details'!M$9:M$365)&gt;0,SUMIF('CIP Details'!$A$9:$A$365,'Bond Details'!$A31&amp;'Bond Details'!$B31&amp;'Bond Details'!$C31&amp;$D31,'CIP Details'!M$9:M$365),"")</f>
        <v/>
      </c>
      <c r="H31" s="215"/>
      <c r="I31" s="6" t="str">
        <f>IF(SUMIF('CIP Details'!$A$9:$A$365,'Bond Details'!$A31&amp;'Bond Details'!$B31&amp;'Bond Details'!$C31&amp;$D31,'CIP Details'!O$9:O$365)&gt;0,SUMIF('CIP Details'!$A$9:$A$365,'Bond Details'!$A31&amp;'Bond Details'!$B31&amp;'Bond Details'!$C31&amp;$D31,'CIP Details'!O$9:O$365),"")</f>
        <v/>
      </c>
      <c r="J31" s="6" t="str">
        <f>IF(SUMIF('CIP Details'!$A$9:$A$365,'Bond Details'!$A31&amp;'Bond Details'!$B31&amp;'Bond Details'!$C31&amp;$D31,'CIP Details'!P$9:P$365)&gt;0,SUMIF('CIP Details'!$A$9:$A$365,'Bond Details'!$A31&amp;'Bond Details'!$B31&amp;'Bond Details'!$C31&amp;$D31,'CIP Details'!P$9:P$365),"")</f>
        <v/>
      </c>
      <c r="K31" s="6" t="str">
        <f>IF(SUMIF('CIP Details'!$A$9:$A$365,'Bond Details'!$A31&amp;'Bond Details'!$B31&amp;'Bond Details'!$C31&amp;$D31,'CIP Details'!Q$9:Q$365)&gt;0,SUMIF('CIP Details'!$A$9:$A$365,'Bond Details'!$A31&amp;'Bond Details'!$B31&amp;'Bond Details'!$C31&amp;$D31,'CIP Details'!Q$9:Q$365),"")</f>
        <v/>
      </c>
      <c r="L31" s="6">
        <f>IF(SUMIF('CIP Details'!$A$9:$A$365,'Bond Details'!$A31&amp;'Bond Details'!$B31&amp;'Bond Details'!$C31&amp;$D31,'CIP Details'!R$9:R$365)&gt;0,SUMIF('CIP Details'!$A$9:$A$365,'Bond Details'!$A31&amp;'Bond Details'!$B31&amp;'Bond Details'!$C31&amp;$D31,'CIP Details'!R$9:R$365),"")</f>
        <v>2800000</v>
      </c>
      <c r="M31" s="6" t="str">
        <f>IF(SUMIF('CIP Details'!$A$9:$A$365,'Bond Details'!$A31&amp;'Bond Details'!$B31&amp;'Bond Details'!$C31&amp;$D31,'CIP Details'!S$9:S$365)&gt;0,SUMIF('CIP Details'!$A$9:$A$365,'Bond Details'!$A31&amp;'Bond Details'!$B31&amp;'Bond Details'!$C31&amp;$D31,'CIP Details'!S$9:S$365),"")</f>
        <v/>
      </c>
      <c r="N31" s="6" t="str">
        <f>IF(SUMIF('CIP Details'!$A$9:$A$365,'Bond Details'!$A31&amp;'Bond Details'!$B31&amp;'Bond Details'!$C31&amp;$D31,'CIP Details'!T$9:T$365)&gt;0,SUMIF('CIP Details'!$A$9:$A$365,'Bond Details'!$A31&amp;'Bond Details'!$B31&amp;'Bond Details'!$C31&amp;$D31,'CIP Details'!T$9:T$365),"")</f>
        <v/>
      </c>
      <c r="O31" s="6" t="str">
        <f>IF(SUMIF('CIP Details'!$A$9:$A$365,'Bond Details'!$A31&amp;'Bond Details'!$B31&amp;'Bond Details'!$C31&amp;$D31,'CIP Details'!U$9:U$365)&gt;0,SUMIF('CIP Details'!$A$9:$A$365,'Bond Details'!$A31&amp;'Bond Details'!$B31&amp;'Bond Details'!$C31&amp;$D31,'CIP Details'!U$9:U$365),"")</f>
        <v/>
      </c>
      <c r="P31" s="6" t="str">
        <f>IF(SUMIF('CIP Details'!$A$9:$A$365,'Bond Details'!$A31&amp;'Bond Details'!$B31&amp;'Bond Details'!$C31&amp;$D31,'CIP Details'!V$9:V$365)&gt;0,SUMIF('CIP Details'!$A$9:$A$365,'Bond Details'!$A31&amp;'Bond Details'!$B31&amp;'Bond Details'!$C31&amp;$D31,'CIP Details'!V$9:V$365),"")</f>
        <v/>
      </c>
      <c r="Q31" s="6" t="str">
        <f>IF(SUMIF('CIP Details'!$A$9:$A$365,'Bond Details'!$A31&amp;'Bond Details'!$B31&amp;'Bond Details'!$C31&amp;$D31,'CIP Details'!W$9:W$365)&gt;0,SUMIF('CIP Details'!$A$9:$A$365,'Bond Details'!$A31&amp;'Bond Details'!$B31&amp;'Bond Details'!$C31&amp;$D31,'CIP Details'!W$9:W$365),"")</f>
        <v/>
      </c>
      <c r="R31" s="6" t="str">
        <f>IF(SUMIF('CIP Details'!$A$9:$A$365,'Bond Details'!$A31&amp;'Bond Details'!$B31&amp;'Bond Details'!$C31&amp;$D31,'CIP Details'!X$9:X$365)&gt;0,SUMIF('CIP Details'!$A$9:$A$365,'Bond Details'!$A31&amp;'Bond Details'!$B31&amp;'Bond Details'!$C31&amp;$D31,'CIP Details'!X$9:X$365),"")</f>
        <v/>
      </c>
      <c r="S31" s="6" t="str">
        <f>IF(SUMIF('CIP Details'!$A$9:$A$365,'Bond Details'!$A31&amp;'Bond Details'!$B31&amp;'Bond Details'!$C31&amp;$D31,'CIP Details'!Y$9:Y$365)&gt;0,SUMIF('CIP Details'!$A$9:$A$365,'Bond Details'!$A31&amp;'Bond Details'!$B31&amp;'Bond Details'!$C31&amp;$D31,'CIP Details'!Y$9:Y$365),"")</f>
        <v/>
      </c>
    </row>
    <row r="32" spans="1:19" ht="18.75" x14ac:dyDescent="0.25">
      <c r="A32" s="235" t="s">
        <v>1</v>
      </c>
      <c r="B32" s="114" t="s">
        <v>1</v>
      </c>
      <c r="C32" s="297" t="s">
        <v>912</v>
      </c>
      <c r="D32" s="1" t="s">
        <v>19</v>
      </c>
      <c r="E32" s="6" t="str">
        <f>IF(SUMIF('CIP Details'!$A$9:$A$365,'Bond Details'!$A32&amp;'Bond Details'!$B32&amp;'Bond Details'!$C32&amp;$D32,'CIP Details'!K$9:K$365)&gt;0,SUMIF('CIP Details'!$A$9:$A$365,'Bond Details'!$A32&amp;'Bond Details'!$B32&amp;'Bond Details'!$C32&amp;$D32,'CIP Details'!K$9:K$365),"")</f>
        <v/>
      </c>
      <c r="F32" s="6" t="str">
        <f>IF(SUMIF('CIP Details'!$A$9:$A$365,'Bond Details'!$A32&amp;'Bond Details'!$B32&amp;'Bond Details'!$C32&amp;$D32,'CIP Details'!L$9:L$365)&gt;0,SUMIF('CIP Details'!$A$9:$A$365,'Bond Details'!$A32&amp;'Bond Details'!$B32&amp;'Bond Details'!$C32&amp;$D32,'CIP Details'!L$9:L$365),"")</f>
        <v/>
      </c>
      <c r="G32" s="6" t="str">
        <f>IF(SUMIF('CIP Details'!$A$9:$A$365,'Bond Details'!$A32&amp;'Bond Details'!$B32&amp;'Bond Details'!$C32&amp;$D32,'CIP Details'!M$9:M$365)&gt;0,SUMIF('CIP Details'!$A$9:$A$365,'Bond Details'!$A32&amp;'Bond Details'!$B32&amp;'Bond Details'!$C32&amp;$D32,'CIP Details'!M$9:M$365),"")</f>
        <v/>
      </c>
      <c r="H32" s="215"/>
      <c r="I32" s="6" t="str">
        <f>IF(SUMIF('CIP Details'!$A$9:$A$365,'Bond Details'!$A32&amp;'Bond Details'!$B32&amp;'Bond Details'!$C32&amp;$D32,'CIP Details'!O$9:O$365)&gt;0,SUMIF('CIP Details'!$A$9:$A$365,'Bond Details'!$A32&amp;'Bond Details'!$B32&amp;'Bond Details'!$C32&amp;$D32,'CIP Details'!O$9:O$365),"")</f>
        <v/>
      </c>
      <c r="J32" s="6" t="str">
        <f>IF(SUMIF('CIP Details'!$A$9:$A$365,'Bond Details'!$A32&amp;'Bond Details'!$B32&amp;'Bond Details'!$C32&amp;$D32,'CIP Details'!P$9:P$365)&gt;0,SUMIF('CIP Details'!$A$9:$A$365,'Bond Details'!$A32&amp;'Bond Details'!$B32&amp;'Bond Details'!$C32&amp;$D32,'CIP Details'!P$9:P$365),"")</f>
        <v/>
      </c>
      <c r="K32" s="6" t="str">
        <f>IF(SUMIF('CIP Details'!$A$9:$A$365,'Bond Details'!$A32&amp;'Bond Details'!$B32&amp;'Bond Details'!$C32&amp;$D32,'CIP Details'!Q$9:Q$365)&gt;0,SUMIF('CIP Details'!$A$9:$A$365,'Bond Details'!$A32&amp;'Bond Details'!$B32&amp;'Bond Details'!$C32&amp;$D32,'CIP Details'!Q$9:Q$365),"")</f>
        <v/>
      </c>
      <c r="L32" s="6" t="str">
        <f>IF(SUMIF('CIP Details'!$A$9:$A$365,'Bond Details'!$A32&amp;'Bond Details'!$B32&amp;'Bond Details'!$C32&amp;$D32,'CIP Details'!R$9:R$365)&gt;0,SUMIF('CIP Details'!$A$9:$A$365,'Bond Details'!$A32&amp;'Bond Details'!$B32&amp;'Bond Details'!$C32&amp;$D32,'CIP Details'!R$9:R$365),"")</f>
        <v/>
      </c>
      <c r="M32" s="6">
        <f>IF(SUMIF('CIP Details'!$A$9:$A$365,'Bond Details'!$A32&amp;'Bond Details'!$B32&amp;'Bond Details'!$C32&amp;$D32,'CIP Details'!S$9:S$365)&gt;0,SUMIF('CIP Details'!$A$9:$A$365,'Bond Details'!$A32&amp;'Bond Details'!$B32&amp;'Bond Details'!$C32&amp;$D32,'CIP Details'!S$9:S$365),"")</f>
        <v>1800000</v>
      </c>
      <c r="N32" s="6" t="str">
        <f>IF(SUMIF('CIP Details'!$A$9:$A$365,'Bond Details'!$A32&amp;'Bond Details'!$B32&amp;'Bond Details'!$C32&amp;$D32,'CIP Details'!T$9:T$365)&gt;0,SUMIF('CIP Details'!$A$9:$A$365,'Bond Details'!$A32&amp;'Bond Details'!$B32&amp;'Bond Details'!$C32&amp;$D32,'CIP Details'!T$9:T$365),"")</f>
        <v/>
      </c>
      <c r="O32" s="6" t="str">
        <f>IF(SUMIF('CIP Details'!$A$9:$A$365,'Bond Details'!$A32&amp;'Bond Details'!$B32&amp;'Bond Details'!$C32&amp;$D32,'CIP Details'!U$9:U$365)&gt;0,SUMIF('CIP Details'!$A$9:$A$365,'Bond Details'!$A32&amp;'Bond Details'!$B32&amp;'Bond Details'!$C32&amp;$D32,'CIP Details'!U$9:U$365),"")</f>
        <v/>
      </c>
      <c r="P32" s="6" t="str">
        <f>IF(SUMIF('CIP Details'!$A$9:$A$365,'Bond Details'!$A32&amp;'Bond Details'!$B32&amp;'Bond Details'!$C32&amp;$D32,'CIP Details'!V$9:V$365)&gt;0,SUMIF('CIP Details'!$A$9:$A$365,'Bond Details'!$A32&amp;'Bond Details'!$B32&amp;'Bond Details'!$C32&amp;$D32,'CIP Details'!V$9:V$365),"")</f>
        <v/>
      </c>
      <c r="Q32" s="6" t="str">
        <f>IF(SUMIF('CIP Details'!$A$9:$A$365,'Bond Details'!$A32&amp;'Bond Details'!$B32&amp;'Bond Details'!$C32&amp;$D32,'CIP Details'!W$9:W$365)&gt;0,SUMIF('CIP Details'!$A$9:$A$365,'Bond Details'!$A32&amp;'Bond Details'!$B32&amp;'Bond Details'!$C32&amp;$D32,'CIP Details'!W$9:W$365),"")</f>
        <v/>
      </c>
      <c r="R32" s="6" t="str">
        <f>IF(SUMIF('CIP Details'!$A$9:$A$365,'Bond Details'!$A32&amp;'Bond Details'!$B32&amp;'Bond Details'!$C32&amp;$D32,'CIP Details'!X$9:X$365)&gt;0,SUMIF('CIP Details'!$A$9:$A$365,'Bond Details'!$A32&amp;'Bond Details'!$B32&amp;'Bond Details'!$C32&amp;$D32,'CIP Details'!X$9:X$365),"")</f>
        <v/>
      </c>
      <c r="S32" s="6" t="str">
        <f>IF(SUMIF('CIP Details'!$A$9:$A$365,'Bond Details'!$A32&amp;'Bond Details'!$B32&amp;'Bond Details'!$C32&amp;$D32,'CIP Details'!Y$9:Y$365)&gt;0,SUMIF('CIP Details'!$A$9:$A$365,'Bond Details'!$A32&amp;'Bond Details'!$B32&amp;'Bond Details'!$C32&amp;$D32,'CIP Details'!Y$9:Y$365),"")</f>
        <v/>
      </c>
    </row>
    <row r="33" spans="1:19" ht="18.75" x14ac:dyDescent="0.25">
      <c r="A33" s="235" t="s">
        <v>366</v>
      </c>
      <c r="B33" t="s">
        <v>46</v>
      </c>
      <c r="C33" s="389" t="s">
        <v>685</v>
      </c>
      <c r="D33" s="1" t="s">
        <v>19</v>
      </c>
      <c r="E33" s="6" t="str">
        <f>IF(SUMIF('CIP Details'!$A$9:$A$365,'Bond Details'!$A33&amp;'Bond Details'!$B33&amp;'Bond Details'!$C33&amp;$D33,'CIP Details'!K$9:K$365)&gt;0,SUMIF('CIP Details'!$A$9:$A$365,'Bond Details'!$A33&amp;'Bond Details'!$B33&amp;'Bond Details'!$C33&amp;$D33,'CIP Details'!K$9:K$365),"")</f>
        <v/>
      </c>
      <c r="F33" s="6" t="str">
        <f>IF(SUMIF('CIP Details'!$A$9:$A$365,'Bond Details'!$A33&amp;'Bond Details'!$B33&amp;'Bond Details'!$C33&amp;$D33,'CIP Details'!L$9:L$365)&gt;0,SUMIF('CIP Details'!$A$9:$A$365,'Bond Details'!$A33&amp;'Bond Details'!$B33&amp;'Bond Details'!$C33&amp;$D33,'CIP Details'!L$9:L$365),"")</f>
        <v/>
      </c>
      <c r="G33" s="6" t="str">
        <f>IF(SUMIF('CIP Details'!$A$9:$A$365,'Bond Details'!$A33&amp;'Bond Details'!$B33&amp;'Bond Details'!$C33&amp;$D33,'CIP Details'!M$9:M$365)&gt;0,SUMIF('CIP Details'!$A$9:$A$365,'Bond Details'!$A33&amp;'Bond Details'!$B33&amp;'Bond Details'!$C33&amp;$D33,'CIP Details'!M$9:M$365),"")</f>
        <v/>
      </c>
      <c r="H33" s="215"/>
      <c r="I33" s="6">
        <f>IF(SUMIF('CIP Details'!$A$9:$A$365,'Bond Details'!$A33&amp;'Bond Details'!$B33&amp;'Bond Details'!$C33&amp;$D33,'CIP Details'!O$9:O$365)&gt;0,SUMIF('CIP Details'!$A$9:$A$365,'Bond Details'!$A33&amp;'Bond Details'!$B33&amp;'Bond Details'!$C33&amp;$D33,'CIP Details'!O$9:O$365),"")</f>
        <v>500000</v>
      </c>
      <c r="J33" s="6" t="str">
        <f>IF(SUMIF('CIP Details'!$A$9:$A$365,'Bond Details'!$A33&amp;'Bond Details'!$B33&amp;'Bond Details'!$C33&amp;$D33,'CIP Details'!P$9:P$365)&gt;0,SUMIF('CIP Details'!$A$9:$A$365,'Bond Details'!$A33&amp;'Bond Details'!$B33&amp;'Bond Details'!$C33&amp;$D33,'CIP Details'!P$9:P$365),"")</f>
        <v/>
      </c>
      <c r="K33" s="6" t="str">
        <f>IF(SUMIF('CIP Details'!$A$9:$A$365,'Bond Details'!$A33&amp;'Bond Details'!$B33&amp;'Bond Details'!$C33&amp;$D33,'CIP Details'!Q$9:Q$365)&gt;0,SUMIF('CIP Details'!$A$9:$A$365,'Bond Details'!$A33&amp;'Bond Details'!$B33&amp;'Bond Details'!$C33&amp;$D33,'CIP Details'!Q$9:Q$365),"")</f>
        <v/>
      </c>
      <c r="L33" s="6" t="str">
        <f>IF(SUMIF('CIP Details'!$A$9:$A$365,'Bond Details'!$A33&amp;'Bond Details'!$B33&amp;'Bond Details'!$C33&amp;$D33,'CIP Details'!R$9:R$365)&gt;0,SUMIF('CIP Details'!$A$9:$A$365,'Bond Details'!$A33&amp;'Bond Details'!$B33&amp;'Bond Details'!$C33&amp;$D33,'CIP Details'!R$9:R$365),"")</f>
        <v/>
      </c>
      <c r="M33" s="6" t="str">
        <f>IF(SUMIF('CIP Details'!$A$9:$A$365,'Bond Details'!$A33&amp;'Bond Details'!$B33&amp;'Bond Details'!$C33&amp;$D33,'CIP Details'!S$9:S$365)&gt;0,SUMIF('CIP Details'!$A$9:$A$365,'Bond Details'!$A33&amp;'Bond Details'!$B33&amp;'Bond Details'!$C33&amp;$D33,'CIP Details'!S$9:S$365),"")</f>
        <v/>
      </c>
      <c r="N33" s="6" t="str">
        <f>IF(SUMIF('CIP Details'!$A$9:$A$365,'Bond Details'!$A33&amp;'Bond Details'!$B33&amp;'Bond Details'!$C33&amp;$D33,'CIP Details'!T$9:T$365)&gt;0,SUMIF('CIP Details'!$A$9:$A$365,'Bond Details'!$A33&amp;'Bond Details'!$B33&amp;'Bond Details'!$C33&amp;$D33,'CIP Details'!T$9:T$365),"")</f>
        <v/>
      </c>
      <c r="O33" s="6" t="str">
        <f>IF(SUMIF('CIP Details'!$A$9:$A$365,'Bond Details'!$A33&amp;'Bond Details'!$B33&amp;'Bond Details'!$C33&amp;$D33,'CIP Details'!U$9:U$365)&gt;0,SUMIF('CIP Details'!$A$9:$A$365,'Bond Details'!$A33&amp;'Bond Details'!$B33&amp;'Bond Details'!$C33&amp;$D33,'CIP Details'!U$9:U$365),"")</f>
        <v/>
      </c>
      <c r="P33" s="6" t="str">
        <f>IF(SUMIF('CIP Details'!$A$9:$A$365,'Bond Details'!$A33&amp;'Bond Details'!$B33&amp;'Bond Details'!$C33&amp;$D33,'CIP Details'!V$9:V$365)&gt;0,SUMIF('CIP Details'!$A$9:$A$365,'Bond Details'!$A33&amp;'Bond Details'!$B33&amp;'Bond Details'!$C33&amp;$D33,'CIP Details'!V$9:V$365),"")</f>
        <v/>
      </c>
      <c r="Q33" s="6" t="str">
        <f>IF(SUMIF('CIP Details'!$A$9:$A$365,'Bond Details'!$A33&amp;'Bond Details'!$B33&amp;'Bond Details'!$C33&amp;$D33,'CIP Details'!W$9:W$365)&gt;0,SUMIF('CIP Details'!$A$9:$A$365,'Bond Details'!$A33&amp;'Bond Details'!$B33&amp;'Bond Details'!$C33&amp;$D33,'CIP Details'!W$9:W$365),"")</f>
        <v/>
      </c>
      <c r="R33" s="6" t="str">
        <f>IF(SUMIF('CIP Details'!$A$9:$A$365,'Bond Details'!$A33&amp;'Bond Details'!$B33&amp;'Bond Details'!$C33&amp;$D33,'CIP Details'!X$9:X$365)&gt;0,SUMIF('CIP Details'!$A$9:$A$365,'Bond Details'!$A33&amp;'Bond Details'!$B33&amp;'Bond Details'!$C33&amp;$D33,'CIP Details'!X$9:X$365),"")</f>
        <v/>
      </c>
      <c r="S33" s="6" t="str">
        <f>IF(SUMIF('CIP Details'!$A$9:$A$365,'Bond Details'!$A33&amp;'Bond Details'!$B33&amp;'Bond Details'!$C33&amp;$D33,'CIP Details'!Y$9:Y$365)&gt;0,SUMIF('CIP Details'!$A$9:$A$365,'Bond Details'!$A33&amp;'Bond Details'!$B33&amp;'Bond Details'!$C33&amp;$D33,'CIP Details'!Y$9:Y$365),"")</f>
        <v/>
      </c>
    </row>
    <row r="34" spans="1:19" ht="18.75" x14ac:dyDescent="0.25">
      <c r="A34" s="235" t="s">
        <v>366</v>
      </c>
      <c r="B34" t="s">
        <v>46</v>
      </c>
      <c r="C34" s="389" t="s">
        <v>903</v>
      </c>
      <c r="D34" s="1" t="s">
        <v>19</v>
      </c>
      <c r="E34" s="6" t="str">
        <f>IF(SUMIF('CIP Details'!$A$9:$A$365,'Bond Details'!$A34&amp;'Bond Details'!$B34&amp;'Bond Details'!$C34&amp;$D34,'CIP Details'!K$9:K$365)&gt;0,SUMIF('CIP Details'!$A$9:$A$365,'Bond Details'!$A34&amp;'Bond Details'!$B34&amp;'Bond Details'!$C34&amp;$D34,'CIP Details'!K$9:K$365),"")</f>
        <v/>
      </c>
      <c r="F34" s="6" t="str">
        <f>IF(SUMIF('CIP Details'!$A$9:$A$365,'Bond Details'!$A34&amp;'Bond Details'!$B34&amp;'Bond Details'!$C34&amp;$D34,'CIP Details'!L$9:L$365)&gt;0,SUMIF('CIP Details'!$A$9:$A$365,'Bond Details'!$A34&amp;'Bond Details'!$B34&amp;'Bond Details'!$C34&amp;$D34,'CIP Details'!L$9:L$365),"")</f>
        <v/>
      </c>
      <c r="G34" s="6" t="str">
        <f>IF(SUMIF('CIP Details'!$A$9:$A$365,'Bond Details'!$A34&amp;'Bond Details'!$B34&amp;'Bond Details'!$C34&amp;$D34,'CIP Details'!M$9:M$365)&gt;0,SUMIF('CIP Details'!$A$9:$A$365,'Bond Details'!$A34&amp;'Bond Details'!$B34&amp;'Bond Details'!$C34&amp;$D34,'CIP Details'!M$9:M$365),"")</f>
        <v/>
      </c>
      <c r="H34" s="215"/>
      <c r="I34" s="6">
        <f>IF(SUMIF('CIP Details'!$A$9:$A$365,'Bond Details'!$A34&amp;'Bond Details'!$B34&amp;'Bond Details'!$C34&amp;$D34,'CIP Details'!O$9:O$365)&gt;0,SUMIF('CIP Details'!$A$9:$A$365,'Bond Details'!$A34&amp;'Bond Details'!$B34&amp;'Bond Details'!$C34&amp;$D34,'CIP Details'!O$9:O$365),"")</f>
        <v>350000</v>
      </c>
      <c r="J34" s="6" t="str">
        <f>IF(SUMIF('CIP Details'!$A$9:$A$365,'Bond Details'!$A34&amp;'Bond Details'!$B34&amp;'Bond Details'!$C34&amp;$D34,'CIP Details'!P$9:P$365)&gt;0,SUMIF('CIP Details'!$A$9:$A$365,'Bond Details'!$A34&amp;'Bond Details'!$B34&amp;'Bond Details'!$C34&amp;$D34,'CIP Details'!P$9:P$365),"")</f>
        <v/>
      </c>
      <c r="K34" s="6" t="str">
        <f>IF(SUMIF('CIP Details'!$A$9:$A$365,'Bond Details'!$A34&amp;'Bond Details'!$B34&amp;'Bond Details'!$C34&amp;$D34,'CIP Details'!Q$9:Q$365)&gt;0,SUMIF('CIP Details'!$A$9:$A$365,'Bond Details'!$A34&amp;'Bond Details'!$B34&amp;'Bond Details'!$C34&amp;$D34,'CIP Details'!Q$9:Q$365),"")</f>
        <v/>
      </c>
      <c r="L34" s="6" t="str">
        <f>IF(SUMIF('CIP Details'!$A$9:$A$365,'Bond Details'!$A34&amp;'Bond Details'!$B34&amp;'Bond Details'!$C34&amp;$D34,'CIP Details'!R$9:R$365)&gt;0,SUMIF('CIP Details'!$A$9:$A$365,'Bond Details'!$A34&amp;'Bond Details'!$B34&amp;'Bond Details'!$C34&amp;$D34,'CIP Details'!R$9:R$365),"")</f>
        <v/>
      </c>
      <c r="M34" s="6" t="str">
        <f>IF(SUMIF('CIP Details'!$A$9:$A$365,'Bond Details'!$A34&amp;'Bond Details'!$B34&amp;'Bond Details'!$C34&amp;$D34,'CIP Details'!S$9:S$365)&gt;0,SUMIF('CIP Details'!$A$9:$A$365,'Bond Details'!$A34&amp;'Bond Details'!$B34&amp;'Bond Details'!$C34&amp;$D34,'CIP Details'!S$9:S$365),"")</f>
        <v/>
      </c>
      <c r="N34" s="6" t="str">
        <f>IF(SUMIF('CIP Details'!$A$9:$A$365,'Bond Details'!$A34&amp;'Bond Details'!$B34&amp;'Bond Details'!$C34&amp;$D34,'CIP Details'!T$9:T$365)&gt;0,SUMIF('CIP Details'!$A$9:$A$365,'Bond Details'!$A34&amp;'Bond Details'!$B34&amp;'Bond Details'!$C34&amp;$D34,'CIP Details'!T$9:T$365),"")</f>
        <v/>
      </c>
      <c r="O34" s="6" t="str">
        <f>IF(SUMIF('CIP Details'!$A$9:$A$365,'Bond Details'!$A34&amp;'Bond Details'!$B34&amp;'Bond Details'!$C34&amp;$D34,'CIP Details'!U$9:U$365)&gt;0,SUMIF('CIP Details'!$A$9:$A$365,'Bond Details'!$A34&amp;'Bond Details'!$B34&amp;'Bond Details'!$C34&amp;$D34,'CIP Details'!U$9:U$365),"")</f>
        <v/>
      </c>
      <c r="P34" s="6" t="str">
        <f>IF(SUMIF('CIP Details'!$A$9:$A$365,'Bond Details'!$A34&amp;'Bond Details'!$B34&amp;'Bond Details'!$C34&amp;$D34,'CIP Details'!V$9:V$365)&gt;0,SUMIF('CIP Details'!$A$9:$A$365,'Bond Details'!$A34&amp;'Bond Details'!$B34&amp;'Bond Details'!$C34&amp;$D34,'CIP Details'!V$9:V$365),"")</f>
        <v/>
      </c>
      <c r="Q34" s="6" t="str">
        <f>IF(SUMIF('CIP Details'!$A$9:$A$365,'Bond Details'!$A34&amp;'Bond Details'!$B34&amp;'Bond Details'!$C34&amp;$D34,'CIP Details'!W$9:W$365)&gt;0,SUMIF('CIP Details'!$A$9:$A$365,'Bond Details'!$A34&amp;'Bond Details'!$B34&amp;'Bond Details'!$C34&amp;$D34,'CIP Details'!W$9:W$365),"")</f>
        <v/>
      </c>
      <c r="R34" s="6" t="str">
        <f>IF(SUMIF('CIP Details'!$A$9:$A$365,'Bond Details'!$A34&amp;'Bond Details'!$B34&amp;'Bond Details'!$C34&amp;$D34,'CIP Details'!X$9:X$365)&gt;0,SUMIF('CIP Details'!$A$9:$A$365,'Bond Details'!$A34&amp;'Bond Details'!$B34&amp;'Bond Details'!$C34&amp;$D34,'CIP Details'!X$9:X$365),"")</f>
        <v/>
      </c>
      <c r="S34" s="6" t="str">
        <f>IF(SUMIF('CIP Details'!$A$9:$A$365,'Bond Details'!$A34&amp;'Bond Details'!$B34&amp;'Bond Details'!$C34&amp;$D34,'CIP Details'!Y$9:Y$365)&gt;0,SUMIF('CIP Details'!$A$9:$A$365,'Bond Details'!$A34&amp;'Bond Details'!$B34&amp;'Bond Details'!$C34&amp;$D34,'CIP Details'!Y$9:Y$365),"")</f>
        <v/>
      </c>
    </row>
    <row r="35" spans="1:19" ht="18.75" x14ac:dyDescent="0.25">
      <c r="A35" s="235" t="s">
        <v>365</v>
      </c>
      <c r="B35" s="114" t="s">
        <v>47</v>
      </c>
      <c r="C35" s="200" t="s">
        <v>346</v>
      </c>
      <c r="D35" s="1" t="s">
        <v>19</v>
      </c>
      <c r="E35" s="6" t="str">
        <f>IF(SUMIF('CIP Details'!$A$9:$A$365,'Bond Details'!$A35&amp;'Bond Details'!$B35&amp;'Bond Details'!$C35&amp;$D35,'CIP Details'!K$9:K$365)&gt;0,SUMIF('CIP Details'!$A$9:$A$365,'Bond Details'!$A35&amp;'Bond Details'!$B35&amp;'Bond Details'!$C35&amp;$D35,'CIP Details'!K$9:K$365),"")</f>
        <v/>
      </c>
      <c r="F35" s="6" t="str">
        <f>IF(SUMIF('CIP Details'!$A$9:$A$365,'Bond Details'!$A35&amp;'Bond Details'!$B35&amp;'Bond Details'!$C35&amp;$D35,'CIP Details'!L$9:L$365)&gt;0,SUMIF('CIP Details'!$A$9:$A$365,'Bond Details'!$A35&amp;'Bond Details'!$B35&amp;'Bond Details'!$C35&amp;$D35,'CIP Details'!L$9:L$365),"")</f>
        <v/>
      </c>
      <c r="G35" s="6" t="str">
        <f>IF(SUMIF('CIP Details'!$A$9:$A$365,'Bond Details'!$A35&amp;'Bond Details'!$B35&amp;'Bond Details'!$C35&amp;$D35,'CIP Details'!M$9:M$365)&gt;0,SUMIF('CIP Details'!$A$9:$A$365,'Bond Details'!$A35&amp;'Bond Details'!$B35&amp;'Bond Details'!$C35&amp;$D35,'CIP Details'!M$9:M$365),"")</f>
        <v/>
      </c>
      <c r="H35" s="215"/>
      <c r="I35" s="6">
        <f>IF(SUMIF('CIP Details'!$A$9:$A$365,'Bond Details'!$A35&amp;'Bond Details'!$B35&amp;'Bond Details'!$C35&amp;$D35,'CIP Details'!O$9:O$365)&gt;0,SUMIF('CIP Details'!$A$9:$A$365,'Bond Details'!$A35&amp;'Bond Details'!$B35&amp;'Bond Details'!$C35&amp;$D35,'CIP Details'!O$9:O$365),"")</f>
        <v>100000</v>
      </c>
      <c r="J35" s="6" t="str">
        <f>IF(SUMIF('CIP Details'!$A$9:$A$365,'Bond Details'!$A35&amp;'Bond Details'!$B35&amp;'Bond Details'!$C35&amp;$D35,'CIP Details'!P$9:P$365)&gt;0,SUMIF('CIP Details'!$A$9:$A$365,'Bond Details'!$A35&amp;'Bond Details'!$B35&amp;'Bond Details'!$C35&amp;$D35,'CIP Details'!P$9:P$365),"")</f>
        <v/>
      </c>
      <c r="K35" s="6" t="str">
        <f>IF(SUMIF('CIP Details'!$A$9:$A$365,'Bond Details'!$A35&amp;'Bond Details'!$B35&amp;'Bond Details'!$C35&amp;$D35,'CIP Details'!Q$9:Q$365)&gt;0,SUMIF('CIP Details'!$A$9:$A$365,'Bond Details'!$A35&amp;'Bond Details'!$B35&amp;'Bond Details'!$C35&amp;$D35,'CIP Details'!Q$9:Q$365),"")</f>
        <v/>
      </c>
      <c r="L35" s="6" t="str">
        <f>IF(SUMIF('CIP Details'!$A$9:$A$365,'Bond Details'!$A35&amp;'Bond Details'!$B35&amp;'Bond Details'!$C35&amp;$D35,'CIP Details'!R$9:R$365)&gt;0,SUMIF('CIP Details'!$A$9:$A$365,'Bond Details'!$A35&amp;'Bond Details'!$B35&amp;'Bond Details'!$C35&amp;$D35,'CIP Details'!R$9:R$365),"")</f>
        <v/>
      </c>
      <c r="M35" s="6" t="str">
        <f>IF(SUMIF('CIP Details'!$A$9:$A$365,'Bond Details'!$A35&amp;'Bond Details'!$B35&amp;'Bond Details'!$C35&amp;$D35,'CIP Details'!S$9:S$365)&gt;0,SUMIF('CIP Details'!$A$9:$A$365,'Bond Details'!$A35&amp;'Bond Details'!$B35&amp;'Bond Details'!$C35&amp;$D35,'CIP Details'!S$9:S$365),"")</f>
        <v/>
      </c>
      <c r="N35" s="6" t="str">
        <f>IF(SUMIF('CIP Details'!$A$9:$A$365,'Bond Details'!$A35&amp;'Bond Details'!$B35&amp;'Bond Details'!$C35&amp;$D35,'CIP Details'!T$9:T$365)&gt;0,SUMIF('CIP Details'!$A$9:$A$365,'Bond Details'!$A35&amp;'Bond Details'!$B35&amp;'Bond Details'!$C35&amp;$D35,'CIP Details'!T$9:T$365),"")</f>
        <v/>
      </c>
      <c r="O35" s="6" t="str">
        <f>IF(SUMIF('CIP Details'!$A$9:$A$365,'Bond Details'!$A35&amp;'Bond Details'!$B35&amp;'Bond Details'!$C35&amp;$D35,'CIP Details'!U$9:U$365)&gt;0,SUMIF('CIP Details'!$A$9:$A$365,'Bond Details'!$A35&amp;'Bond Details'!$B35&amp;'Bond Details'!$C35&amp;$D35,'CIP Details'!U$9:U$365),"")</f>
        <v/>
      </c>
      <c r="P35" s="6" t="str">
        <f>IF(SUMIF('CIP Details'!$A$9:$A$365,'Bond Details'!$A35&amp;'Bond Details'!$B35&amp;'Bond Details'!$C35&amp;$D35,'CIP Details'!V$9:V$365)&gt;0,SUMIF('CIP Details'!$A$9:$A$365,'Bond Details'!$A35&amp;'Bond Details'!$B35&amp;'Bond Details'!$C35&amp;$D35,'CIP Details'!V$9:V$365),"")</f>
        <v/>
      </c>
      <c r="Q35" s="6" t="str">
        <f>IF(SUMIF('CIP Details'!$A$9:$A$365,'Bond Details'!$A35&amp;'Bond Details'!$B35&amp;'Bond Details'!$C35&amp;$D35,'CIP Details'!W$9:W$365)&gt;0,SUMIF('CIP Details'!$A$9:$A$365,'Bond Details'!$A35&amp;'Bond Details'!$B35&amp;'Bond Details'!$C35&amp;$D35,'CIP Details'!W$9:W$365),"")</f>
        <v/>
      </c>
      <c r="R35" s="6" t="str">
        <f>IF(SUMIF('CIP Details'!$A$9:$A$365,'Bond Details'!$A35&amp;'Bond Details'!$B35&amp;'Bond Details'!$C35&amp;$D35,'CIP Details'!X$9:X$365)&gt;0,SUMIF('CIP Details'!$A$9:$A$365,'Bond Details'!$A35&amp;'Bond Details'!$B35&amp;'Bond Details'!$C35&amp;$D35,'CIP Details'!X$9:X$365),"")</f>
        <v/>
      </c>
      <c r="S35" s="6" t="str">
        <f>IF(SUMIF('CIP Details'!$A$9:$A$365,'Bond Details'!$A35&amp;'Bond Details'!$B35&amp;'Bond Details'!$C35&amp;$D35,'CIP Details'!Y$9:Y$365)&gt;0,SUMIF('CIP Details'!$A$9:$A$365,'Bond Details'!$A35&amp;'Bond Details'!$B35&amp;'Bond Details'!$C35&amp;$D35,'CIP Details'!Y$9:Y$365),"")</f>
        <v/>
      </c>
    </row>
    <row r="36" spans="1:19" ht="18.75" x14ac:dyDescent="0.25">
      <c r="A36" s="235" t="s">
        <v>315</v>
      </c>
      <c r="B36" t="s">
        <v>248</v>
      </c>
      <c r="C36" t="s">
        <v>623</v>
      </c>
      <c r="D36" s="1" t="s">
        <v>19</v>
      </c>
      <c r="E36" s="6" t="str">
        <f>IF(SUMIF('CIP Details'!$A$9:$A$365,'Bond Details'!$A36&amp;'Bond Details'!$B36&amp;'Bond Details'!$C36&amp;$D36,'CIP Details'!K$9:K$365)&gt;0,SUMIF('CIP Details'!$A$9:$A$365,'Bond Details'!$A36&amp;'Bond Details'!$B36&amp;'Bond Details'!$C36&amp;$D36,'CIP Details'!K$9:K$365),"")</f>
        <v/>
      </c>
      <c r="F36" s="6" t="str">
        <f>IF(SUMIF('CIP Details'!$A$9:$A$365,'Bond Details'!$A36&amp;'Bond Details'!$B36&amp;'Bond Details'!$C36&amp;$D36,'CIP Details'!L$9:L$365)&gt;0,SUMIF('CIP Details'!$A$9:$A$365,'Bond Details'!$A36&amp;'Bond Details'!$B36&amp;'Bond Details'!$C36&amp;$D36,'CIP Details'!L$9:L$365),"")</f>
        <v/>
      </c>
      <c r="G36" s="6" t="str">
        <f>IF(SUMIF('CIP Details'!$A$9:$A$365,'Bond Details'!$A36&amp;'Bond Details'!$B36&amp;'Bond Details'!$C36&amp;$D36,'CIP Details'!M$9:M$365)&gt;0,SUMIF('CIP Details'!$A$9:$A$365,'Bond Details'!$A36&amp;'Bond Details'!$B36&amp;'Bond Details'!$C36&amp;$D36,'CIP Details'!M$9:M$365),"")</f>
        <v/>
      </c>
      <c r="H36" s="215"/>
      <c r="I36" s="6" t="str">
        <f>IF(SUMIF('CIP Details'!$A$9:$A$365,'Bond Details'!$A36&amp;'Bond Details'!$B36&amp;'Bond Details'!$C36&amp;$D36,'CIP Details'!O$9:O$365)&gt;0,SUMIF('CIP Details'!$A$9:$A$365,'Bond Details'!$A36&amp;'Bond Details'!$B36&amp;'Bond Details'!$C36&amp;$D36,'CIP Details'!O$9:O$365),"")</f>
        <v/>
      </c>
      <c r="J36" s="6" t="str">
        <f>IF(SUMIF('CIP Details'!$A$9:$A$365,'Bond Details'!$A36&amp;'Bond Details'!$B36&amp;'Bond Details'!$C36&amp;$D36,'CIP Details'!P$9:P$365)&gt;0,SUMIF('CIP Details'!$A$9:$A$365,'Bond Details'!$A36&amp;'Bond Details'!$B36&amp;'Bond Details'!$C36&amp;$D36,'CIP Details'!P$9:P$365),"")</f>
        <v/>
      </c>
      <c r="K36" s="6" t="str">
        <f>IF(SUMIF('CIP Details'!$A$9:$A$365,'Bond Details'!$A36&amp;'Bond Details'!$B36&amp;'Bond Details'!$C36&amp;$D36,'CIP Details'!Q$9:Q$365)&gt;0,SUMIF('CIP Details'!$A$9:$A$365,'Bond Details'!$A36&amp;'Bond Details'!$B36&amp;'Bond Details'!$C36&amp;$D36,'CIP Details'!Q$9:Q$365),"")</f>
        <v/>
      </c>
      <c r="L36" s="6" t="str">
        <f>IF(SUMIF('CIP Details'!$A$9:$A$365,'Bond Details'!$A36&amp;'Bond Details'!$B36&amp;'Bond Details'!$C36&amp;$D36,'CIP Details'!R$9:R$365)&gt;0,SUMIF('CIP Details'!$A$9:$A$365,'Bond Details'!$A36&amp;'Bond Details'!$B36&amp;'Bond Details'!$C36&amp;$D36,'CIP Details'!R$9:R$365),"")</f>
        <v/>
      </c>
      <c r="M36" s="6" t="str">
        <f>IF(SUMIF('CIP Details'!$A$9:$A$365,'Bond Details'!$A36&amp;'Bond Details'!$B36&amp;'Bond Details'!$C36&amp;$D36,'CIP Details'!S$9:S$365)&gt;0,SUMIF('CIP Details'!$A$9:$A$365,'Bond Details'!$A36&amp;'Bond Details'!$B36&amp;'Bond Details'!$C36&amp;$D36,'CIP Details'!S$9:S$365),"")</f>
        <v/>
      </c>
      <c r="N36" s="6" t="str">
        <f>IF(SUMIF('CIP Details'!$A$9:$A$365,'Bond Details'!$A36&amp;'Bond Details'!$B36&amp;'Bond Details'!$C36&amp;$D36,'CIP Details'!T$9:T$365)&gt;0,SUMIF('CIP Details'!$A$9:$A$365,'Bond Details'!$A36&amp;'Bond Details'!$B36&amp;'Bond Details'!$C36&amp;$D36,'CIP Details'!T$9:T$365),"")</f>
        <v/>
      </c>
      <c r="O36" s="6" t="str">
        <f>IF(SUMIF('CIP Details'!$A$9:$A$365,'Bond Details'!$A36&amp;'Bond Details'!$B36&amp;'Bond Details'!$C36&amp;$D36,'CIP Details'!U$9:U$365)&gt;0,SUMIF('CIP Details'!$A$9:$A$365,'Bond Details'!$A36&amp;'Bond Details'!$B36&amp;'Bond Details'!$C36&amp;$D36,'CIP Details'!U$9:U$365),"")</f>
        <v/>
      </c>
      <c r="P36" s="6" t="str">
        <f>IF(SUMIF('CIP Details'!$A$9:$A$365,'Bond Details'!$A36&amp;'Bond Details'!$B36&amp;'Bond Details'!$C36&amp;$D36,'CIP Details'!V$9:V$365)&gt;0,SUMIF('CIP Details'!$A$9:$A$365,'Bond Details'!$A36&amp;'Bond Details'!$B36&amp;'Bond Details'!$C36&amp;$D36,'CIP Details'!V$9:V$365),"")</f>
        <v/>
      </c>
      <c r="Q36" s="6" t="str">
        <f>IF(SUMIF('CIP Details'!$A$9:$A$365,'Bond Details'!$A36&amp;'Bond Details'!$B36&amp;'Bond Details'!$C36&amp;$D36,'CIP Details'!W$9:W$365)&gt;0,SUMIF('CIP Details'!$A$9:$A$365,'Bond Details'!$A36&amp;'Bond Details'!$B36&amp;'Bond Details'!$C36&amp;$D36,'CIP Details'!W$9:W$365),"")</f>
        <v/>
      </c>
      <c r="R36" s="6" t="str">
        <f>IF(SUMIF('CIP Details'!$A$9:$A$365,'Bond Details'!$A36&amp;'Bond Details'!$B36&amp;'Bond Details'!$C36&amp;$D36,'CIP Details'!X$9:X$365)&gt;0,SUMIF('CIP Details'!$A$9:$A$365,'Bond Details'!$A36&amp;'Bond Details'!$B36&amp;'Bond Details'!$C36&amp;$D36,'CIP Details'!X$9:X$365),"")</f>
        <v/>
      </c>
      <c r="S36" s="6" t="str">
        <f>IF(SUMIF('CIP Details'!$A$9:$A$365,'Bond Details'!$A36&amp;'Bond Details'!$B36&amp;'Bond Details'!$C36&amp;$D36,'CIP Details'!Y$9:Y$365)&gt;0,SUMIF('CIP Details'!$A$9:$A$365,'Bond Details'!$A36&amp;'Bond Details'!$B36&amp;'Bond Details'!$C36&amp;$D36,'CIP Details'!Y$9:Y$365),"")</f>
        <v/>
      </c>
    </row>
    <row r="37" spans="1:19" ht="18.75" x14ac:dyDescent="0.25">
      <c r="A37" s="235" t="s">
        <v>315</v>
      </c>
      <c r="B37" t="s">
        <v>248</v>
      </c>
      <c r="C37" t="s">
        <v>624</v>
      </c>
      <c r="D37" s="1" t="s">
        <v>19</v>
      </c>
      <c r="E37" s="6" t="str">
        <f>IF(SUMIF('CIP Details'!$A$9:$A$365,'Bond Details'!$A37&amp;'Bond Details'!$B37&amp;'Bond Details'!$C37&amp;$D37,'CIP Details'!K$9:K$365)&gt;0,SUMIF('CIP Details'!$A$9:$A$365,'Bond Details'!$A37&amp;'Bond Details'!$B37&amp;'Bond Details'!$C37&amp;$D37,'CIP Details'!K$9:K$365),"")</f>
        <v/>
      </c>
      <c r="F37" s="6" t="str">
        <f>IF(SUMIF('CIP Details'!$A$9:$A$365,'Bond Details'!$A37&amp;'Bond Details'!$B37&amp;'Bond Details'!$C37&amp;$D37,'CIP Details'!L$9:L$365)&gt;0,SUMIF('CIP Details'!$A$9:$A$365,'Bond Details'!$A37&amp;'Bond Details'!$B37&amp;'Bond Details'!$C37&amp;$D37,'CIP Details'!L$9:L$365),"")</f>
        <v/>
      </c>
      <c r="G37" s="6" t="str">
        <f>IF(SUMIF('CIP Details'!$A$9:$A$365,'Bond Details'!$A37&amp;'Bond Details'!$B37&amp;'Bond Details'!$C37&amp;$D37,'CIP Details'!M$9:M$365)&gt;0,SUMIF('CIP Details'!$A$9:$A$365,'Bond Details'!$A37&amp;'Bond Details'!$B37&amp;'Bond Details'!$C37&amp;$D37,'CIP Details'!M$9:M$365),"")</f>
        <v/>
      </c>
      <c r="H37" s="215"/>
      <c r="I37" s="6" t="str">
        <f>IF(SUMIF('CIP Details'!$A$9:$A$365,'Bond Details'!$A37&amp;'Bond Details'!$B37&amp;'Bond Details'!$C37&amp;$D37,'CIP Details'!O$9:O$365)&gt;0,SUMIF('CIP Details'!$A$9:$A$365,'Bond Details'!$A37&amp;'Bond Details'!$B37&amp;'Bond Details'!$C37&amp;$D37,'CIP Details'!O$9:O$365),"")</f>
        <v/>
      </c>
      <c r="J37" s="6">
        <f>IF(SUMIF('CIP Details'!$A$9:$A$365,'Bond Details'!$A37&amp;'Bond Details'!$B37&amp;'Bond Details'!$C37&amp;$D37,'CIP Details'!P$9:P$365)&gt;0,SUMIF('CIP Details'!$A$9:$A$365,'Bond Details'!$A37&amp;'Bond Details'!$B37&amp;'Bond Details'!$C37&amp;$D37,'CIP Details'!P$9:P$365),"")</f>
        <v>400000</v>
      </c>
      <c r="K37" s="6">
        <f>IF(SUMIF('CIP Details'!$A$9:$A$365,'Bond Details'!$A37&amp;'Bond Details'!$B37&amp;'Bond Details'!$C37&amp;$D37,'CIP Details'!Q$9:Q$365)&gt;0,SUMIF('CIP Details'!$A$9:$A$365,'Bond Details'!$A37&amp;'Bond Details'!$B37&amp;'Bond Details'!$C37&amp;$D37,'CIP Details'!Q$9:Q$365),"")</f>
        <v>400000</v>
      </c>
      <c r="L37" s="6">
        <f>IF(SUMIF('CIP Details'!$A$9:$A$365,'Bond Details'!$A37&amp;'Bond Details'!$B37&amp;'Bond Details'!$C37&amp;$D37,'CIP Details'!R$9:R$365)&gt;0,SUMIF('CIP Details'!$A$9:$A$365,'Bond Details'!$A37&amp;'Bond Details'!$B37&amp;'Bond Details'!$C37&amp;$D37,'CIP Details'!R$9:R$365),"")</f>
        <v>800000</v>
      </c>
      <c r="M37" s="6" t="str">
        <f>IF(SUMIF('CIP Details'!$A$9:$A$365,'Bond Details'!$A37&amp;'Bond Details'!$B37&amp;'Bond Details'!$C37&amp;$D37,'CIP Details'!S$9:S$365)&gt;0,SUMIF('CIP Details'!$A$9:$A$365,'Bond Details'!$A37&amp;'Bond Details'!$B37&amp;'Bond Details'!$C37&amp;$D37,'CIP Details'!S$9:S$365),"")</f>
        <v/>
      </c>
      <c r="N37" s="6" t="str">
        <f>IF(SUMIF('CIP Details'!$A$9:$A$365,'Bond Details'!$A37&amp;'Bond Details'!$B37&amp;'Bond Details'!$C37&amp;$D37,'CIP Details'!T$9:T$365)&gt;0,SUMIF('CIP Details'!$A$9:$A$365,'Bond Details'!$A37&amp;'Bond Details'!$B37&amp;'Bond Details'!$C37&amp;$D37,'CIP Details'!T$9:T$365),"")</f>
        <v/>
      </c>
      <c r="O37" s="6" t="str">
        <f>IF(SUMIF('CIP Details'!$A$9:$A$365,'Bond Details'!$A37&amp;'Bond Details'!$B37&amp;'Bond Details'!$C37&amp;$D37,'CIP Details'!U$9:U$365)&gt;0,SUMIF('CIP Details'!$A$9:$A$365,'Bond Details'!$A37&amp;'Bond Details'!$B37&amp;'Bond Details'!$C37&amp;$D37,'CIP Details'!U$9:U$365),"")</f>
        <v/>
      </c>
      <c r="P37" s="6" t="str">
        <f>IF(SUMIF('CIP Details'!$A$9:$A$365,'Bond Details'!$A37&amp;'Bond Details'!$B37&amp;'Bond Details'!$C37&amp;$D37,'CIP Details'!V$9:V$365)&gt;0,SUMIF('CIP Details'!$A$9:$A$365,'Bond Details'!$A37&amp;'Bond Details'!$B37&amp;'Bond Details'!$C37&amp;$D37,'CIP Details'!V$9:V$365),"")</f>
        <v/>
      </c>
      <c r="Q37" s="6" t="str">
        <f>IF(SUMIF('CIP Details'!$A$9:$A$365,'Bond Details'!$A37&amp;'Bond Details'!$B37&amp;'Bond Details'!$C37&amp;$D37,'CIP Details'!W$9:W$365)&gt;0,SUMIF('CIP Details'!$A$9:$A$365,'Bond Details'!$A37&amp;'Bond Details'!$B37&amp;'Bond Details'!$C37&amp;$D37,'CIP Details'!W$9:W$365),"")</f>
        <v/>
      </c>
      <c r="R37" s="6" t="str">
        <f>IF(SUMIF('CIP Details'!$A$9:$A$365,'Bond Details'!$A37&amp;'Bond Details'!$B37&amp;'Bond Details'!$C37&amp;$D37,'CIP Details'!X$9:X$365)&gt;0,SUMIF('CIP Details'!$A$9:$A$365,'Bond Details'!$A37&amp;'Bond Details'!$B37&amp;'Bond Details'!$C37&amp;$D37,'CIP Details'!X$9:X$365),"")</f>
        <v/>
      </c>
      <c r="S37" s="6" t="str">
        <f>IF(SUMIF('CIP Details'!$A$9:$A$365,'Bond Details'!$A37&amp;'Bond Details'!$B37&amp;'Bond Details'!$C37&amp;$D37,'CIP Details'!Y$9:Y$365)&gt;0,SUMIF('CIP Details'!$A$9:$A$365,'Bond Details'!$A37&amp;'Bond Details'!$B37&amp;'Bond Details'!$C37&amp;$D37,'CIP Details'!Y$9:Y$365),"")</f>
        <v/>
      </c>
    </row>
    <row r="38" spans="1:19" ht="18.75" x14ac:dyDescent="0.25">
      <c r="A38" s="235" t="s">
        <v>315</v>
      </c>
      <c r="B38" t="s">
        <v>248</v>
      </c>
      <c r="C38" t="s">
        <v>626</v>
      </c>
      <c r="D38" s="1" t="s">
        <v>19</v>
      </c>
      <c r="E38" s="6" t="str">
        <f>IF(SUMIF('CIP Details'!$A$9:$A$365,'Bond Details'!$A38&amp;'Bond Details'!$B38&amp;'Bond Details'!$C38&amp;$D38,'CIP Details'!K$9:K$365)&gt;0,SUMIF('CIP Details'!$A$9:$A$365,'Bond Details'!$A38&amp;'Bond Details'!$B38&amp;'Bond Details'!$C38&amp;$D38,'CIP Details'!K$9:K$365),"")</f>
        <v/>
      </c>
      <c r="F38" s="6" t="str">
        <f>IF(SUMIF('CIP Details'!$A$9:$A$365,'Bond Details'!$A38&amp;'Bond Details'!$B38&amp;'Bond Details'!$C38&amp;$D38,'CIP Details'!L$9:L$365)&gt;0,SUMIF('CIP Details'!$A$9:$A$365,'Bond Details'!$A38&amp;'Bond Details'!$B38&amp;'Bond Details'!$C38&amp;$D38,'CIP Details'!L$9:L$365),"")</f>
        <v/>
      </c>
      <c r="G38" s="6" t="str">
        <f>IF(SUMIF('CIP Details'!$A$9:$A$365,'Bond Details'!$A38&amp;'Bond Details'!$B38&amp;'Bond Details'!$C38&amp;$D38,'CIP Details'!M$9:M$365)&gt;0,SUMIF('CIP Details'!$A$9:$A$365,'Bond Details'!$A38&amp;'Bond Details'!$B38&amp;'Bond Details'!$C38&amp;$D38,'CIP Details'!M$9:M$365),"")</f>
        <v/>
      </c>
      <c r="H38" s="215"/>
      <c r="I38" s="6">
        <f>IF(SUMIF('CIP Details'!$A$9:$A$365,'Bond Details'!$A38&amp;'Bond Details'!$B38&amp;'Bond Details'!$C38&amp;$D38,'CIP Details'!O$9:O$365)&gt;0,SUMIF('CIP Details'!$A$9:$A$365,'Bond Details'!$A38&amp;'Bond Details'!$B38&amp;'Bond Details'!$C38&amp;$D38,'CIP Details'!O$9:O$365),"")</f>
        <v>400000</v>
      </c>
      <c r="J38" s="6">
        <f>IF(SUMIF('CIP Details'!$A$9:$A$365,'Bond Details'!$A38&amp;'Bond Details'!$B38&amp;'Bond Details'!$C38&amp;$D38,'CIP Details'!P$9:P$365)&gt;0,SUMIF('CIP Details'!$A$9:$A$365,'Bond Details'!$A38&amp;'Bond Details'!$B38&amp;'Bond Details'!$C38&amp;$D38,'CIP Details'!P$9:P$365),"")</f>
        <v>800000</v>
      </c>
      <c r="K38" s="6">
        <f>IF(SUMIF('CIP Details'!$A$9:$A$365,'Bond Details'!$A38&amp;'Bond Details'!$B38&amp;'Bond Details'!$C38&amp;$D38,'CIP Details'!Q$9:Q$365)&gt;0,SUMIF('CIP Details'!$A$9:$A$365,'Bond Details'!$A38&amp;'Bond Details'!$B38&amp;'Bond Details'!$C38&amp;$D38,'CIP Details'!Q$9:Q$365),"")</f>
        <v>400000</v>
      </c>
      <c r="L38" s="6" t="str">
        <f>IF(SUMIF('CIP Details'!$A$9:$A$365,'Bond Details'!$A38&amp;'Bond Details'!$B38&amp;'Bond Details'!$C38&amp;$D38,'CIP Details'!R$9:R$365)&gt;0,SUMIF('CIP Details'!$A$9:$A$365,'Bond Details'!$A38&amp;'Bond Details'!$B38&amp;'Bond Details'!$C38&amp;$D38,'CIP Details'!R$9:R$365),"")</f>
        <v/>
      </c>
      <c r="M38" s="6" t="str">
        <f>IF(SUMIF('CIP Details'!$A$9:$A$365,'Bond Details'!$A38&amp;'Bond Details'!$B38&amp;'Bond Details'!$C38&amp;$D38,'CIP Details'!S$9:S$365)&gt;0,SUMIF('CIP Details'!$A$9:$A$365,'Bond Details'!$A38&amp;'Bond Details'!$B38&amp;'Bond Details'!$C38&amp;$D38,'CIP Details'!S$9:S$365),"")</f>
        <v/>
      </c>
      <c r="N38" s="6">
        <f>IF(SUMIF('CIP Details'!$A$9:$A$365,'Bond Details'!$A38&amp;'Bond Details'!$B38&amp;'Bond Details'!$C38&amp;$D38,'CIP Details'!T$9:T$365)&gt;0,SUMIF('CIP Details'!$A$9:$A$365,'Bond Details'!$A38&amp;'Bond Details'!$B38&amp;'Bond Details'!$C38&amp;$D38,'CIP Details'!T$9:T$365),"")</f>
        <v>1600000</v>
      </c>
      <c r="O38" s="6" t="str">
        <f>IF(SUMIF('CIP Details'!$A$9:$A$365,'Bond Details'!$A38&amp;'Bond Details'!$B38&amp;'Bond Details'!$C38&amp;$D38,'CIP Details'!U$9:U$365)&gt;0,SUMIF('CIP Details'!$A$9:$A$365,'Bond Details'!$A38&amp;'Bond Details'!$B38&amp;'Bond Details'!$C38&amp;$D38,'CIP Details'!U$9:U$365),"")</f>
        <v/>
      </c>
      <c r="P38" s="6" t="str">
        <f>IF(SUMIF('CIP Details'!$A$9:$A$365,'Bond Details'!$A38&amp;'Bond Details'!$B38&amp;'Bond Details'!$C38&amp;$D38,'CIP Details'!V$9:V$365)&gt;0,SUMIF('CIP Details'!$A$9:$A$365,'Bond Details'!$A38&amp;'Bond Details'!$B38&amp;'Bond Details'!$C38&amp;$D38,'CIP Details'!V$9:V$365),"")</f>
        <v/>
      </c>
      <c r="Q38" s="6">
        <f>IF(SUMIF('CIP Details'!$A$9:$A$365,'Bond Details'!$A38&amp;'Bond Details'!$B38&amp;'Bond Details'!$C38&amp;$D38,'CIP Details'!W$9:W$365)&gt;0,SUMIF('CIP Details'!$A$9:$A$365,'Bond Details'!$A38&amp;'Bond Details'!$B38&amp;'Bond Details'!$C38&amp;$D38,'CIP Details'!W$9:W$365),"")</f>
        <v>800000</v>
      </c>
      <c r="R38" s="6">
        <f>IF(SUMIF('CIP Details'!$A$9:$A$365,'Bond Details'!$A38&amp;'Bond Details'!$B38&amp;'Bond Details'!$C38&amp;$D38,'CIP Details'!X$9:X$365)&gt;0,SUMIF('CIP Details'!$A$9:$A$365,'Bond Details'!$A38&amp;'Bond Details'!$B38&amp;'Bond Details'!$C38&amp;$D38,'CIP Details'!X$9:X$365),"")</f>
        <v>800000</v>
      </c>
      <c r="S38" s="6" t="str">
        <f>IF(SUMIF('CIP Details'!$A$9:$A$365,'Bond Details'!$A38&amp;'Bond Details'!$B38&amp;'Bond Details'!$C38&amp;$D38,'CIP Details'!Y$9:Y$365)&gt;0,SUMIF('CIP Details'!$A$9:$A$365,'Bond Details'!$A38&amp;'Bond Details'!$B38&amp;'Bond Details'!$C38&amp;$D38,'CIP Details'!Y$9:Y$365),"")</f>
        <v/>
      </c>
    </row>
    <row r="39" spans="1:19" ht="18.75" x14ac:dyDescent="0.25">
      <c r="A39" s="235" t="s">
        <v>315</v>
      </c>
      <c r="B39" t="s">
        <v>248</v>
      </c>
      <c r="C39" t="s">
        <v>470</v>
      </c>
      <c r="D39" s="1" t="s">
        <v>19</v>
      </c>
      <c r="E39" s="6" t="str">
        <f>IF(SUMIF('CIP Details'!$A$9:$A$365,'Bond Details'!$A39&amp;'Bond Details'!$B39&amp;'Bond Details'!$C39&amp;$D39,'CIP Details'!K$9:K$365)&gt;0,SUMIF('CIP Details'!$A$9:$A$365,'Bond Details'!$A39&amp;'Bond Details'!$B39&amp;'Bond Details'!$C39&amp;$D39,'CIP Details'!K$9:K$365),"")</f>
        <v/>
      </c>
      <c r="F39" s="6" t="str">
        <f>IF(SUMIF('CIP Details'!$A$9:$A$365,'Bond Details'!$A39&amp;'Bond Details'!$B39&amp;'Bond Details'!$C39&amp;$D39,'CIP Details'!L$9:L$365)&gt;0,SUMIF('CIP Details'!$A$9:$A$365,'Bond Details'!$A39&amp;'Bond Details'!$B39&amp;'Bond Details'!$C39&amp;$D39,'CIP Details'!L$9:L$365),"")</f>
        <v/>
      </c>
      <c r="G39" s="6" t="str">
        <f>IF(SUMIF('CIP Details'!$A$9:$A$365,'Bond Details'!$A39&amp;'Bond Details'!$B39&amp;'Bond Details'!$C39&amp;$D39,'CIP Details'!M$9:M$365)&gt;0,SUMIF('CIP Details'!$A$9:$A$365,'Bond Details'!$A39&amp;'Bond Details'!$B39&amp;'Bond Details'!$C39&amp;$D39,'CIP Details'!M$9:M$365),"")</f>
        <v/>
      </c>
      <c r="H39" s="215"/>
      <c r="I39" s="6" t="str">
        <f>IF(SUMIF('CIP Details'!$A$9:$A$365,'Bond Details'!$A39&amp;'Bond Details'!$B39&amp;'Bond Details'!$C39&amp;$D39,'CIP Details'!O$9:O$365)&gt;0,SUMIF('CIP Details'!$A$9:$A$365,'Bond Details'!$A39&amp;'Bond Details'!$B39&amp;'Bond Details'!$C39&amp;$D39,'CIP Details'!O$9:O$365),"")</f>
        <v/>
      </c>
      <c r="J39" s="6" t="str">
        <f>IF(SUMIF('CIP Details'!$A$9:$A$365,'Bond Details'!$A39&amp;'Bond Details'!$B39&amp;'Bond Details'!$C39&amp;$D39,'CIP Details'!P$9:P$365)&gt;0,SUMIF('CIP Details'!$A$9:$A$365,'Bond Details'!$A39&amp;'Bond Details'!$B39&amp;'Bond Details'!$C39&amp;$D39,'CIP Details'!P$9:P$365),"")</f>
        <v/>
      </c>
      <c r="K39" s="6" t="str">
        <f>IF(SUMIF('CIP Details'!$A$9:$A$365,'Bond Details'!$A39&amp;'Bond Details'!$B39&amp;'Bond Details'!$C39&amp;$D39,'CIP Details'!Q$9:Q$365)&gt;0,SUMIF('CIP Details'!$A$9:$A$365,'Bond Details'!$A39&amp;'Bond Details'!$B39&amp;'Bond Details'!$C39&amp;$D39,'CIP Details'!Q$9:Q$365),"")</f>
        <v/>
      </c>
      <c r="L39" s="6" t="str">
        <f>IF(SUMIF('CIP Details'!$A$9:$A$365,'Bond Details'!$A39&amp;'Bond Details'!$B39&amp;'Bond Details'!$C39&amp;$D39,'CIP Details'!R$9:R$365)&gt;0,SUMIF('CIP Details'!$A$9:$A$365,'Bond Details'!$A39&amp;'Bond Details'!$B39&amp;'Bond Details'!$C39&amp;$D39,'CIP Details'!R$9:R$365),"")</f>
        <v/>
      </c>
      <c r="M39" s="6" t="str">
        <f>IF(SUMIF('CIP Details'!$A$9:$A$365,'Bond Details'!$A39&amp;'Bond Details'!$B39&amp;'Bond Details'!$C39&amp;$D39,'CIP Details'!S$9:S$365)&gt;0,SUMIF('CIP Details'!$A$9:$A$365,'Bond Details'!$A39&amp;'Bond Details'!$B39&amp;'Bond Details'!$C39&amp;$D39,'CIP Details'!S$9:S$365),"")</f>
        <v/>
      </c>
      <c r="N39" s="6" t="str">
        <f>IF(SUMIF('CIP Details'!$A$9:$A$365,'Bond Details'!$A39&amp;'Bond Details'!$B39&amp;'Bond Details'!$C39&amp;$D39,'CIP Details'!T$9:T$365)&gt;0,SUMIF('CIP Details'!$A$9:$A$365,'Bond Details'!$A39&amp;'Bond Details'!$B39&amp;'Bond Details'!$C39&amp;$D39,'CIP Details'!T$9:T$365),"")</f>
        <v/>
      </c>
      <c r="O39" s="6" t="str">
        <f>IF(SUMIF('CIP Details'!$A$9:$A$365,'Bond Details'!$A39&amp;'Bond Details'!$B39&amp;'Bond Details'!$C39&amp;$D39,'CIP Details'!U$9:U$365)&gt;0,SUMIF('CIP Details'!$A$9:$A$365,'Bond Details'!$A39&amp;'Bond Details'!$B39&amp;'Bond Details'!$C39&amp;$D39,'CIP Details'!U$9:U$365),"")</f>
        <v/>
      </c>
      <c r="P39" s="6" t="str">
        <f>IF(SUMIF('CIP Details'!$A$9:$A$365,'Bond Details'!$A39&amp;'Bond Details'!$B39&amp;'Bond Details'!$C39&amp;$D39,'CIP Details'!V$9:V$365)&gt;0,SUMIF('CIP Details'!$A$9:$A$365,'Bond Details'!$A39&amp;'Bond Details'!$B39&amp;'Bond Details'!$C39&amp;$D39,'CIP Details'!V$9:V$365),"")</f>
        <v/>
      </c>
      <c r="Q39" s="6" t="str">
        <f>IF(SUMIF('CIP Details'!$A$9:$A$365,'Bond Details'!$A39&amp;'Bond Details'!$B39&amp;'Bond Details'!$C39&amp;$D39,'CIP Details'!W$9:W$365)&gt;0,SUMIF('CIP Details'!$A$9:$A$365,'Bond Details'!$A39&amp;'Bond Details'!$B39&amp;'Bond Details'!$C39&amp;$D39,'CIP Details'!W$9:W$365),"")</f>
        <v/>
      </c>
      <c r="R39" s="6" t="str">
        <f>IF(SUMIF('CIP Details'!$A$9:$A$365,'Bond Details'!$A39&amp;'Bond Details'!$B39&amp;'Bond Details'!$C39&amp;$D39,'CIP Details'!X$9:X$365)&gt;0,SUMIF('CIP Details'!$A$9:$A$365,'Bond Details'!$A39&amp;'Bond Details'!$B39&amp;'Bond Details'!$C39&amp;$D39,'CIP Details'!X$9:X$365),"")</f>
        <v/>
      </c>
      <c r="S39" s="6" t="str">
        <f>IF(SUMIF('CIP Details'!$A$9:$A$365,'Bond Details'!$A39&amp;'Bond Details'!$B39&amp;'Bond Details'!$C39&amp;$D39,'CIP Details'!Y$9:Y$365)&gt;0,SUMIF('CIP Details'!$A$9:$A$365,'Bond Details'!$A39&amp;'Bond Details'!$B39&amp;'Bond Details'!$C39&amp;$D39,'CIP Details'!Y$9:Y$365),"")</f>
        <v/>
      </c>
    </row>
    <row r="40" spans="1:19" ht="18.75" x14ac:dyDescent="0.25">
      <c r="A40" s="235" t="s">
        <v>315</v>
      </c>
      <c r="B40" t="s">
        <v>248</v>
      </c>
      <c r="C40" t="s">
        <v>627</v>
      </c>
      <c r="D40" s="1" t="s">
        <v>19</v>
      </c>
      <c r="E40" s="6" t="str">
        <f>IF(SUMIF('CIP Details'!$A$9:$A$365,'Bond Details'!$A40&amp;'Bond Details'!$B40&amp;'Bond Details'!$C40&amp;$D40,'CIP Details'!K$9:K$365)&gt;0,SUMIF('CIP Details'!$A$9:$A$365,'Bond Details'!$A40&amp;'Bond Details'!$B40&amp;'Bond Details'!$C40&amp;$D40,'CIP Details'!K$9:K$365),"")</f>
        <v/>
      </c>
      <c r="F40" s="6" t="str">
        <f>IF(SUMIF('CIP Details'!$A$9:$A$365,'Bond Details'!$A40&amp;'Bond Details'!$B40&amp;'Bond Details'!$C40&amp;$D40,'CIP Details'!L$9:L$365)&gt;0,SUMIF('CIP Details'!$A$9:$A$365,'Bond Details'!$A40&amp;'Bond Details'!$B40&amp;'Bond Details'!$C40&amp;$D40,'CIP Details'!L$9:L$365),"")</f>
        <v/>
      </c>
      <c r="G40" s="6" t="str">
        <f>IF(SUMIF('CIP Details'!$A$9:$A$365,'Bond Details'!$A40&amp;'Bond Details'!$B40&amp;'Bond Details'!$C40&amp;$D40,'CIP Details'!M$9:M$365)&gt;0,SUMIF('CIP Details'!$A$9:$A$365,'Bond Details'!$A40&amp;'Bond Details'!$B40&amp;'Bond Details'!$C40&amp;$D40,'CIP Details'!M$9:M$365),"")</f>
        <v/>
      </c>
      <c r="H40" s="215"/>
      <c r="I40" s="6" t="str">
        <f>IF(SUMIF('CIP Details'!$A$9:$A$365,'Bond Details'!$A40&amp;'Bond Details'!$B40&amp;'Bond Details'!$C40&amp;$D40,'CIP Details'!O$9:O$365)&gt;0,SUMIF('CIP Details'!$A$9:$A$365,'Bond Details'!$A40&amp;'Bond Details'!$B40&amp;'Bond Details'!$C40&amp;$D40,'CIP Details'!O$9:O$365),"")</f>
        <v/>
      </c>
      <c r="J40" s="6" t="str">
        <f>IF(SUMIF('CIP Details'!$A$9:$A$365,'Bond Details'!$A40&amp;'Bond Details'!$B40&amp;'Bond Details'!$C40&amp;$D40,'CIP Details'!P$9:P$365)&gt;0,SUMIF('CIP Details'!$A$9:$A$365,'Bond Details'!$A40&amp;'Bond Details'!$B40&amp;'Bond Details'!$C40&amp;$D40,'CIP Details'!P$9:P$365),"")</f>
        <v/>
      </c>
      <c r="K40" s="6" t="str">
        <f>IF(SUMIF('CIP Details'!$A$9:$A$365,'Bond Details'!$A40&amp;'Bond Details'!$B40&amp;'Bond Details'!$C40&amp;$D40,'CIP Details'!Q$9:Q$365)&gt;0,SUMIF('CIP Details'!$A$9:$A$365,'Bond Details'!$A40&amp;'Bond Details'!$B40&amp;'Bond Details'!$C40&amp;$D40,'CIP Details'!Q$9:Q$365),"")</f>
        <v/>
      </c>
      <c r="L40" s="6" t="str">
        <f>IF(SUMIF('CIP Details'!$A$9:$A$365,'Bond Details'!$A40&amp;'Bond Details'!$B40&amp;'Bond Details'!$C40&amp;$D40,'CIP Details'!R$9:R$365)&gt;0,SUMIF('CIP Details'!$A$9:$A$365,'Bond Details'!$A40&amp;'Bond Details'!$B40&amp;'Bond Details'!$C40&amp;$D40,'CIP Details'!R$9:R$365),"")</f>
        <v/>
      </c>
      <c r="M40" s="6" t="str">
        <f>IF(SUMIF('CIP Details'!$A$9:$A$365,'Bond Details'!$A40&amp;'Bond Details'!$B40&amp;'Bond Details'!$C40&amp;$D40,'CIP Details'!S$9:S$365)&gt;0,SUMIF('CIP Details'!$A$9:$A$365,'Bond Details'!$A40&amp;'Bond Details'!$B40&amp;'Bond Details'!$C40&amp;$D40,'CIP Details'!S$9:S$365),"")</f>
        <v/>
      </c>
      <c r="N40" s="6">
        <f>IF(SUMIF('CIP Details'!$A$9:$A$365,'Bond Details'!$A40&amp;'Bond Details'!$B40&amp;'Bond Details'!$C40&amp;$D40,'CIP Details'!T$9:T$365)&gt;0,SUMIF('CIP Details'!$A$9:$A$365,'Bond Details'!$A40&amp;'Bond Details'!$B40&amp;'Bond Details'!$C40&amp;$D40,'CIP Details'!T$9:T$365),"")</f>
        <v>1000000</v>
      </c>
      <c r="O40" s="6" t="str">
        <f>IF(SUMIF('CIP Details'!$A$9:$A$365,'Bond Details'!$A40&amp;'Bond Details'!$B40&amp;'Bond Details'!$C40&amp;$D40,'CIP Details'!U$9:U$365)&gt;0,SUMIF('CIP Details'!$A$9:$A$365,'Bond Details'!$A40&amp;'Bond Details'!$B40&amp;'Bond Details'!$C40&amp;$D40,'CIP Details'!U$9:U$365),"")</f>
        <v/>
      </c>
      <c r="P40" s="6" t="str">
        <f>IF(SUMIF('CIP Details'!$A$9:$A$365,'Bond Details'!$A40&amp;'Bond Details'!$B40&amp;'Bond Details'!$C40&amp;$D40,'CIP Details'!V$9:V$365)&gt;0,SUMIF('CIP Details'!$A$9:$A$365,'Bond Details'!$A40&amp;'Bond Details'!$B40&amp;'Bond Details'!$C40&amp;$D40,'CIP Details'!V$9:V$365),"")</f>
        <v/>
      </c>
      <c r="Q40" s="6">
        <f>IF(SUMIF('CIP Details'!$A$9:$A$365,'Bond Details'!$A40&amp;'Bond Details'!$B40&amp;'Bond Details'!$C40&amp;$D40,'CIP Details'!W$9:W$365)&gt;0,SUMIF('CIP Details'!$A$9:$A$365,'Bond Details'!$A40&amp;'Bond Details'!$B40&amp;'Bond Details'!$C40&amp;$D40,'CIP Details'!W$9:W$365),"")</f>
        <v>1000000</v>
      </c>
      <c r="R40" s="6" t="str">
        <f>IF(SUMIF('CIP Details'!$A$9:$A$365,'Bond Details'!$A40&amp;'Bond Details'!$B40&amp;'Bond Details'!$C40&amp;$D40,'CIP Details'!X$9:X$365)&gt;0,SUMIF('CIP Details'!$A$9:$A$365,'Bond Details'!$A40&amp;'Bond Details'!$B40&amp;'Bond Details'!$C40&amp;$D40,'CIP Details'!X$9:X$365),"")</f>
        <v/>
      </c>
      <c r="S40" s="6" t="str">
        <f>IF(SUMIF('CIP Details'!$A$9:$A$365,'Bond Details'!$A40&amp;'Bond Details'!$B40&amp;'Bond Details'!$C40&amp;$D40,'CIP Details'!Y$9:Y$365)&gt;0,SUMIF('CIP Details'!$A$9:$A$365,'Bond Details'!$A40&amp;'Bond Details'!$B40&amp;'Bond Details'!$C40&amp;$D40,'CIP Details'!Y$9:Y$365),"")</f>
        <v/>
      </c>
    </row>
    <row r="41" spans="1:19" ht="18.75" x14ac:dyDescent="0.25">
      <c r="A41" s="235" t="s">
        <v>315</v>
      </c>
      <c r="B41" t="s">
        <v>248</v>
      </c>
      <c r="C41" t="s">
        <v>311</v>
      </c>
      <c r="D41" s="1" t="s">
        <v>19</v>
      </c>
      <c r="E41" s="6" t="str">
        <f>IF(SUMIF('CIP Details'!$A$9:$A$365,'Bond Details'!$A41&amp;'Bond Details'!$B41&amp;'Bond Details'!$C41&amp;$D41,'CIP Details'!K$9:K$365)&gt;0,SUMIF('CIP Details'!$A$9:$A$365,'Bond Details'!$A41&amp;'Bond Details'!$B41&amp;'Bond Details'!$C41&amp;$D41,'CIP Details'!K$9:K$365),"")</f>
        <v/>
      </c>
      <c r="F41" s="6" t="str">
        <f>IF(SUMIF('CIP Details'!$A$9:$A$365,'Bond Details'!$A41&amp;'Bond Details'!$B41&amp;'Bond Details'!$C41&amp;$D41,'CIP Details'!L$9:L$365)&gt;0,SUMIF('CIP Details'!$A$9:$A$365,'Bond Details'!$A41&amp;'Bond Details'!$B41&amp;'Bond Details'!$C41&amp;$D41,'CIP Details'!L$9:L$365),"")</f>
        <v/>
      </c>
      <c r="G41" s="6">
        <f>IF(SUMIF('CIP Details'!$A$9:$A$365,'Bond Details'!$A41&amp;'Bond Details'!$B41&amp;'Bond Details'!$C41&amp;$D41,'CIP Details'!M$9:M$365)&gt;0,SUMIF('CIP Details'!$A$9:$A$365,'Bond Details'!$A41&amp;'Bond Details'!$B41&amp;'Bond Details'!$C41&amp;$D41,'CIP Details'!M$9:M$365),"")</f>
        <v>1200000</v>
      </c>
      <c r="H41" s="215"/>
      <c r="I41" s="6">
        <f>IF(SUMIF('CIP Details'!$A$9:$A$365,'Bond Details'!$A41&amp;'Bond Details'!$B41&amp;'Bond Details'!$C41&amp;$D41,'CIP Details'!O$9:O$365)&gt;0,SUMIF('CIP Details'!$A$9:$A$365,'Bond Details'!$A41&amp;'Bond Details'!$B41&amp;'Bond Details'!$C41&amp;$D41,'CIP Details'!O$9:O$365),"")</f>
        <v>50000</v>
      </c>
      <c r="J41" s="6" t="str">
        <f>IF(SUMIF('CIP Details'!$A$9:$A$365,'Bond Details'!$A41&amp;'Bond Details'!$B41&amp;'Bond Details'!$C41&amp;$D41,'CIP Details'!P$9:P$365)&gt;0,SUMIF('CIP Details'!$A$9:$A$365,'Bond Details'!$A41&amp;'Bond Details'!$B41&amp;'Bond Details'!$C41&amp;$D41,'CIP Details'!P$9:P$365),"")</f>
        <v/>
      </c>
      <c r="K41" s="6" t="str">
        <f>IF(SUMIF('CIP Details'!$A$9:$A$365,'Bond Details'!$A41&amp;'Bond Details'!$B41&amp;'Bond Details'!$C41&amp;$D41,'CIP Details'!Q$9:Q$365)&gt;0,SUMIF('CIP Details'!$A$9:$A$365,'Bond Details'!$A41&amp;'Bond Details'!$B41&amp;'Bond Details'!$C41&amp;$D41,'CIP Details'!Q$9:Q$365),"")</f>
        <v/>
      </c>
      <c r="L41" s="6" t="str">
        <f>IF(SUMIF('CIP Details'!$A$9:$A$365,'Bond Details'!$A41&amp;'Bond Details'!$B41&amp;'Bond Details'!$C41&amp;$D41,'CIP Details'!R$9:R$365)&gt;0,SUMIF('CIP Details'!$A$9:$A$365,'Bond Details'!$A41&amp;'Bond Details'!$B41&amp;'Bond Details'!$C41&amp;$D41,'CIP Details'!R$9:R$365),"")</f>
        <v/>
      </c>
      <c r="M41" s="6" t="str">
        <f>IF(SUMIF('CIP Details'!$A$9:$A$365,'Bond Details'!$A41&amp;'Bond Details'!$B41&amp;'Bond Details'!$C41&amp;$D41,'CIP Details'!S$9:S$365)&gt;0,SUMIF('CIP Details'!$A$9:$A$365,'Bond Details'!$A41&amp;'Bond Details'!$B41&amp;'Bond Details'!$C41&amp;$D41,'CIP Details'!S$9:S$365),"")</f>
        <v/>
      </c>
      <c r="N41" s="6" t="str">
        <f>IF(SUMIF('CIP Details'!$A$9:$A$365,'Bond Details'!$A41&amp;'Bond Details'!$B41&amp;'Bond Details'!$C41&amp;$D41,'CIP Details'!T$9:T$365)&gt;0,SUMIF('CIP Details'!$A$9:$A$365,'Bond Details'!$A41&amp;'Bond Details'!$B41&amp;'Bond Details'!$C41&amp;$D41,'CIP Details'!T$9:T$365),"")</f>
        <v/>
      </c>
      <c r="O41" s="6" t="str">
        <f>IF(SUMIF('CIP Details'!$A$9:$A$365,'Bond Details'!$A41&amp;'Bond Details'!$B41&amp;'Bond Details'!$C41&amp;$D41,'CIP Details'!U$9:U$365)&gt;0,SUMIF('CIP Details'!$A$9:$A$365,'Bond Details'!$A41&amp;'Bond Details'!$B41&amp;'Bond Details'!$C41&amp;$D41,'CIP Details'!U$9:U$365),"")</f>
        <v/>
      </c>
      <c r="P41" s="6" t="str">
        <f>IF(SUMIF('CIP Details'!$A$9:$A$365,'Bond Details'!$A41&amp;'Bond Details'!$B41&amp;'Bond Details'!$C41&amp;$D41,'CIP Details'!V$9:V$365)&gt;0,SUMIF('CIP Details'!$A$9:$A$365,'Bond Details'!$A41&amp;'Bond Details'!$B41&amp;'Bond Details'!$C41&amp;$D41,'CIP Details'!V$9:V$365),"")</f>
        <v/>
      </c>
      <c r="Q41" s="6" t="str">
        <f>IF(SUMIF('CIP Details'!$A$9:$A$365,'Bond Details'!$A41&amp;'Bond Details'!$B41&amp;'Bond Details'!$C41&amp;$D41,'CIP Details'!W$9:W$365)&gt;0,SUMIF('CIP Details'!$A$9:$A$365,'Bond Details'!$A41&amp;'Bond Details'!$B41&amp;'Bond Details'!$C41&amp;$D41,'CIP Details'!W$9:W$365),"")</f>
        <v/>
      </c>
      <c r="R41" s="6" t="str">
        <f>IF(SUMIF('CIP Details'!$A$9:$A$365,'Bond Details'!$A41&amp;'Bond Details'!$B41&amp;'Bond Details'!$C41&amp;$D41,'CIP Details'!X$9:X$365)&gt;0,SUMIF('CIP Details'!$A$9:$A$365,'Bond Details'!$A41&amp;'Bond Details'!$B41&amp;'Bond Details'!$C41&amp;$D41,'CIP Details'!X$9:X$365),"")</f>
        <v/>
      </c>
      <c r="S41" s="6" t="str">
        <f>IF(SUMIF('CIP Details'!$A$9:$A$365,'Bond Details'!$A41&amp;'Bond Details'!$B41&amp;'Bond Details'!$C41&amp;$D41,'CIP Details'!Y$9:Y$365)&gt;0,SUMIF('CIP Details'!$A$9:$A$365,'Bond Details'!$A41&amp;'Bond Details'!$B41&amp;'Bond Details'!$C41&amp;$D41,'CIP Details'!Y$9:Y$365),"")</f>
        <v/>
      </c>
    </row>
    <row r="42" spans="1:19" ht="18.75" x14ac:dyDescent="0.25">
      <c r="A42" s="235" t="s">
        <v>315</v>
      </c>
      <c r="B42" t="s">
        <v>248</v>
      </c>
      <c r="C42" t="s">
        <v>102</v>
      </c>
      <c r="D42" s="1" t="s">
        <v>19</v>
      </c>
      <c r="E42" s="6">
        <f>IF(SUMIF('CIP Details'!$A$9:$A$365,'Bond Details'!$A42&amp;'Bond Details'!$B42&amp;'Bond Details'!$C42&amp;$D42,'CIP Details'!K$9:K$365)&gt;0,SUMIF('CIP Details'!$A$9:$A$365,'Bond Details'!$A42&amp;'Bond Details'!$B42&amp;'Bond Details'!$C42&amp;$D42,'CIP Details'!K$9:K$365),"")</f>
        <v>500000</v>
      </c>
      <c r="F42" s="6" t="str">
        <f>IF(SUMIF('CIP Details'!$A$9:$A$365,'Bond Details'!$A42&amp;'Bond Details'!$B42&amp;'Bond Details'!$C42&amp;$D42,'CIP Details'!L$9:L$365)&gt;0,SUMIF('CIP Details'!$A$9:$A$365,'Bond Details'!$A42&amp;'Bond Details'!$B42&amp;'Bond Details'!$C42&amp;$D42,'CIP Details'!L$9:L$365),"")</f>
        <v/>
      </c>
      <c r="G42" s="6" t="str">
        <f>IF(SUMIF('CIP Details'!$A$9:$A$365,'Bond Details'!$A42&amp;'Bond Details'!$B42&amp;'Bond Details'!$C42&amp;$D42,'CIP Details'!M$9:M$365)&gt;0,SUMIF('CIP Details'!$A$9:$A$365,'Bond Details'!$A42&amp;'Bond Details'!$B42&amp;'Bond Details'!$C42&amp;$D42,'CIP Details'!M$9:M$365),"")</f>
        <v/>
      </c>
      <c r="H42" s="215"/>
      <c r="I42" s="6" t="str">
        <f>IF(SUMIF('CIP Details'!$A$9:$A$365,'Bond Details'!$A42&amp;'Bond Details'!$B42&amp;'Bond Details'!$C42&amp;$D42,'CIP Details'!O$9:O$365)&gt;0,SUMIF('CIP Details'!$A$9:$A$365,'Bond Details'!$A42&amp;'Bond Details'!$B42&amp;'Bond Details'!$C42&amp;$D42,'CIP Details'!O$9:O$365),"")</f>
        <v/>
      </c>
      <c r="J42" s="6" t="str">
        <f>IF(SUMIF('CIP Details'!$A$9:$A$365,'Bond Details'!$A42&amp;'Bond Details'!$B42&amp;'Bond Details'!$C42&amp;$D42,'CIP Details'!P$9:P$365)&gt;0,SUMIF('CIP Details'!$A$9:$A$365,'Bond Details'!$A42&amp;'Bond Details'!$B42&amp;'Bond Details'!$C42&amp;$D42,'CIP Details'!P$9:P$365),"")</f>
        <v/>
      </c>
      <c r="K42" s="6" t="str">
        <f>IF(SUMIF('CIP Details'!$A$9:$A$365,'Bond Details'!$A42&amp;'Bond Details'!$B42&amp;'Bond Details'!$C42&amp;$D42,'CIP Details'!Q$9:Q$365)&gt;0,SUMIF('CIP Details'!$A$9:$A$365,'Bond Details'!$A42&amp;'Bond Details'!$B42&amp;'Bond Details'!$C42&amp;$D42,'CIP Details'!Q$9:Q$365),"")</f>
        <v/>
      </c>
      <c r="L42" s="6" t="str">
        <f>IF(SUMIF('CIP Details'!$A$9:$A$365,'Bond Details'!$A42&amp;'Bond Details'!$B42&amp;'Bond Details'!$C42&amp;$D42,'CIP Details'!R$9:R$365)&gt;0,SUMIF('CIP Details'!$A$9:$A$365,'Bond Details'!$A42&amp;'Bond Details'!$B42&amp;'Bond Details'!$C42&amp;$D42,'CIP Details'!R$9:R$365),"")</f>
        <v/>
      </c>
      <c r="M42" s="6" t="str">
        <f>IF(SUMIF('CIP Details'!$A$9:$A$365,'Bond Details'!$A42&amp;'Bond Details'!$B42&amp;'Bond Details'!$C42&amp;$D42,'CIP Details'!S$9:S$365)&gt;0,SUMIF('CIP Details'!$A$9:$A$365,'Bond Details'!$A42&amp;'Bond Details'!$B42&amp;'Bond Details'!$C42&amp;$D42,'CIP Details'!S$9:S$365),"")</f>
        <v/>
      </c>
      <c r="N42" s="6" t="str">
        <f>IF(SUMIF('CIP Details'!$A$9:$A$365,'Bond Details'!$A42&amp;'Bond Details'!$B42&amp;'Bond Details'!$C42&amp;$D42,'CIP Details'!T$9:T$365)&gt;0,SUMIF('CIP Details'!$A$9:$A$365,'Bond Details'!$A42&amp;'Bond Details'!$B42&amp;'Bond Details'!$C42&amp;$D42,'CIP Details'!T$9:T$365),"")</f>
        <v/>
      </c>
      <c r="O42" s="6" t="str">
        <f>IF(SUMIF('CIP Details'!$A$9:$A$365,'Bond Details'!$A42&amp;'Bond Details'!$B42&amp;'Bond Details'!$C42&amp;$D42,'CIP Details'!U$9:U$365)&gt;0,SUMIF('CIP Details'!$A$9:$A$365,'Bond Details'!$A42&amp;'Bond Details'!$B42&amp;'Bond Details'!$C42&amp;$D42,'CIP Details'!U$9:U$365),"")</f>
        <v/>
      </c>
      <c r="P42" s="6" t="str">
        <f>IF(SUMIF('CIP Details'!$A$9:$A$365,'Bond Details'!$A42&amp;'Bond Details'!$B42&amp;'Bond Details'!$C42&amp;$D42,'CIP Details'!V$9:V$365)&gt;0,SUMIF('CIP Details'!$A$9:$A$365,'Bond Details'!$A42&amp;'Bond Details'!$B42&amp;'Bond Details'!$C42&amp;$D42,'CIP Details'!V$9:V$365),"")</f>
        <v/>
      </c>
      <c r="Q42" s="6" t="str">
        <f>IF(SUMIF('CIP Details'!$A$9:$A$365,'Bond Details'!$A42&amp;'Bond Details'!$B42&amp;'Bond Details'!$C42&amp;$D42,'CIP Details'!W$9:W$365)&gt;0,SUMIF('CIP Details'!$A$9:$A$365,'Bond Details'!$A42&amp;'Bond Details'!$B42&amp;'Bond Details'!$C42&amp;$D42,'CIP Details'!W$9:W$365),"")</f>
        <v/>
      </c>
      <c r="R42" s="6" t="str">
        <f>IF(SUMIF('CIP Details'!$A$9:$A$365,'Bond Details'!$A42&amp;'Bond Details'!$B42&amp;'Bond Details'!$C42&amp;$D42,'CIP Details'!X$9:X$365)&gt;0,SUMIF('CIP Details'!$A$9:$A$365,'Bond Details'!$A42&amp;'Bond Details'!$B42&amp;'Bond Details'!$C42&amp;$D42,'CIP Details'!X$9:X$365),"")</f>
        <v/>
      </c>
      <c r="S42" s="6" t="str">
        <f>IF(SUMIF('CIP Details'!$A$9:$A$365,'Bond Details'!$A42&amp;'Bond Details'!$B42&amp;'Bond Details'!$C42&amp;$D42,'CIP Details'!Y$9:Y$365)&gt;0,SUMIF('CIP Details'!$A$9:$A$365,'Bond Details'!$A42&amp;'Bond Details'!$B42&amp;'Bond Details'!$C42&amp;$D42,'CIP Details'!Y$9:Y$365),"")</f>
        <v/>
      </c>
    </row>
    <row r="43" spans="1:19" ht="18.75" x14ac:dyDescent="0.25">
      <c r="A43" s="235" t="s">
        <v>315</v>
      </c>
      <c r="B43" t="s">
        <v>249</v>
      </c>
      <c r="C43" t="s">
        <v>103</v>
      </c>
      <c r="D43" s="1" t="s">
        <v>19</v>
      </c>
      <c r="E43" s="6">
        <f>IF(SUMIF('CIP Details'!$A$9:$A$365,'Bond Details'!$A43&amp;'Bond Details'!$B43&amp;'Bond Details'!$C43&amp;$D43,'CIP Details'!K$9:K$365)&gt;0,SUMIF('CIP Details'!$A$9:$A$365,'Bond Details'!$A43&amp;'Bond Details'!$B43&amp;'Bond Details'!$C43&amp;$D43,'CIP Details'!K$9:K$365),"")</f>
        <v>1600000</v>
      </c>
      <c r="F43" s="6" t="str">
        <f>IF(SUMIF('CIP Details'!$A$9:$A$365,'Bond Details'!$A43&amp;'Bond Details'!$B43&amp;'Bond Details'!$C43&amp;$D43,'CIP Details'!L$9:L$365)&gt;0,SUMIF('CIP Details'!$A$9:$A$365,'Bond Details'!$A43&amp;'Bond Details'!$B43&amp;'Bond Details'!$C43&amp;$D43,'CIP Details'!L$9:L$365),"")</f>
        <v/>
      </c>
      <c r="G43" s="6" t="str">
        <f>IF(SUMIF('CIP Details'!$A$9:$A$365,'Bond Details'!$A43&amp;'Bond Details'!$B43&amp;'Bond Details'!$C43&amp;$D43,'CIP Details'!M$9:M$365)&gt;0,SUMIF('CIP Details'!$A$9:$A$365,'Bond Details'!$A43&amp;'Bond Details'!$B43&amp;'Bond Details'!$C43&amp;$D43,'CIP Details'!M$9:M$365),"")</f>
        <v/>
      </c>
      <c r="H43" s="215"/>
      <c r="I43" s="6" t="str">
        <f>IF(SUMIF('CIP Details'!$A$9:$A$365,'Bond Details'!$A43&amp;'Bond Details'!$B43&amp;'Bond Details'!$C43&amp;$D43,'CIP Details'!O$9:O$365)&gt;0,SUMIF('CIP Details'!$A$9:$A$365,'Bond Details'!$A43&amp;'Bond Details'!$B43&amp;'Bond Details'!$C43&amp;$D43,'CIP Details'!O$9:O$365),"")</f>
        <v/>
      </c>
      <c r="J43" s="6" t="str">
        <f>IF(SUMIF('CIP Details'!$A$9:$A$365,'Bond Details'!$A43&amp;'Bond Details'!$B43&amp;'Bond Details'!$C43&amp;$D43,'CIP Details'!P$9:P$365)&gt;0,SUMIF('CIP Details'!$A$9:$A$365,'Bond Details'!$A43&amp;'Bond Details'!$B43&amp;'Bond Details'!$C43&amp;$D43,'CIP Details'!P$9:P$365),"")</f>
        <v/>
      </c>
      <c r="K43" s="6" t="str">
        <f>IF(SUMIF('CIP Details'!$A$9:$A$365,'Bond Details'!$A43&amp;'Bond Details'!$B43&amp;'Bond Details'!$C43&amp;$D43,'CIP Details'!Q$9:Q$365)&gt;0,SUMIF('CIP Details'!$A$9:$A$365,'Bond Details'!$A43&amp;'Bond Details'!$B43&amp;'Bond Details'!$C43&amp;$D43,'CIP Details'!Q$9:Q$365),"")</f>
        <v/>
      </c>
      <c r="L43" s="6" t="str">
        <f>IF(SUMIF('CIP Details'!$A$9:$A$365,'Bond Details'!$A43&amp;'Bond Details'!$B43&amp;'Bond Details'!$C43&amp;$D43,'CIP Details'!R$9:R$365)&gt;0,SUMIF('CIP Details'!$A$9:$A$365,'Bond Details'!$A43&amp;'Bond Details'!$B43&amp;'Bond Details'!$C43&amp;$D43,'CIP Details'!R$9:R$365),"")</f>
        <v/>
      </c>
      <c r="M43" s="6" t="str">
        <f>IF(SUMIF('CIP Details'!$A$9:$A$365,'Bond Details'!$A43&amp;'Bond Details'!$B43&amp;'Bond Details'!$C43&amp;$D43,'CIP Details'!S$9:S$365)&gt;0,SUMIF('CIP Details'!$A$9:$A$365,'Bond Details'!$A43&amp;'Bond Details'!$B43&amp;'Bond Details'!$C43&amp;$D43,'CIP Details'!S$9:S$365),"")</f>
        <v/>
      </c>
      <c r="N43" s="6" t="str">
        <f>IF(SUMIF('CIP Details'!$A$9:$A$365,'Bond Details'!$A43&amp;'Bond Details'!$B43&amp;'Bond Details'!$C43&amp;$D43,'CIP Details'!T$9:T$365)&gt;0,SUMIF('CIP Details'!$A$9:$A$365,'Bond Details'!$A43&amp;'Bond Details'!$B43&amp;'Bond Details'!$C43&amp;$D43,'CIP Details'!T$9:T$365),"")</f>
        <v/>
      </c>
      <c r="O43" s="6" t="str">
        <f>IF(SUMIF('CIP Details'!$A$9:$A$365,'Bond Details'!$A43&amp;'Bond Details'!$B43&amp;'Bond Details'!$C43&amp;$D43,'CIP Details'!U$9:U$365)&gt;0,SUMIF('CIP Details'!$A$9:$A$365,'Bond Details'!$A43&amp;'Bond Details'!$B43&amp;'Bond Details'!$C43&amp;$D43,'CIP Details'!U$9:U$365),"")</f>
        <v/>
      </c>
      <c r="P43" s="6" t="str">
        <f>IF(SUMIF('CIP Details'!$A$9:$A$365,'Bond Details'!$A43&amp;'Bond Details'!$B43&amp;'Bond Details'!$C43&amp;$D43,'CIP Details'!V$9:V$365)&gt;0,SUMIF('CIP Details'!$A$9:$A$365,'Bond Details'!$A43&amp;'Bond Details'!$B43&amp;'Bond Details'!$C43&amp;$D43,'CIP Details'!V$9:V$365),"")</f>
        <v/>
      </c>
      <c r="Q43" s="6" t="str">
        <f>IF(SUMIF('CIP Details'!$A$9:$A$365,'Bond Details'!$A43&amp;'Bond Details'!$B43&amp;'Bond Details'!$C43&amp;$D43,'CIP Details'!W$9:W$365)&gt;0,SUMIF('CIP Details'!$A$9:$A$365,'Bond Details'!$A43&amp;'Bond Details'!$B43&amp;'Bond Details'!$C43&amp;$D43,'CIP Details'!W$9:W$365),"")</f>
        <v/>
      </c>
      <c r="R43" s="6" t="str">
        <f>IF(SUMIF('CIP Details'!$A$9:$A$365,'Bond Details'!$A43&amp;'Bond Details'!$B43&amp;'Bond Details'!$C43&amp;$D43,'CIP Details'!X$9:X$365)&gt;0,SUMIF('CIP Details'!$A$9:$A$365,'Bond Details'!$A43&amp;'Bond Details'!$B43&amp;'Bond Details'!$C43&amp;$D43,'CIP Details'!X$9:X$365),"")</f>
        <v/>
      </c>
      <c r="S43" s="6" t="str">
        <f>IF(SUMIF('CIP Details'!$A$9:$A$365,'Bond Details'!$A43&amp;'Bond Details'!$B43&amp;'Bond Details'!$C43&amp;$D43,'CIP Details'!Y$9:Y$365)&gt;0,SUMIF('CIP Details'!$A$9:$A$365,'Bond Details'!$A43&amp;'Bond Details'!$B43&amp;'Bond Details'!$C43&amp;$D43,'CIP Details'!Y$9:Y$365),"")</f>
        <v/>
      </c>
    </row>
    <row r="44" spans="1:19" ht="18.75" x14ac:dyDescent="0.25">
      <c r="A44" s="235" t="s">
        <v>1</v>
      </c>
      <c r="B44" t="s">
        <v>1</v>
      </c>
      <c r="C44" t="s">
        <v>715</v>
      </c>
      <c r="D44" s="1" t="s">
        <v>19</v>
      </c>
      <c r="E44" s="6" t="str">
        <f>IF(SUMIF('CIP Details'!$A$9:$A$365,'Bond Details'!$A44&amp;'Bond Details'!$B44&amp;'Bond Details'!$C44&amp;$D44,'CIP Details'!K$9:K$365)&gt;0,SUMIF('CIP Details'!$A$9:$A$365,'Bond Details'!$A44&amp;'Bond Details'!$B44&amp;'Bond Details'!$C44&amp;$D44,'CIP Details'!K$9:K$365),"")</f>
        <v/>
      </c>
      <c r="F44" s="6" t="str">
        <f>IF(SUMIF('CIP Details'!$A$9:$A$365,'Bond Details'!$A44&amp;'Bond Details'!$B44&amp;'Bond Details'!$C44&amp;$D44,'CIP Details'!L$9:L$365)&gt;0,SUMIF('CIP Details'!$A$9:$A$365,'Bond Details'!$A44&amp;'Bond Details'!$B44&amp;'Bond Details'!$C44&amp;$D44,'CIP Details'!L$9:L$365),"")</f>
        <v/>
      </c>
      <c r="G44" s="6" t="str">
        <f>IF(SUMIF('CIP Details'!$A$9:$A$365,'Bond Details'!$A44&amp;'Bond Details'!$B44&amp;'Bond Details'!$C44&amp;$D44,'CIP Details'!M$9:M$365)&gt;0,SUMIF('CIP Details'!$A$9:$A$365,'Bond Details'!$A44&amp;'Bond Details'!$B44&amp;'Bond Details'!$C44&amp;$D44,'CIP Details'!M$9:M$365),"")</f>
        <v/>
      </c>
      <c r="H44" s="215"/>
      <c r="I44" s="6" t="str">
        <f>IF(SUMIF('CIP Details'!$A$9:$A$365,'Bond Details'!$A44&amp;'Bond Details'!$B44&amp;'Bond Details'!$C44&amp;$D44,'CIP Details'!O$9:O$365)&gt;0,SUMIF('CIP Details'!$A$9:$A$365,'Bond Details'!$A44&amp;'Bond Details'!$B44&amp;'Bond Details'!$C44&amp;$D44,'CIP Details'!O$9:O$365),"")</f>
        <v/>
      </c>
      <c r="J44" s="6" t="str">
        <f>IF(SUMIF('CIP Details'!$A$9:$A$365,'Bond Details'!$A44&amp;'Bond Details'!$B44&amp;'Bond Details'!$C44&amp;$D44,'CIP Details'!P$9:P$365)&gt;0,SUMIF('CIP Details'!$A$9:$A$365,'Bond Details'!$A44&amp;'Bond Details'!$B44&amp;'Bond Details'!$C44&amp;$D44,'CIP Details'!P$9:P$365),"")</f>
        <v/>
      </c>
      <c r="K44" s="6" t="str">
        <f>IF(SUMIF('CIP Details'!$A$9:$A$365,'Bond Details'!$A44&amp;'Bond Details'!$B44&amp;'Bond Details'!$C44&amp;$D44,'CIP Details'!Q$9:Q$365)&gt;0,SUMIF('CIP Details'!$A$9:$A$365,'Bond Details'!$A44&amp;'Bond Details'!$B44&amp;'Bond Details'!$C44&amp;$D44,'CIP Details'!Q$9:Q$365),"")</f>
        <v/>
      </c>
      <c r="L44" s="6" t="str">
        <f>IF(SUMIF('CIP Details'!$A$9:$A$365,'Bond Details'!$A44&amp;'Bond Details'!$B44&amp;'Bond Details'!$C44&amp;$D44,'CIP Details'!R$9:R$365)&gt;0,SUMIF('CIP Details'!$A$9:$A$365,'Bond Details'!$A44&amp;'Bond Details'!$B44&amp;'Bond Details'!$C44&amp;$D44,'CIP Details'!R$9:R$365),"")</f>
        <v/>
      </c>
      <c r="M44" s="6" t="str">
        <f>IF(SUMIF('CIP Details'!$A$9:$A$365,'Bond Details'!$A44&amp;'Bond Details'!$B44&amp;'Bond Details'!$C44&amp;$D44,'CIP Details'!S$9:S$365)&gt;0,SUMIF('CIP Details'!$A$9:$A$365,'Bond Details'!$A44&amp;'Bond Details'!$B44&amp;'Bond Details'!$C44&amp;$D44,'CIP Details'!S$9:S$365),"")</f>
        <v/>
      </c>
      <c r="N44" s="6">
        <f>IF(SUMIF('CIP Details'!$A$9:$A$365,'Bond Details'!$A44&amp;'Bond Details'!$B44&amp;'Bond Details'!$C44&amp;$D44,'CIP Details'!T$9:T$365)&gt;0,SUMIF('CIP Details'!$A$9:$A$365,'Bond Details'!$A44&amp;'Bond Details'!$B44&amp;'Bond Details'!$C44&amp;$D44,'CIP Details'!T$9:T$365),"")</f>
        <v>2100000</v>
      </c>
      <c r="O44" s="6" t="str">
        <f>IF(SUMIF('CIP Details'!$A$9:$A$365,'Bond Details'!$A44&amp;'Bond Details'!$B44&amp;'Bond Details'!$C44&amp;$D44,'CIP Details'!U$9:U$365)&gt;0,SUMIF('CIP Details'!$A$9:$A$365,'Bond Details'!$A44&amp;'Bond Details'!$B44&amp;'Bond Details'!$C44&amp;$D44,'CIP Details'!U$9:U$365),"")</f>
        <v/>
      </c>
      <c r="P44" s="6">
        <f>IF(SUMIF('CIP Details'!$A$9:$A$365,'Bond Details'!$A44&amp;'Bond Details'!$B44&amp;'Bond Details'!$C44&amp;$D44,'CIP Details'!V$9:V$365)&gt;0,SUMIF('CIP Details'!$A$9:$A$365,'Bond Details'!$A44&amp;'Bond Details'!$B44&amp;'Bond Details'!$C44&amp;$D44,'CIP Details'!V$9:V$365),"")</f>
        <v>2100000</v>
      </c>
      <c r="Q44" s="6" t="str">
        <f>IF(SUMIF('CIP Details'!$A$9:$A$365,'Bond Details'!$A44&amp;'Bond Details'!$B44&amp;'Bond Details'!$C44&amp;$D44,'CIP Details'!W$9:W$365)&gt;0,SUMIF('CIP Details'!$A$9:$A$365,'Bond Details'!$A44&amp;'Bond Details'!$B44&amp;'Bond Details'!$C44&amp;$D44,'CIP Details'!W$9:W$365),"")</f>
        <v/>
      </c>
      <c r="R44" s="6" t="str">
        <f>IF(SUMIF('CIP Details'!$A$9:$A$365,'Bond Details'!$A44&amp;'Bond Details'!$B44&amp;'Bond Details'!$C44&amp;$D44,'CIP Details'!X$9:X$365)&gt;0,SUMIF('CIP Details'!$A$9:$A$365,'Bond Details'!$A44&amp;'Bond Details'!$B44&amp;'Bond Details'!$C44&amp;$D44,'CIP Details'!X$9:X$365),"")</f>
        <v/>
      </c>
      <c r="S44" s="6" t="str">
        <f>IF(SUMIF('CIP Details'!$A$9:$A$365,'Bond Details'!$A44&amp;'Bond Details'!$B44&amp;'Bond Details'!$C44&amp;$D44,'CIP Details'!Y$9:Y$365)&gt;0,SUMIF('CIP Details'!$A$9:$A$365,'Bond Details'!$A44&amp;'Bond Details'!$B44&amp;'Bond Details'!$C44&amp;$D44,'CIP Details'!Y$9:Y$365),"")</f>
        <v/>
      </c>
    </row>
    <row r="45" spans="1:19" ht="18.75" x14ac:dyDescent="0.25">
      <c r="A45" s="235" t="s">
        <v>1</v>
      </c>
      <c r="B45" t="s">
        <v>1</v>
      </c>
      <c r="C45" s="26" t="s">
        <v>716</v>
      </c>
      <c r="D45" s="1" t="s">
        <v>19</v>
      </c>
      <c r="E45" s="6" t="str">
        <f>IF(SUMIF('CIP Details'!$A$9:$A$365,'Bond Details'!$A45&amp;'Bond Details'!$B45&amp;'Bond Details'!$C45&amp;$D45,'CIP Details'!K$9:K$365)&gt;0,SUMIF('CIP Details'!$A$9:$A$365,'Bond Details'!$A45&amp;'Bond Details'!$B45&amp;'Bond Details'!$C45&amp;$D45,'CIP Details'!K$9:K$365),"")</f>
        <v/>
      </c>
      <c r="F45" s="6" t="str">
        <f>IF(SUMIF('CIP Details'!$A$9:$A$365,'Bond Details'!$A45&amp;'Bond Details'!$B45&amp;'Bond Details'!$C45&amp;$D45,'CIP Details'!L$9:L$365)&gt;0,SUMIF('CIP Details'!$A$9:$A$365,'Bond Details'!$A45&amp;'Bond Details'!$B45&amp;'Bond Details'!$C45&amp;$D45,'CIP Details'!L$9:L$365),"")</f>
        <v/>
      </c>
      <c r="G45" s="6" t="str">
        <f>IF(SUMIF('CIP Details'!$A$9:$A$365,'Bond Details'!$A45&amp;'Bond Details'!$B45&amp;'Bond Details'!$C45&amp;$D45,'CIP Details'!M$9:M$365)&gt;0,SUMIF('CIP Details'!$A$9:$A$365,'Bond Details'!$A45&amp;'Bond Details'!$B45&amp;'Bond Details'!$C45&amp;$D45,'CIP Details'!M$9:M$365),"")</f>
        <v/>
      </c>
      <c r="H45" s="215"/>
      <c r="I45" s="6" t="str">
        <f>IF(SUMIF('CIP Details'!$A$9:$A$365,'Bond Details'!$A45&amp;'Bond Details'!$B45&amp;'Bond Details'!$C45&amp;$D45,'CIP Details'!O$9:O$365)&gt;0,SUMIF('CIP Details'!$A$9:$A$365,'Bond Details'!$A45&amp;'Bond Details'!$B45&amp;'Bond Details'!$C45&amp;$D45,'CIP Details'!O$9:O$365),"")</f>
        <v/>
      </c>
      <c r="J45" s="6" t="str">
        <f>IF(SUMIF('CIP Details'!$A$9:$A$365,'Bond Details'!$A45&amp;'Bond Details'!$B45&amp;'Bond Details'!$C45&amp;$D45,'CIP Details'!P$9:P$365)&gt;0,SUMIF('CIP Details'!$A$9:$A$365,'Bond Details'!$A45&amp;'Bond Details'!$B45&amp;'Bond Details'!$C45&amp;$D45,'CIP Details'!P$9:P$365),"")</f>
        <v/>
      </c>
      <c r="K45" s="6" t="str">
        <f>IF(SUMIF('CIP Details'!$A$9:$A$365,'Bond Details'!$A45&amp;'Bond Details'!$B45&amp;'Bond Details'!$C45&amp;$D45,'CIP Details'!Q$9:Q$365)&gt;0,SUMIF('CIP Details'!$A$9:$A$365,'Bond Details'!$A45&amp;'Bond Details'!$B45&amp;'Bond Details'!$C45&amp;$D45,'CIP Details'!Q$9:Q$365),"")</f>
        <v/>
      </c>
      <c r="L45" s="6" t="str">
        <f>IF(SUMIF('CIP Details'!$A$9:$A$365,'Bond Details'!$A45&amp;'Bond Details'!$B45&amp;'Bond Details'!$C45&amp;$D45,'CIP Details'!R$9:R$365)&gt;0,SUMIF('CIP Details'!$A$9:$A$365,'Bond Details'!$A45&amp;'Bond Details'!$B45&amp;'Bond Details'!$C45&amp;$D45,'CIP Details'!R$9:R$365),"")</f>
        <v/>
      </c>
      <c r="M45" s="6" t="str">
        <f>IF(SUMIF('CIP Details'!$A$9:$A$365,'Bond Details'!$A45&amp;'Bond Details'!$B45&amp;'Bond Details'!$C45&amp;$D45,'CIP Details'!S$9:S$365)&gt;0,SUMIF('CIP Details'!$A$9:$A$365,'Bond Details'!$A45&amp;'Bond Details'!$B45&amp;'Bond Details'!$C45&amp;$D45,'CIP Details'!S$9:S$365),"")</f>
        <v/>
      </c>
      <c r="N45" s="6">
        <f>IF(SUMIF('CIP Details'!$A$9:$A$365,'Bond Details'!$A45&amp;'Bond Details'!$B45&amp;'Bond Details'!$C45&amp;$D45,'CIP Details'!T$9:T$365)&gt;0,SUMIF('CIP Details'!$A$9:$A$365,'Bond Details'!$A45&amp;'Bond Details'!$B45&amp;'Bond Details'!$C45&amp;$D45,'CIP Details'!T$9:T$365),"")</f>
        <v>1500000</v>
      </c>
      <c r="O45" s="6" t="str">
        <f>IF(SUMIF('CIP Details'!$A$9:$A$365,'Bond Details'!$A45&amp;'Bond Details'!$B45&amp;'Bond Details'!$C45&amp;$D45,'CIP Details'!U$9:U$365)&gt;0,SUMIF('CIP Details'!$A$9:$A$365,'Bond Details'!$A45&amp;'Bond Details'!$B45&amp;'Bond Details'!$C45&amp;$D45,'CIP Details'!U$9:U$365),"")</f>
        <v/>
      </c>
      <c r="P45" s="6" t="str">
        <f>IF(SUMIF('CIP Details'!$A$9:$A$365,'Bond Details'!$A45&amp;'Bond Details'!$B45&amp;'Bond Details'!$C45&amp;$D45,'CIP Details'!V$9:V$365)&gt;0,SUMIF('CIP Details'!$A$9:$A$365,'Bond Details'!$A45&amp;'Bond Details'!$B45&amp;'Bond Details'!$C45&amp;$D45,'CIP Details'!V$9:V$365),"")</f>
        <v/>
      </c>
      <c r="Q45" s="6">
        <f>IF(SUMIF('CIP Details'!$A$9:$A$365,'Bond Details'!$A45&amp;'Bond Details'!$B45&amp;'Bond Details'!$C45&amp;$D45,'CIP Details'!W$9:W$365)&gt;0,SUMIF('CIP Details'!$A$9:$A$365,'Bond Details'!$A45&amp;'Bond Details'!$B45&amp;'Bond Details'!$C45&amp;$D45,'CIP Details'!W$9:W$365),"")</f>
        <v>1500000</v>
      </c>
      <c r="R45" s="6" t="str">
        <f>IF(SUMIF('CIP Details'!$A$9:$A$365,'Bond Details'!$A45&amp;'Bond Details'!$B45&amp;'Bond Details'!$C45&amp;$D45,'CIP Details'!X$9:X$365)&gt;0,SUMIF('CIP Details'!$A$9:$A$365,'Bond Details'!$A45&amp;'Bond Details'!$B45&amp;'Bond Details'!$C45&amp;$D45,'CIP Details'!X$9:X$365),"")</f>
        <v/>
      </c>
      <c r="S45" s="6" t="str">
        <f>IF(SUMIF('CIP Details'!$A$9:$A$365,'Bond Details'!$A45&amp;'Bond Details'!$B45&amp;'Bond Details'!$C45&amp;$D45,'CIP Details'!Y$9:Y$365)&gt;0,SUMIF('CIP Details'!$A$9:$A$365,'Bond Details'!$A45&amp;'Bond Details'!$B45&amp;'Bond Details'!$C45&amp;$D45,'CIP Details'!Y$9:Y$365),"")</f>
        <v/>
      </c>
    </row>
    <row r="46" spans="1:19" ht="18.75" x14ac:dyDescent="0.25">
      <c r="A46" s="235" t="s">
        <v>1</v>
      </c>
      <c r="B46" t="s">
        <v>1</v>
      </c>
      <c r="C46" s="26" t="s">
        <v>720</v>
      </c>
      <c r="D46" s="1" t="s">
        <v>19</v>
      </c>
      <c r="E46" s="6" t="str">
        <f>IF(SUMIF('CIP Details'!$A$9:$A$365,'Bond Details'!$A46&amp;'Bond Details'!$B46&amp;'Bond Details'!$C46&amp;$D46,'CIP Details'!K$9:K$365)&gt;0,SUMIF('CIP Details'!$A$9:$A$365,'Bond Details'!$A46&amp;'Bond Details'!$B46&amp;'Bond Details'!$C46&amp;$D46,'CIP Details'!K$9:K$365),"")</f>
        <v/>
      </c>
      <c r="F46" s="6" t="str">
        <f>IF(SUMIF('CIP Details'!$A$9:$A$365,'Bond Details'!$A46&amp;'Bond Details'!$B46&amp;'Bond Details'!$C46&amp;$D46,'CIP Details'!L$9:L$365)&gt;0,SUMIF('CIP Details'!$A$9:$A$365,'Bond Details'!$A46&amp;'Bond Details'!$B46&amp;'Bond Details'!$C46&amp;$D46,'CIP Details'!L$9:L$365),"")</f>
        <v/>
      </c>
      <c r="G46" s="6" t="str">
        <f>IF(SUMIF('CIP Details'!$A$9:$A$365,'Bond Details'!$A46&amp;'Bond Details'!$B46&amp;'Bond Details'!$C46&amp;$D46,'CIP Details'!M$9:M$365)&gt;0,SUMIF('CIP Details'!$A$9:$A$365,'Bond Details'!$A46&amp;'Bond Details'!$B46&amp;'Bond Details'!$C46&amp;$D46,'CIP Details'!M$9:M$365),"")</f>
        <v/>
      </c>
      <c r="H46" s="215"/>
      <c r="I46" s="6" t="str">
        <f>IF(SUMIF('CIP Details'!$A$9:$A$365,'Bond Details'!$A46&amp;'Bond Details'!$B46&amp;'Bond Details'!$C46&amp;$D46,'CIP Details'!O$9:O$365)&gt;0,SUMIF('CIP Details'!$A$9:$A$365,'Bond Details'!$A46&amp;'Bond Details'!$B46&amp;'Bond Details'!$C46&amp;$D46,'CIP Details'!O$9:O$365),"")</f>
        <v/>
      </c>
      <c r="J46" s="6" t="str">
        <f>IF(SUMIF('CIP Details'!$A$9:$A$365,'Bond Details'!$A46&amp;'Bond Details'!$B46&amp;'Bond Details'!$C46&amp;$D46,'CIP Details'!P$9:P$365)&gt;0,SUMIF('CIP Details'!$A$9:$A$365,'Bond Details'!$A46&amp;'Bond Details'!$B46&amp;'Bond Details'!$C46&amp;$D46,'CIP Details'!P$9:P$365),"")</f>
        <v/>
      </c>
      <c r="K46" s="6" t="str">
        <f>IF(SUMIF('CIP Details'!$A$9:$A$365,'Bond Details'!$A46&amp;'Bond Details'!$B46&amp;'Bond Details'!$C46&amp;$D46,'CIP Details'!Q$9:Q$365)&gt;0,SUMIF('CIP Details'!$A$9:$A$365,'Bond Details'!$A46&amp;'Bond Details'!$B46&amp;'Bond Details'!$C46&amp;$D46,'CIP Details'!Q$9:Q$365),"")</f>
        <v/>
      </c>
      <c r="L46" s="6" t="str">
        <f>IF(SUMIF('CIP Details'!$A$9:$A$365,'Bond Details'!$A46&amp;'Bond Details'!$B46&amp;'Bond Details'!$C46&amp;$D46,'CIP Details'!R$9:R$365)&gt;0,SUMIF('CIP Details'!$A$9:$A$365,'Bond Details'!$A46&amp;'Bond Details'!$B46&amp;'Bond Details'!$C46&amp;$D46,'CIP Details'!R$9:R$365),"")</f>
        <v/>
      </c>
      <c r="M46" s="6" t="str">
        <f>IF(SUMIF('CIP Details'!$A$9:$A$365,'Bond Details'!$A46&amp;'Bond Details'!$B46&amp;'Bond Details'!$C46&amp;$D46,'CIP Details'!S$9:S$365)&gt;0,SUMIF('CIP Details'!$A$9:$A$365,'Bond Details'!$A46&amp;'Bond Details'!$B46&amp;'Bond Details'!$C46&amp;$D46,'CIP Details'!S$9:S$365),"")</f>
        <v/>
      </c>
      <c r="N46" s="6">
        <f>IF(SUMIF('CIP Details'!$A$9:$A$365,'Bond Details'!$A46&amp;'Bond Details'!$B46&amp;'Bond Details'!$C46&amp;$D46,'CIP Details'!T$9:T$365)&gt;0,SUMIF('CIP Details'!$A$9:$A$365,'Bond Details'!$A46&amp;'Bond Details'!$B46&amp;'Bond Details'!$C46&amp;$D46,'CIP Details'!T$9:T$365),"")</f>
        <v>1200000</v>
      </c>
      <c r="O46" s="6" t="str">
        <f>IF(SUMIF('CIP Details'!$A$9:$A$365,'Bond Details'!$A46&amp;'Bond Details'!$B46&amp;'Bond Details'!$C46&amp;$D46,'CIP Details'!U$9:U$365)&gt;0,SUMIF('CIP Details'!$A$9:$A$365,'Bond Details'!$A46&amp;'Bond Details'!$B46&amp;'Bond Details'!$C46&amp;$D46,'CIP Details'!U$9:U$365),"")</f>
        <v/>
      </c>
      <c r="P46" s="6" t="str">
        <f>IF(SUMIF('CIP Details'!$A$9:$A$365,'Bond Details'!$A46&amp;'Bond Details'!$B46&amp;'Bond Details'!$C46&amp;$D46,'CIP Details'!V$9:V$365)&gt;0,SUMIF('CIP Details'!$A$9:$A$365,'Bond Details'!$A46&amp;'Bond Details'!$B46&amp;'Bond Details'!$C46&amp;$D46,'CIP Details'!V$9:V$365),"")</f>
        <v/>
      </c>
      <c r="Q46" s="6">
        <f>IF(SUMIF('CIP Details'!$A$9:$A$365,'Bond Details'!$A46&amp;'Bond Details'!$B46&amp;'Bond Details'!$C46&amp;$D46,'CIP Details'!W$9:W$365)&gt;0,SUMIF('CIP Details'!$A$9:$A$365,'Bond Details'!$A46&amp;'Bond Details'!$B46&amp;'Bond Details'!$C46&amp;$D46,'CIP Details'!W$9:W$365),"")</f>
        <v>1200000</v>
      </c>
      <c r="R46" s="6" t="str">
        <f>IF(SUMIF('CIP Details'!$A$9:$A$365,'Bond Details'!$A46&amp;'Bond Details'!$B46&amp;'Bond Details'!$C46&amp;$D46,'CIP Details'!X$9:X$365)&gt;0,SUMIF('CIP Details'!$A$9:$A$365,'Bond Details'!$A46&amp;'Bond Details'!$B46&amp;'Bond Details'!$C46&amp;$D46,'CIP Details'!X$9:X$365),"")</f>
        <v/>
      </c>
      <c r="S46" s="6" t="str">
        <f>IF(SUMIF('CIP Details'!$A$9:$A$365,'Bond Details'!$A46&amp;'Bond Details'!$B46&amp;'Bond Details'!$C46&amp;$D46,'CIP Details'!Y$9:Y$365)&gt;0,SUMIF('CIP Details'!$A$9:$A$365,'Bond Details'!$A46&amp;'Bond Details'!$B46&amp;'Bond Details'!$C46&amp;$D46,'CIP Details'!Y$9:Y$365),"")</f>
        <v/>
      </c>
    </row>
    <row r="47" spans="1:19" ht="18.75" x14ac:dyDescent="0.25">
      <c r="A47" s="235" t="s">
        <v>1</v>
      </c>
      <c r="B47" t="s">
        <v>1</v>
      </c>
      <c r="C47" s="26" t="s">
        <v>724</v>
      </c>
      <c r="D47" s="1" t="s">
        <v>19</v>
      </c>
      <c r="E47" s="6" t="str">
        <f>IF(SUMIF('CIP Details'!$A$9:$A$365,'Bond Details'!$A47&amp;'Bond Details'!$B47&amp;'Bond Details'!$C47&amp;$D47,'CIP Details'!K$9:K$365)&gt;0,SUMIF('CIP Details'!$A$9:$A$365,'Bond Details'!$A47&amp;'Bond Details'!$B47&amp;'Bond Details'!$C47&amp;$D47,'CIP Details'!K$9:K$365),"")</f>
        <v/>
      </c>
      <c r="F47" s="6" t="str">
        <f>IF(SUMIF('CIP Details'!$A$9:$A$365,'Bond Details'!$A47&amp;'Bond Details'!$B47&amp;'Bond Details'!$C47&amp;$D47,'CIP Details'!L$9:L$365)&gt;0,SUMIF('CIP Details'!$A$9:$A$365,'Bond Details'!$A47&amp;'Bond Details'!$B47&amp;'Bond Details'!$C47&amp;$D47,'CIP Details'!L$9:L$365),"")</f>
        <v/>
      </c>
      <c r="G47" s="6" t="str">
        <f>IF(SUMIF('CIP Details'!$A$9:$A$365,'Bond Details'!$A47&amp;'Bond Details'!$B47&amp;'Bond Details'!$C47&amp;$D47,'CIP Details'!M$9:M$365)&gt;0,SUMIF('CIP Details'!$A$9:$A$365,'Bond Details'!$A47&amp;'Bond Details'!$B47&amp;'Bond Details'!$C47&amp;$D47,'CIP Details'!M$9:M$365),"")</f>
        <v/>
      </c>
      <c r="H47" s="215"/>
      <c r="I47" s="6" t="str">
        <f>IF(SUMIF('CIP Details'!$A$9:$A$365,'Bond Details'!$A47&amp;'Bond Details'!$B47&amp;'Bond Details'!$C47&amp;$D47,'CIP Details'!O$9:O$365)&gt;0,SUMIF('CIP Details'!$A$9:$A$365,'Bond Details'!$A47&amp;'Bond Details'!$B47&amp;'Bond Details'!$C47&amp;$D47,'CIP Details'!O$9:O$365),"")</f>
        <v/>
      </c>
      <c r="J47" s="6" t="str">
        <f>IF(SUMIF('CIP Details'!$A$9:$A$365,'Bond Details'!$A47&amp;'Bond Details'!$B47&amp;'Bond Details'!$C47&amp;$D47,'CIP Details'!P$9:P$365)&gt;0,SUMIF('CIP Details'!$A$9:$A$365,'Bond Details'!$A47&amp;'Bond Details'!$B47&amp;'Bond Details'!$C47&amp;$D47,'CIP Details'!P$9:P$365),"")</f>
        <v/>
      </c>
      <c r="K47" s="6" t="str">
        <f>IF(SUMIF('CIP Details'!$A$9:$A$365,'Bond Details'!$A47&amp;'Bond Details'!$B47&amp;'Bond Details'!$C47&amp;$D47,'CIP Details'!Q$9:Q$365)&gt;0,SUMIF('CIP Details'!$A$9:$A$365,'Bond Details'!$A47&amp;'Bond Details'!$B47&amp;'Bond Details'!$C47&amp;$D47,'CIP Details'!Q$9:Q$365),"")</f>
        <v/>
      </c>
      <c r="L47" s="6" t="str">
        <f>IF(SUMIF('CIP Details'!$A$9:$A$365,'Bond Details'!$A47&amp;'Bond Details'!$B47&amp;'Bond Details'!$C47&amp;$D47,'CIP Details'!R$9:R$365)&gt;0,SUMIF('CIP Details'!$A$9:$A$365,'Bond Details'!$A47&amp;'Bond Details'!$B47&amp;'Bond Details'!$C47&amp;$D47,'CIP Details'!R$9:R$365),"")</f>
        <v/>
      </c>
      <c r="M47" s="6" t="str">
        <f>IF(SUMIF('CIP Details'!$A$9:$A$365,'Bond Details'!$A47&amp;'Bond Details'!$B47&amp;'Bond Details'!$C47&amp;$D47,'CIP Details'!S$9:S$365)&gt;0,SUMIF('CIP Details'!$A$9:$A$365,'Bond Details'!$A47&amp;'Bond Details'!$B47&amp;'Bond Details'!$C47&amp;$D47,'CIP Details'!S$9:S$365),"")</f>
        <v/>
      </c>
      <c r="N47" s="6">
        <f>IF(SUMIF('CIP Details'!$A$9:$A$365,'Bond Details'!$A47&amp;'Bond Details'!$B47&amp;'Bond Details'!$C47&amp;$D47,'CIP Details'!T$9:T$365)&gt;0,SUMIF('CIP Details'!$A$9:$A$365,'Bond Details'!$A47&amp;'Bond Details'!$B47&amp;'Bond Details'!$C47&amp;$D47,'CIP Details'!T$9:T$365),"")</f>
        <v>1300000</v>
      </c>
      <c r="O47" s="6" t="str">
        <f>IF(SUMIF('CIP Details'!$A$9:$A$365,'Bond Details'!$A47&amp;'Bond Details'!$B47&amp;'Bond Details'!$C47&amp;$D47,'CIP Details'!U$9:U$365)&gt;0,SUMIF('CIP Details'!$A$9:$A$365,'Bond Details'!$A47&amp;'Bond Details'!$B47&amp;'Bond Details'!$C47&amp;$D47,'CIP Details'!U$9:U$365),"")</f>
        <v/>
      </c>
      <c r="P47" s="6" t="str">
        <f>IF(SUMIF('CIP Details'!$A$9:$A$365,'Bond Details'!$A47&amp;'Bond Details'!$B47&amp;'Bond Details'!$C47&amp;$D47,'CIP Details'!V$9:V$365)&gt;0,SUMIF('CIP Details'!$A$9:$A$365,'Bond Details'!$A47&amp;'Bond Details'!$B47&amp;'Bond Details'!$C47&amp;$D47,'CIP Details'!V$9:V$365),"")</f>
        <v/>
      </c>
      <c r="Q47" s="6" t="str">
        <f>IF(SUMIF('CIP Details'!$A$9:$A$365,'Bond Details'!$A47&amp;'Bond Details'!$B47&amp;'Bond Details'!$C47&amp;$D47,'CIP Details'!W$9:W$365)&gt;0,SUMIF('CIP Details'!$A$9:$A$365,'Bond Details'!$A47&amp;'Bond Details'!$B47&amp;'Bond Details'!$C47&amp;$D47,'CIP Details'!W$9:W$365),"")</f>
        <v/>
      </c>
      <c r="R47" s="6">
        <f>IF(SUMIF('CIP Details'!$A$9:$A$365,'Bond Details'!$A47&amp;'Bond Details'!$B47&amp;'Bond Details'!$C47&amp;$D47,'CIP Details'!X$9:X$365)&gt;0,SUMIF('CIP Details'!$A$9:$A$365,'Bond Details'!$A47&amp;'Bond Details'!$B47&amp;'Bond Details'!$C47&amp;$D47,'CIP Details'!X$9:X$365),"")</f>
        <v>1300000</v>
      </c>
      <c r="S47" s="6" t="str">
        <f>IF(SUMIF('CIP Details'!$A$9:$A$365,'Bond Details'!$A47&amp;'Bond Details'!$B47&amp;'Bond Details'!$C47&amp;$D47,'CIP Details'!Y$9:Y$365)&gt;0,SUMIF('CIP Details'!$A$9:$A$365,'Bond Details'!$A47&amp;'Bond Details'!$B47&amp;'Bond Details'!$C47&amp;$D47,'CIP Details'!Y$9:Y$365),"")</f>
        <v/>
      </c>
    </row>
    <row r="48" spans="1:19" ht="18.75" x14ac:dyDescent="0.25">
      <c r="A48" s="235" t="s">
        <v>1</v>
      </c>
      <c r="B48" t="s">
        <v>1</v>
      </c>
      <c r="C48" t="s">
        <v>104</v>
      </c>
      <c r="D48" s="1" t="s">
        <v>19</v>
      </c>
      <c r="E48" s="6">
        <f>IF(SUMIF('CIP Details'!$A$9:$A$365,'Bond Details'!$A48&amp;'Bond Details'!$B48&amp;'Bond Details'!$C48&amp;$D48,'CIP Details'!K$9:K$365)&gt;0,SUMIF('CIP Details'!$A$9:$A$365,'Bond Details'!$A48&amp;'Bond Details'!$B48&amp;'Bond Details'!$C48&amp;$D48,'CIP Details'!K$9:K$365),"")</f>
        <v>515000</v>
      </c>
      <c r="F48" s="6" t="str">
        <f>IF(SUMIF('CIP Details'!$A$9:$A$365,'Bond Details'!$A48&amp;'Bond Details'!$B48&amp;'Bond Details'!$C48&amp;$D48,'CIP Details'!L$9:L$365)&gt;0,SUMIF('CIP Details'!$A$9:$A$365,'Bond Details'!$A48&amp;'Bond Details'!$B48&amp;'Bond Details'!$C48&amp;$D48,'CIP Details'!L$9:L$365),"")</f>
        <v/>
      </c>
      <c r="G48" s="6" t="str">
        <f>IF(SUMIF('CIP Details'!$A$9:$A$365,'Bond Details'!$A48&amp;'Bond Details'!$B48&amp;'Bond Details'!$C48&amp;$D48,'CIP Details'!M$9:M$365)&gt;0,SUMIF('CIP Details'!$A$9:$A$365,'Bond Details'!$A48&amp;'Bond Details'!$B48&amp;'Bond Details'!$C48&amp;$D48,'CIP Details'!M$9:M$365),"")</f>
        <v/>
      </c>
      <c r="H48" s="215"/>
      <c r="I48" s="6" t="str">
        <f>IF(SUMIF('CIP Details'!$A$9:$A$365,'Bond Details'!$A48&amp;'Bond Details'!$B48&amp;'Bond Details'!$C48&amp;$D48,'CIP Details'!O$9:O$365)&gt;0,SUMIF('CIP Details'!$A$9:$A$365,'Bond Details'!$A48&amp;'Bond Details'!$B48&amp;'Bond Details'!$C48&amp;$D48,'CIP Details'!O$9:O$365),"")</f>
        <v/>
      </c>
      <c r="J48" s="6" t="str">
        <f>IF(SUMIF('CIP Details'!$A$9:$A$365,'Bond Details'!$A48&amp;'Bond Details'!$B48&amp;'Bond Details'!$C48&amp;$D48,'CIP Details'!P$9:P$365)&gt;0,SUMIF('CIP Details'!$A$9:$A$365,'Bond Details'!$A48&amp;'Bond Details'!$B48&amp;'Bond Details'!$C48&amp;$D48,'CIP Details'!P$9:P$365),"")</f>
        <v/>
      </c>
      <c r="K48" s="6" t="str">
        <f>IF(SUMIF('CIP Details'!$A$9:$A$365,'Bond Details'!$A48&amp;'Bond Details'!$B48&amp;'Bond Details'!$C48&amp;$D48,'CIP Details'!Q$9:Q$365)&gt;0,SUMIF('CIP Details'!$A$9:$A$365,'Bond Details'!$A48&amp;'Bond Details'!$B48&amp;'Bond Details'!$C48&amp;$D48,'CIP Details'!Q$9:Q$365),"")</f>
        <v/>
      </c>
      <c r="L48" s="6" t="str">
        <f>IF(SUMIF('CIP Details'!$A$9:$A$365,'Bond Details'!$A48&amp;'Bond Details'!$B48&amp;'Bond Details'!$C48&amp;$D48,'CIP Details'!R$9:R$365)&gt;0,SUMIF('CIP Details'!$A$9:$A$365,'Bond Details'!$A48&amp;'Bond Details'!$B48&amp;'Bond Details'!$C48&amp;$D48,'CIP Details'!R$9:R$365),"")</f>
        <v/>
      </c>
      <c r="M48" s="6" t="str">
        <f>IF(SUMIF('CIP Details'!$A$9:$A$365,'Bond Details'!$A48&amp;'Bond Details'!$B48&amp;'Bond Details'!$C48&amp;$D48,'CIP Details'!S$9:S$365)&gt;0,SUMIF('CIP Details'!$A$9:$A$365,'Bond Details'!$A48&amp;'Bond Details'!$B48&amp;'Bond Details'!$C48&amp;$D48,'CIP Details'!S$9:S$365),"")</f>
        <v/>
      </c>
      <c r="N48" s="6" t="str">
        <f>IF(SUMIF('CIP Details'!$A$9:$A$365,'Bond Details'!$A48&amp;'Bond Details'!$B48&amp;'Bond Details'!$C48&amp;$D48,'CIP Details'!T$9:T$365)&gt;0,SUMIF('CIP Details'!$A$9:$A$365,'Bond Details'!$A48&amp;'Bond Details'!$B48&amp;'Bond Details'!$C48&amp;$D48,'CIP Details'!T$9:T$365),"")</f>
        <v/>
      </c>
      <c r="O48" s="6" t="str">
        <f>IF(SUMIF('CIP Details'!$A$9:$A$365,'Bond Details'!$A48&amp;'Bond Details'!$B48&amp;'Bond Details'!$C48&amp;$D48,'CIP Details'!U$9:U$365)&gt;0,SUMIF('CIP Details'!$A$9:$A$365,'Bond Details'!$A48&amp;'Bond Details'!$B48&amp;'Bond Details'!$C48&amp;$D48,'CIP Details'!U$9:U$365),"")</f>
        <v/>
      </c>
      <c r="P48" s="6" t="str">
        <f>IF(SUMIF('CIP Details'!$A$9:$A$365,'Bond Details'!$A48&amp;'Bond Details'!$B48&amp;'Bond Details'!$C48&amp;$D48,'CIP Details'!V$9:V$365)&gt;0,SUMIF('CIP Details'!$A$9:$A$365,'Bond Details'!$A48&amp;'Bond Details'!$B48&amp;'Bond Details'!$C48&amp;$D48,'CIP Details'!V$9:V$365),"")</f>
        <v/>
      </c>
      <c r="Q48" s="6" t="str">
        <f>IF(SUMIF('CIP Details'!$A$9:$A$365,'Bond Details'!$A48&amp;'Bond Details'!$B48&amp;'Bond Details'!$C48&amp;$D48,'CIP Details'!W$9:W$365)&gt;0,SUMIF('CIP Details'!$A$9:$A$365,'Bond Details'!$A48&amp;'Bond Details'!$B48&amp;'Bond Details'!$C48&amp;$D48,'CIP Details'!W$9:W$365),"")</f>
        <v/>
      </c>
      <c r="R48" s="6" t="str">
        <f>IF(SUMIF('CIP Details'!$A$9:$A$365,'Bond Details'!$A48&amp;'Bond Details'!$B48&amp;'Bond Details'!$C48&amp;$D48,'CIP Details'!X$9:X$365)&gt;0,SUMIF('CIP Details'!$A$9:$A$365,'Bond Details'!$A48&amp;'Bond Details'!$B48&amp;'Bond Details'!$C48&amp;$D48,'CIP Details'!X$9:X$365),"")</f>
        <v/>
      </c>
      <c r="S48" s="6" t="str">
        <f>IF(SUMIF('CIP Details'!$A$9:$A$365,'Bond Details'!$A48&amp;'Bond Details'!$B48&amp;'Bond Details'!$C48&amp;$D48,'CIP Details'!Y$9:Y$365)&gt;0,SUMIF('CIP Details'!$A$9:$A$365,'Bond Details'!$A48&amp;'Bond Details'!$B48&amp;'Bond Details'!$C48&amp;$D48,'CIP Details'!Y$9:Y$365),"")</f>
        <v/>
      </c>
    </row>
    <row r="49" spans="2:19" ht="19.5" thickBot="1" x14ac:dyDescent="0.3">
      <c r="C49" t="s">
        <v>51</v>
      </c>
      <c r="E49" s="7">
        <f>SUM(E9:E48)</f>
        <v>4665000</v>
      </c>
      <c r="F49" s="7">
        <f>SUM(F9:F48)</f>
        <v>3110000</v>
      </c>
      <c r="G49" s="7">
        <f>SUM(G9:G48)</f>
        <v>3700000</v>
      </c>
      <c r="H49" s="215"/>
      <c r="I49" s="7">
        <f t="shared" ref="I49:S49" si="0">SUM(I9:I48)</f>
        <v>4950000</v>
      </c>
      <c r="J49" s="7">
        <f t="shared" si="0"/>
        <v>4900000</v>
      </c>
      <c r="K49" s="7">
        <f t="shared" si="0"/>
        <v>4900000</v>
      </c>
      <c r="L49" s="7">
        <f t="shared" si="0"/>
        <v>5200000</v>
      </c>
      <c r="M49" s="7">
        <f t="shared" si="0"/>
        <v>4700000</v>
      </c>
      <c r="N49" s="7">
        <f t="shared" ref="N49" si="1">SUM(N9:N48)</f>
        <v>17750000</v>
      </c>
      <c r="O49" s="7">
        <f t="shared" si="0"/>
        <v>5250000</v>
      </c>
      <c r="P49" s="7">
        <f t="shared" si="0"/>
        <v>3700000</v>
      </c>
      <c r="Q49" s="7">
        <f t="shared" si="0"/>
        <v>4900000</v>
      </c>
      <c r="R49" s="7">
        <f t="shared" si="0"/>
        <v>3500000</v>
      </c>
      <c r="S49" s="7">
        <f t="shared" si="0"/>
        <v>400000</v>
      </c>
    </row>
    <row r="50" spans="2:19" ht="19.5" thickTop="1" x14ac:dyDescent="0.25">
      <c r="E50" s="8">
        <f>E49-'CIP Details'!K375-'CIP Details'!K377</f>
        <v>0</v>
      </c>
      <c r="F50" s="8">
        <f>F49-'CIP Details'!L375-'CIP Details'!L377</f>
        <v>0</v>
      </c>
      <c r="G50" s="8">
        <f>G49-'CIP Details'!M375-'CIP Details'!M377</f>
        <v>0</v>
      </c>
      <c r="H50" s="215"/>
      <c r="I50" s="8">
        <f>I49-'CIP Details'!O375-'CIP Details'!O377</f>
        <v>0</v>
      </c>
      <c r="J50" s="8">
        <f>J49-'CIP Details'!P375-'CIP Details'!P377</f>
        <v>0</v>
      </c>
      <c r="K50" s="8">
        <f>K49-'CIP Details'!Q375-'CIP Details'!Q377</f>
        <v>0</v>
      </c>
      <c r="L50" s="8">
        <f>L49-'CIP Details'!R375-'CIP Details'!R377</f>
        <v>0</v>
      </c>
      <c r="M50" s="8">
        <f>M49-'CIP Details'!S375-'CIP Details'!S377</f>
        <v>0</v>
      </c>
      <c r="N50" s="8">
        <f>N49-'CIP Details'!T375-'CIP Details'!T377</f>
        <v>0</v>
      </c>
      <c r="O50" s="8">
        <f>O49-'CIP Details'!U375-'CIP Details'!U377</f>
        <v>0</v>
      </c>
      <c r="P50" s="8">
        <f>P49-'CIP Details'!V375-'CIP Details'!V377</f>
        <v>0</v>
      </c>
      <c r="Q50" s="8">
        <f>Q49-'CIP Details'!W375-'CIP Details'!W377</f>
        <v>0</v>
      </c>
      <c r="R50" s="8">
        <f>R49-'CIP Details'!X375-'CIP Details'!X377</f>
        <v>0</v>
      </c>
      <c r="S50" s="8">
        <f>S49-'CIP Details'!Y375-'CIP Details'!Y377</f>
        <v>0</v>
      </c>
    </row>
    <row r="51" spans="2:19" ht="18.75" x14ac:dyDescent="0.25">
      <c r="E51" s="6"/>
      <c r="F51" s="6"/>
      <c r="G51" s="6"/>
      <c r="H51" s="215"/>
      <c r="I51" s="6"/>
      <c r="J51" s="6"/>
      <c r="K51" s="6"/>
      <c r="L51" s="6"/>
      <c r="M51" s="6"/>
      <c r="N51" s="6"/>
      <c r="O51" s="6"/>
      <c r="P51" s="6"/>
      <c r="Q51" s="6"/>
      <c r="R51" s="6"/>
      <c r="S51" s="6"/>
    </row>
    <row r="52" spans="2:19" ht="18.75" x14ac:dyDescent="0.25">
      <c r="C52" s="72" t="s">
        <v>314</v>
      </c>
      <c r="D52" s="73"/>
      <c r="E52" s="75">
        <f t="shared" ref="E52:G58" si="2">SUMIF($A$9:$A$49,$C52,E$9:E$49)</f>
        <v>0</v>
      </c>
      <c r="F52" s="75">
        <f t="shared" si="2"/>
        <v>0</v>
      </c>
      <c r="G52" s="75">
        <f t="shared" si="2"/>
        <v>0</v>
      </c>
      <c r="H52" s="215"/>
      <c r="I52" s="75">
        <f t="shared" ref="I52:S58" si="3">SUMIF($A$9:$A$49,$C52,I$9:I$49)</f>
        <v>0</v>
      </c>
      <c r="J52" s="75">
        <f t="shared" si="3"/>
        <v>0</v>
      </c>
      <c r="K52" s="75">
        <f t="shared" si="3"/>
        <v>0</v>
      </c>
      <c r="L52" s="75">
        <f t="shared" si="3"/>
        <v>0</v>
      </c>
      <c r="M52" s="75">
        <f t="shared" si="3"/>
        <v>0</v>
      </c>
      <c r="N52" s="75">
        <f t="shared" si="3"/>
        <v>0</v>
      </c>
      <c r="O52" s="75">
        <f t="shared" si="3"/>
        <v>0</v>
      </c>
      <c r="P52" s="75">
        <f t="shared" si="3"/>
        <v>0</v>
      </c>
      <c r="Q52" s="75">
        <f t="shared" si="3"/>
        <v>0</v>
      </c>
      <c r="R52" s="75">
        <f t="shared" si="3"/>
        <v>0</v>
      </c>
      <c r="S52" s="75">
        <f t="shared" si="3"/>
        <v>0</v>
      </c>
    </row>
    <row r="53" spans="2:19" ht="18.75" x14ac:dyDescent="0.25">
      <c r="C53" s="72" t="s">
        <v>316</v>
      </c>
      <c r="D53" s="73"/>
      <c r="E53" s="75">
        <f t="shared" si="2"/>
        <v>0</v>
      </c>
      <c r="F53" s="75">
        <f t="shared" si="2"/>
        <v>0</v>
      </c>
      <c r="G53" s="75">
        <f t="shared" si="2"/>
        <v>0</v>
      </c>
      <c r="H53" s="215"/>
      <c r="I53" s="75">
        <f t="shared" si="3"/>
        <v>0</v>
      </c>
      <c r="J53" s="75">
        <f t="shared" si="3"/>
        <v>0</v>
      </c>
      <c r="K53" s="75">
        <f t="shared" si="3"/>
        <v>0</v>
      </c>
      <c r="L53" s="75">
        <f t="shared" si="3"/>
        <v>0</v>
      </c>
      <c r="M53" s="75">
        <f t="shared" si="3"/>
        <v>0</v>
      </c>
      <c r="N53" s="75">
        <f t="shared" si="3"/>
        <v>0</v>
      </c>
      <c r="O53" s="75">
        <f t="shared" si="3"/>
        <v>0</v>
      </c>
      <c r="P53" s="75">
        <f t="shared" si="3"/>
        <v>0</v>
      </c>
      <c r="Q53" s="75">
        <f t="shared" si="3"/>
        <v>0</v>
      </c>
      <c r="R53" s="75">
        <f t="shared" si="3"/>
        <v>0</v>
      </c>
      <c r="S53" s="75">
        <f t="shared" si="3"/>
        <v>0</v>
      </c>
    </row>
    <row r="54" spans="2:19" ht="18.75" x14ac:dyDescent="0.25">
      <c r="C54" s="72" t="s">
        <v>315</v>
      </c>
      <c r="D54" s="73"/>
      <c r="E54" s="75">
        <f t="shared" si="2"/>
        <v>2100000</v>
      </c>
      <c r="F54" s="75">
        <f t="shared" si="2"/>
        <v>0</v>
      </c>
      <c r="G54" s="75">
        <f t="shared" si="2"/>
        <v>1200000</v>
      </c>
      <c r="H54" s="215"/>
      <c r="I54" s="75">
        <f t="shared" si="3"/>
        <v>450000</v>
      </c>
      <c r="J54" s="75">
        <f t="shared" si="3"/>
        <v>1200000</v>
      </c>
      <c r="K54" s="75">
        <f t="shared" si="3"/>
        <v>800000</v>
      </c>
      <c r="L54" s="75">
        <f t="shared" si="3"/>
        <v>800000</v>
      </c>
      <c r="M54" s="75">
        <f t="shared" si="3"/>
        <v>0</v>
      </c>
      <c r="N54" s="75">
        <f t="shared" si="3"/>
        <v>2600000</v>
      </c>
      <c r="O54" s="75">
        <f t="shared" si="3"/>
        <v>0</v>
      </c>
      <c r="P54" s="75">
        <f t="shared" si="3"/>
        <v>0</v>
      </c>
      <c r="Q54" s="75">
        <f t="shared" si="3"/>
        <v>1800000</v>
      </c>
      <c r="R54" s="75">
        <f t="shared" si="3"/>
        <v>800000</v>
      </c>
      <c r="S54" s="75">
        <f t="shared" si="3"/>
        <v>0</v>
      </c>
    </row>
    <row r="55" spans="2:19" ht="18.75" x14ac:dyDescent="0.25">
      <c r="C55" s="72" t="s">
        <v>365</v>
      </c>
      <c r="D55" s="73"/>
      <c r="E55" s="75">
        <f t="shared" si="2"/>
        <v>2050000</v>
      </c>
      <c r="F55" s="75">
        <f t="shared" si="2"/>
        <v>3110000</v>
      </c>
      <c r="G55" s="75">
        <f t="shared" si="2"/>
        <v>1500000</v>
      </c>
      <c r="H55" s="215"/>
      <c r="I55" s="75">
        <f t="shared" si="3"/>
        <v>3650000</v>
      </c>
      <c r="J55" s="75">
        <f t="shared" si="3"/>
        <v>900000</v>
      </c>
      <c r="K55" s="75">
        <f t="shared" si="3"/>
        <v>1300000</v>
      </c>
      <c r="L55" s="75">
        <f t="shared" si="3"/>
        <v>1600000</v>
      </c>
      <c r="M55" s="75">
        <f t="shared" si="3"/>
        <v>1900000</v>
      </c>
      <c r="N55" s="75">
        <f t="shared" si="3"/>
        <v>6050000</v>
      </c>
      <c r="O55" s="75">
        <f t="shared" si="3"/>
        <v>3250000</v>
      </c>
      <c r="P55" s="75">
        <f t="shared" si="3"/>
        <v>1600000</v>
      </c>
      <c r="Q55" s="75">
        <f t="shared" si="3"/>
        <v>400000</v>
      </c>
      <c r="R55" s="75">
        <f t="shared" si="3"/>
        <v>400000</v>
      </c>
      <c r="S55" s="75">
        <f t="shared" si="3"/>
        <v>400000</v>
      </c>
    </row>
    <row r="56" spans="2:19" ht="18.75" x14ac:dyDescent="0.25">
      <c r="C56" s="72" t="s">
        <v>366</v>
      </c>
      <c r="D56" s="73"/>
      <c r="E56" s="75">
        <f t="shared" si="2"/>
        <v>0</v>
      </c>
      <c r="F56" s="75">
        <f t="shared" si="2"/>
        <v>0</v>
      </c>
      <c r="G56" s="75">
        <f t="shared" si="2"/>
        <v>1000000</v>
      </c>
      <c r="H56" s="215"/>
      <c r="I56" s="75">
        <f t="shared" si="3"/>
        <v>850000</v>
      </c>
      <c r="J56" s="75">
        <f t="shared" si="3"/>
        <v>0</v>
      </c>
      <c r="K56" s="75">
        <f t="shared" si="3"/>
        <v>0</v>
      </c>
      <c r="L56" s="75">
        <f t="shared" si="3"/>
        <v>0</v>
      </c>
      <c r="M56" s="75">
        <f t="shared" si="3"/>
        <v>0</v>
      </c>
      <c r="N56" s="75">
        <f t="shared" si="3"/>
        <v>1000000</v>
      </c>
      <c r="O56" s="75">
        <f t="shared" si="3"/>
        <v>0</v>
      </c>
      <c r="P56" s="75">
        <f t="shared" si="3"/>
        <v>0</v>
      </c>
      <c r="Q56" s="75">
        <f t="shared" si="3"/>
        <v>0</v>
      </c>
      <c r="R56" s="75">
        <f t="shared" si="3"/>
        <v>1000000</v>
      </c>
      <c r="S56" s="75">
        <f t="shared" si="3"/>
        <v>0</v>
      </c>
    </row>
    <row r="57" spans="2:19" ht="18.75" x14ac:dyDescent="0.25">
      <c r="C57" s="72" t="s">
        <v>367</v>
      </c>
      <c r="D57" s="73"/>
      <c r="E57" s="75">
        <f t="shared" si="2"/>
        <v>0</v>
      </c>
      <c r="F57" s="75">
        <f t="shared" si="2"/>
        <v>0</v>
      </c>
      <c r="G57" s="75">
        <f t="shared" si="2"/>
        <v>0</v>
      </c>
      <c r="H57" s="215"/>
      <c r="I57" s="75">
        <f t="shared" si="3"/>
        <v>0</v>
      </c>
      <c r="J57" s="75">
        <f t="shared" si="3"/>
        <v>0</v>
      </c>
      <c r="K57" s="75">
        <f t="shared" si="3"/>
        <v>0</v>
      </c>
      <c r="L57" s="75">
        <f t="shared" si="3"/>
        <v>0</v>
      </c>
      <c r="M57" s="75">
        <f t="shared" si="3"/>
        <v>0</v>
      </c>
      <c r="N57" s="75">
        <f t="shared" si="3"/>
        <v>0</v>
      </c>
      <c r="O57" s="75">
        <f t="shared" si="3"/>
        <v>0</v>
      </c>
      <c r="P57" s="75">
        <f t="shared" si="3"/>
        <v>0</v>
      </c>
      <c r="Q57" s="75">
        <f t="shared" si="3"/>
        <v>0</v>
      </c>
      <c r="R57" s="75">
        <f t="shared" si="3"/>
        <v>0</v>
      </c>
      <c r="S57" s="75">
        <f t="shared" si="3"/>
        <v>0</v>
      </c>
    </row>
    <row r="58" spans="2:19" ht="18.75" x14ac:dyDescent="0.25">
      <c r="C58" s="72" t="s">
        <v>1</v>
      </c>
      <c r="D58" s="73"/>
      <c r="E58" s="75">
        <f t="shared" si="2"/>
        <v>515000</v>
      </c>
      <c r="F58" s="75">
        <f t="shared" si="2"/>
        <v>0</v>
      </c>
      <c r="G58" s="75">
        <f t="shared" si="2"/>
        <v>0</v>
      </c>
      <c r="H58" s="215"/>
      <c r="I58" s="75">
        <f t="shared" si="3"/>
        <v>0</v>
      </c>
      <c r="J58" s="75">
        <f t="shared" si="3"/>
        <v>2800000</v>
      </c>
      <c r="K58" s="75">
        <f t="shared" si="3"/>
        <v>2800000</v>
      </c>
      <c r="L58" s="75">
        <f t="shared" si="3"/>
        <v>2800000</v>
      </c>
      <c r="M58" s="75">
        <f t="shared" si="3"/>
        <v>2800000</v>
      </c>
      <c r="N58" s="75">
        <f t="shared" si="3"/>
        <v>8100000</v>
      </c>
      <c r="O58" s="75">
        <f t="shared" si="3"/>
        <v>2000000</v>
      </c>
      <c r="P58" s="75">
        <f t="shared" si="3"/>
        <v>2100000</v>
      </c>
      <c r="Q58" s="75">
        <f t="shared" si="3"/>
        <v>2700000</v>
      </c>
      <c r="R58" s="75">
        <f t="shared" si="3"/>
        <v>1300000</v>
      </c>
      <c r="S58" s="75">
        <f t="shared" si="3"/>
        <v>0</v>
      </c>
    </row>
    <row r="59" spans="2:19" ht="19.5" thickBot="1" x14ac:dyDescent="0.3">
      <c r="C59" s="72"/>
      <c r="D59" s="73"/>
      <c r="E59" s="76">
        <f>SUM(E52:E58)</f>
        <v>4665000</v>
      </c>
      <c r="F59" s="76">
        <f t="shared" ref="F59:Q59" si="4">SUM(F52:F58)</f>
        <v>3110000</v>
      </c>
      <c r="G59" s="76">
        <f t="shared" si="4"/>
        <v>3700000</v>
      </c>
      <c r="H59" s="215"/>
      <c r="I59" s="76">
        <f t="shared" si="4"/>
        <v>4950000</v>
      </c>
      <c r="J59" s="76">
        <f t="shared" si="4"/>
        <v>4900000</v>
      </c>
      <c r="K59" s="76">
        <f t="shared" si="4"/>
        <v>4900000</v>
      </c>
      <c r="L59" s="76">
        <f t="shared" si="4"/>
        <v>5200000</v>
      </c>
      <c r="M59" s="76">
        <f t="shared" si="4"/>
        <v>4700000</v>
      </c>
      <c r="N59" s="76">
        <f t="shared" ref="N59" si="5">SUM(N52:N58)</f>
        <v>17750000</v>
      </c>
      <c r="O59" s="76">
        <f t="shared" si="4"/>
        <v>5250000</v>
      </c>
      <c r="P59" s="76">
        <f t="shared" si="4"/>
        <v>3700000</v>
      </c>
      <c r="Q59" s="76">
        <f t="shared" si="4"/>
        <v>4900000</v>
      </c>
      <c r="R59" s="76">
        <f t="shared" ref="R59:S59" si="6">SUM(R52:R58)</f>
        <v>3500000</v>
      </c>
      <c r="S59" s="76">
        <f t="shared" si="6"/>
        <v>400000</v>
      </c>
    </row>
    <row r="60" spans="2:19" ht="15.75" thickTop="1" x14ac:dyDescent="0.25">
      <c r="E60" s="8">
        <f>E59-E49</f>
        <v>0</v>
      </c>
      <c r="F60" s="8">
        <f t="shared" ref="F60:Q60" si="7">F59-F49</f>
        <v>0</v>
      </c>
      <c r="G60" s="8">
        <f t="shared" si="7"/>
        <v>0</v>
      </c>
      <c r="H60" s="8"/>
      <c r="I60" s="8">
        <f t="shared" si="7"/>
        <v>0</v>
      </c>
      <c r="J60" s="8">
        <f t="shared" si="7"/>
        <v>0</v>
      </c>
      <c r="K60" s="8">
        <f t="shared" si="7"/>
        <v>0</v>
      </c>
      <c r="L60" s="8">
        <f t="shared" si="7"/>
        <v>0</v>
      </c>
      <c r="M60" s="8">
        <f t="shared" si="7"/>
        <v>0</v>
      </c>
      <c r="N60" s="8">
        <f t="shared" ref="N60" si="8">N59-N49</f>
        <v>0</v>
      </c>
      <c r="O60" s="8">
        <f t="shared" si="7"/>
        <v>0</v>
      </c>
      <c r="P60" s="8">
        <f t="shared" si="7"/>
        <v>0</v>
      </c>
      <c r="Q60" s="8">
        <f t="shared" si="7"/>
        <v>0</v>
      </c>
      <c r="R60" s="8">
        <f t="shared" ref="R60:S60" si="9">R59-R49</f>
        <v>0</v>
      </c>
      <c r="S60" s="8">
        <f t="shared" si="9"/>
        <v>0</v>
      </c>
    </row>
    <row r="61" spans="2:19" x14ac:dyDescent="0.25">
      <c r="C61" s="4"/>
      <c r="D61" s="2"/>
      <c r="E61" s="10"/>
      <c r="F61" s="10"/>
      <c r="G61" s="6"/>
      <c r="H61" s="6"/>
      <c r="I61" s="6"/>
      <c r="J61" s="6"/>
      <c r="K61" s="6"/>
      <c r="L61" s="6"/>
      <c r="M61" s="6"/>
      <c r="N61" s="6"/>
      <c r="O61" s="6"/>
      <c r="P61" s="6"/>
      <c r="Q61" s="6"/>
      <c r="R61" s="6"/>
      <c r="S61" s="6"/>
    </row>
    <row r="62" spans="2:19" x14ac:dyDescent="0.25">
      <c r="B62" s="4"/>
      <c r="C62" s="4" t="s">
        <v>252</v>
      </c>
      <c r="D62" s="2"/>
      <c r="E62" s="10"/>
      <c r="F62" s="10"/>
      <c r="G62" s="6"/>
      <c r="H62" s="6"/>
      <c r="I62" s="6"/>
      <c r="J62" s="6"/>
      <c r="K62" s="6"/>
      <c r="L62" s="6"/>
      <c r="M62" s="6"/>
      <c r="N62" s="6"/>
      <c r="O62" s="6"/>
      <c r="P62" s="6"/>
      <c r="Q62" s="6"/>
      <c r="R62" s="6"/>
      <c r="S62" s="6"/>
    </row>
    <row r="63" spans="2:19" ht="26.25" x14ac:dyDescent="0.25">
      <c r="B63" s="4"/>
      <c r="C63" s="131" t="s">
        <v>253</v>
      </c>
      <c r="D63" s="132" t="s">
        <v>254</v>
      </c>
      <c r="E63" s="132" t="s">
        <v>255</v>
      </c>
      <c r="F63" s="132" t="s">
        <v>256</v>
      </c>
      <c r="G63" s="132" t="s">
        <v>257</v>
      </c>
      <c r="H63" s="269"/>
      <c r="I63" s="6"/>
      <c r="J63" s="6"/>
      <c r="K63" s="6"/>
      <c r="L63" s="6"/>
      <c r="M63" s="6"/>
      <c r="N63" s="6"/>
      <c r="O63" s="6"/>
      <c r="P63" s="6"/>
      <c r="Q63" s="6"/>
      <c r="R63" s="6"/>
      <c r="S63" s="6"/>
    </row>
    <row r="64" spans="2:19" x14ac:dyDescent="0.25">
      <c r="B64" s="4"/>
      <c r="C64" s="131" t="s">
        <v>258</v>
      </c>
      <c r="D64" s="133" t="s">
        <v>259</v>
      </c>
      <c r="E64" s="133" t="s">
        <v>259</v>
      </c>
      <c r="F64" s="132" t="s">
        <v>260</v>
      </c>
      <c r="G64" s="132" t="s">
        <v>260</v>
      </c>
      <c r="H64" s="269"/>
      <c r="I64" s="6"/>
      <c r="J64" s="6"/>
      <c r="K64" s="6"/>
      <c r="L64" s="6"/>
      <c r="M64" s="6"/>
      <c r="N64" s="6"/>
      <c r="O64" s="6"/>
      <c r="P64" s="6"/>
      <c r="Q64" s="6"/>
      <c r="R64" s="6"/>
      <c r="S64" s="6"/>
    </row>
    <row r="65" spans="2:19" x14ac:dyDescent="0.25">
      <c r="B65" s="4"/>
      <c r="C65" s="131" t="s">
        <v>261</v>
      </c>
      <c r="D65" s="133" t="s">
        <v>259</v>
      </c>
      <c r="E65" s="133" t="s">
        <v>259</v>
      </c>
      <c r="F65" s="133" t="s">
        <v>259</v>
      </c>
      <c r="G65" s="132" t="s">
        <v>260</v>
      </c>
      <c r="H65" s="269"/>
      <c r="I65" s="6"/>
      <c r="J65" s="6"/>
      <c r="K65" s="6"/>
      <c r="L65" s="6"/>
      <c r="M65" s="6"/>
      <c r="N65" s="6"/>
      <c r="O65" s="6"/>
      <c r="P65" s="6"/>
      <c r="Q65" s="6"/>
      <c r="R65" s="6"/>
      <c r="S65" s="6"/>
    </row>
    <row r="66" spans="2:19" x14ac:dyDescent="0.25">
      <c r="B66" s="4"/>
      <c r="C66" s="131" t="s">
        <v>262</v>
      </c>
      <c r="D66" s="133" t="s">
        <v>259</v>
      </c>
      <c r="E66" s="133" t="s">
        <v>259</v>
      </c>
      <c r="F66" s="132" t="s">
        <v>260</v>
      </c>
      <c r="G66" s="133" t="s">
        <v>259</v>
      </c>
      <c r="H66" s="270"/>
      <c r="I66" s="6"/>
      <c r="J66" s="6"/>
      <c r="K66" s="6"/>
      <c r="L66" s="6"/>
      <c r="M66" s="6"/>
      <c r="N66" s="6"/>
      <c r="O66" s="6"/>
      <c r="P66" s="6"/>
      <c r="Q66" s="6"/>
      <c r="R66" s="6"/>
      <c r="S66" s="6"/>
    </row>
    <row r="67" spans="2:19" x14ac:dyDescent="0.25">
      <c r="E67" s="6"/>
      <c r="F67" s="6"/>
      <c r="G67" s="6"/>
      <c r="H67" s="6"/>
      <c r="I67" s="6"/>
      <c r="J67" s="6"/>
      <c r="K67" s="6"/>
      <c r="L67" s="6"/>
      <c r="M67" s="6"/>
      <c r="N67" s="6"/>
      <c r="O67" s="6"/>
      <c r="P67" s="6"/>
      <c r="Q67" s="6"/>
      <c r="R67" s="6"/>
      <c r="S67" s="6"/>
    </row>
    <row r="68" spans="2:19" x14ac:dyDescent="0.25">
      <c r="E68" s="6"/>
      <c r="F68" s="6"/>
      <c r="G68" s="6"/>
      <c r="H68" s="6"/>
      <c r="I68" s="6"/>
      <c r="J68" s="6"/>
      <c r="K68" s="6"/>
      <c r="L68" s="6"/>
      <c r="M68" s="6"/>
      <c r="N68" s="6"/>
      <c r="O68" s="6"/>
      <c r="P68" s="6"/>
      <c r="Q68" s="6"/>
      <c r="R68" s="6"/>
      <c r="S68" s="6"/>
    </row>
    <row r="69" spans="2:19" x14ac:dyDescent="0.25">
      <c r="E69" s="6"/>
      <c r="F69" s="6"/>
      <c r="G69" s="6"/>
      <c r="H69" s="6"/>
      <c r="I69" s="6"/>
      <c r="J69" s="6"/>
      <c r="K69" s="6"/>
      <c r="L69" s="6"/>
      <c r="M69" s="6"/>
      <c r="N69" s="6"/>
      <c r="O69" s="6"/>
      <c r="P69" s="6"/>
      <c r="Q69" s="6"/>
      <c r="R69" s="6"/>
      <c r="S69" s="6"/>
    </row>
    <row r="70" spans="2:19" x14ac:dyDescent="0.25">
      <c r="E70" s="6"/>
      <c r="F70" s="6"/>
      <c r="G70" s="6"/>
      <c r="H70" s="6"/>
      <c r="I70" s="6"/>
      <c r="J70" s="6"/>
      <c r="K70" s="6"/>
      <c r="L70" s="6"/>
      <c r="M70" s="6"/>
      <c r="N70" s="6"/>
      <c r="O70" s="6"/>
      <c r="P70" s="6"/>
      <c r="Q70" s="6"/>
      <c r="R70" s="6"/>
      <c r="S70" s="6"/>
    </row>
    <row r="71" spans="2:19" x14ac:dyDescent="0.25">
      <c r="E71" s="6"/>
      <c r="F71" s="6"/>
      <c r="G71" s="6"/>
      <c r="H71" s="6"/>
      <c r="I71" s="6"/>
      <c r="J71" s="6"/>
      <c r="K71" s="6"/>
      <c r="L71" s="6"/>
      <c r="M71" s="6"/>
      <c r="N71" s="6"/>
      <c r="O71" s="6"/>
      <c r="P71" s="6"/>
      <c r="Q71" s="6"/>
      <c r="R71" s="6"/>
      <c r="S71" s="6"/>
    </row>
    <row r="72" spans="2:19" x14ac:dyDescent="0.25">
      <c r="E72" s="6"/>
      <c r="F72" s="6"/>
      <c r="G72" s="6"/>
      <c r="H72" s="6"/>
      <c r="I72" s="6"/>
      <c r="J72" s="6"/>
      <c r="K72" s="6"/>
      <c r="L72" s="6"/>
      <c r="M72" s="6"/>
      <c r="N72" s="6"/>
      <c r="O72" s="6"/>
      <c r="P72" s="6"/>
      <c r="Q72" s="6"/>
      <c r="R72" s="6"/>
      <c r="S72" s="6"/>
    </row>
    <row r="73" spans="2:19" x14ac:dyDescent="0.25">
      <c r="E73" s="6"/>
      <c r="F73" s="6"/>
      <c r="G73" s="6"/>
      <c r="H73" s="6"/>
      <c r="I73" s="6"/>
      <c r="J73" s="6"/>
      <c r="K73" s="6"/>
      <c r="L73" s="6"/>
      <c r="M73" s="6"/>
      <c r="N73" s="6"/>
      <c r="O73" s="6"/>
      <c r="P73" s="6"/>
      <c r="Q73" s="6"/>
      <c r="R73" s="6"/>
      <c r="S73" s="6"/>
    </row>
    <row r="74" spans="2:19" x14ac:dyDescent="0.25">
      <c r="E74" s="6"/>
      <c r="F74" s="6"/>
      <c r="G74" s="6"/>
      <c r="H74" s="6"/>
      <c r="I74" s="6"/>
      <c r="J74" s="6"/>
      <c r="K74" s="6"/>
      <c r="L74" s="6"/>
      <c r="M74" s="6"/>
      <c r="N74" s="6"/>
      <c r="O74" s="6"/>
      <c r="P74" s="6"/>
      <c r="Q74" s="6"/>
      <c r="R74" s="6"/>
      <c r="S74" s="6"/>
    </row>
    <row r="75" spans="2:19" x14ac:dyDescent="0.25">
      <c r="E75" s="6"/>
      <c r="F75" s="6"/>
      <c r="G75" s="6"/>
      <c r="H75" s="6"/>
      <c r="I75" s="6"/>
      <c r="J75" s="6"/>
      <c r="K75" s="6"/>
      <c r="L75" s="6"/>
      <c r="M75" s="6"/>
      <c r="N75" s="6"/>
      <c r="O75" s="6"/>
      <c r="P75" s="6"/>
      <c r="Q75" s="6"/>
      <c r="R75" s="6"/>
      <c r="S75" s="6"/>
    </row>
    <row r="76" spans="2:19" x14ac:dyDescent="0.25">
      <c r="E76" s="6"/>
      <c r="F76" s="6"/>
      <c r="G76" s="6"/>
      <c r="H76" s="6"/>
      <c r="I76" s="6"/>
      <c r="J76" s="6"/>
      <c r="K76" s="6"/>
      <c r="L76" s="6"/>
      <c r="M76" s="6"/>
      <c r="N76" s="6"/>
      <c r="O76" s="6"/>
      <c r="P76" s="6"/>
      <c r="Q76" s="6"/>
      <c r="R76" s="6"/>
      <c r="S76" s="6"/>
    </row>
    <row r="77" spans="2:19" x14ac:dyDescent="0.25">
      <c r="E77" s="6"/>
      <c r="F77" s="6"/>
      <c r="G77" s="6"/>
      <c r="H77" s="6"/>
      <c r="I77" s="6"/>
      <c r="J77" s="6"/>
      <c r="K77" s="6"/>
      <c r="L77" s="6"/>
      <c r="M77" s="6"/>
      <c r="N77" s="6"/>
      <c r="O77" s="6"/>
      <c r="P77" s="6"/>
      <c r="Q77" s="6"/>
      <c r="R77" s="6"/>
      <c r="S77" s="6"/>
    </row>
    <row r="78" spans="2:19" x14ac:dyDescent="0.25">
      <c r="E78" s="6"/>
      <c r="F78" s="6"/>
      <c r="G78" s="6"/>
      <c r="H78" s="6"/>
      <c r="I78" s="6"/>
      <c r="J78" s="6"/>
      <c r="K78" s="6"/>
      <c r="L78" s="6"/>
      <c r="M78" s="6"/>
      <c r="N78" s="6"/>
      <c r="O78" s="6"/>
      <c r="P78" s="6"/>
      <c r="Q78" s="6"/>
      <c r="R78" s="6"/>
      <c r="S78" s="6"/>
    </row>
    <row r="79" spans="2:19" x14ac:dyDescent="0.25">
      <c r="E79" s="6"/>
      <c r="F79" s="6"/>
      <c r="G79" s="6"/>
      <c r="H79" s="6"/>
      <c r="I79" s="6"/>
      <c r="J79" s="6"/>
      <c r="K79" s="6"/>
      <c r="L79" s="6"/>
      <c r="M79" s="6"/>
      <c r="N79" s="6"/>
      <c r="O79" s="6"/>
      <c r="P79" s="6"/>
      <c r="Q79" s="6"/>
      <c r="R79" s="6"/>
      <c r="S79" s="6"/>
    </row>
    <row r="80" spans="2:19" x14ac:dyDescent="0.25">
      <c r="E80" s="6"/>
      <c r="F80" s="6"/>
      <c r="G80" s="6"/>
      <c r="H80" s="6"/>
      <c r="I80" s="6"/>
      <c r="J80" s="6"/>
      <c r="K80" s="6"/>
      <c r="L80" s="6"/>
      <c r="M80" s="6"/>
      <c r="N80" s="6"/>
      <c r="O80" s="6"/>
      <c r="P80" s="6"/>
      <c r="Q80" s="6"/>
      <c r="R80" s="6"/>
      <c r="S80" s="6"/>
    </row>
    <row r="81" spans="5:19" x14ac:dyDescent="0.25">
      <c r="E81" s="6"/>
      <c r="F81" s="6"/>
      <c r="G81" s="6"/>
      <c r="H81" s="6"/>
      <c r="I81" s="6"/>
      <c r="J81" s="6"/>
      <c r="K81" s="6"/>
      <c r="L81" s="6"/>
      <c r="M81" s="6"/>
      <c r="N81" s="6"/>
      <c r="O81" s="6"/>
      <c r="P81" s="6"/>
      <c r="Q81" s="6"/>
      <c r="R81" s="6"/>
      <c r="S81" s="6"/>
    </row>
    <row r="82" spans="5:19" x14ac:dyDescent="0.25">
      <c r="E82" s="6"/>
      <c r="F82" s="6"/>
      <c r="G82" s="6"/>
      <c r="H82" s="6"/>
      <c r="I82" s="6"/>
      <c r="J82" s="6"/>
      <c r="K82" s="6"/>
      <c r="L82" s="6"/>
      <c r="M82" s="6"/>
      <c r="N82" s="6"/>
      <c r="O82" s="6"/>
      <c r="P82" s="6"/>
      <c r="Q82" s="6"/>
      <c r="R82" s="6"/>
      <c r="S82" s="6"/>
    </row>
    <row r="83" spans="5:19" x14ac:dyDescent="0.25">
      <c r="E83" s="6"/>
      <c r="F83" s="6"/>
      <c r="G83" s="6"/>
      <c r="H83" s="6"/>
      <c r="I83" s="6"/>
      <c r="J83" s="6"/>
      <c r="K83" s="6"/>
      <c r="L83" s="6"/>
      <c r="M83" s="6"/>
      <c r="N83" s="6"/>
      <c r="O83" s="6"/>
      <c r="P83" s="6"/>
      <c r="Q83" s="6"/>
      <c r="R83" s="6"/>
      <c r="S83" s="6"/>
    </row>
    <row r="84" spans="5:19" x14ac:dyDescent="0.25">
      <c r="E84" s="6"/>
      <c r="F84" s="6"/>
      <c r="G84" s="6"/>
      <c r="H84" s="6"/>
      <c r="I84" s="6"/>
      <c r="J84" s="6"/>
      <c r="K84" s="6"/>
      <c r="L84" s="6"/>
      <c r="M84" s="6"/>
      <c r="N84" s="6"/>
      <c r="O84" s="6"/>
      <c r="P84" s="6"/>
      <c r="Q84" s="6"/>
      <c r="R84" s="6"/>
      <c r="S84" s="6"/>
    </row>
    <row r="85" spans="5:19" x14ac:dyDescent="0.25">
      <c r="E85" s="6"/>
      <c r="F85" s="6"/>
      <c r="G85" s="6"/>
      <c r="H85" s="6"/>
      <c r="I85" s="6"/>
      <c r="J85" s="6"/>
      <c r="K85" s="6"/>
      <c r="L85" s="6"/>
      <c r="M85" s="6"/>
      <c r="N85" s="6"/>
      <c r="O85" s="6"/>
      <c r="P85" s="6"/>
      <c r="Q85" s="6"/>
      <c r="R85" s="6"/>
      <c r="S85" s="6"/>
    </row>
    <row r="86" spans="5:19" x14ac:dyDescent="0.25">
      <c r="E86" s="6"/>
      <c r="F86" s="6"/>
      <c r="G86" s="6"/>
      <c r="H86" s="6"/>
      <c r="I86" s="6"/>
      <c r="J86" s="6"/>
      <c r="K86" s="6"/>
      <c r="L86" s="6"/>
      <c r="M86" s="6"/>
      <c r="N86" s="6"/>
      <c r="O86" s="6"/>
      <c r="P86" s="6"/>
      <c r="Q86" s="6"/>
      <c r="R86" s="6"/>
      <c r="S86" s="6"/>
    </row>
    <row r="87" spans="5:19" x14ac:dyDescent="0.25">
      <c r="E87" s="6"/>
      <c r="F87" s="6"/>
      <c r="G87" s="6"/>
      <c r="H87" s="6"/>
      <c r="I87" s="6"/>
      <c r="J87" s="6"/>
      <c r="K87" s="6"/>
      <c r="L87" s="6"/>
      <c r="M87" s="6"/>
      <c r="N87" s="6"/>
      <c r="O87" s="6"/>
      <c r="P87" s="6"/>
      <c r="Q87" s="6"/>
      <c r="R87" s="6"/>
      <c r="S87" s="6"/>
    </row>
    <row r="88" spans="5:19" x14ac:dyDescent="0.25">
      <c r="E88" s="6"/>
      <c r="F88" s="6"/>
      <c r="G88" s="6"/>
      <c r="H88" s="6"/>
      <c r="I88" s="6"/>
      <c r="J88" s="6"/>
      <c r="K88" s="6"/>
      <c r="L88" s="6"/>
      <c r="M88" s="6"/>
      <c r="N88" s="6"/>
      <c r="O88" s="6"/>
      <c r="P88" s="6"/>
      <c r="Q88" s="6"/>
      <c r="R88" s="6"/>
      <c r="S88" s="6"/>
    </row>
    <row r="89" spans="5:19" x14ac:dyDescent="0.25">
      <c r="E89" s="6"/>
      <c r="F89" s="6"/>
      <c r="G89" s="6"/>
      <c r="H89" s="6"/>
      <c r="I89" s="6"/>
      <c r="J89" s="6"/>
      <c r="K89" s="6"/>
      <c r="L89" s="6"/>
      <c r="M89" s="6"/>
      <c r="N89" s="6"/>
      <c r="O89" s="6"/>
      <c r="P89" s="6"/>
      <c r="Q89" s="6"/>
      <c r="R89" s="6"/>
      <c r="S89" s="6"/>
    </row>
    <row r="90" spans="5:19" x14ac:dyDescent="0.25">
      <c r="E90" s="6"/>
      <c r="F90" s="6"/>
      <c r="G90" s="6"/>
      <c r="H90" s="6"/>
      <c r="I90" s="6"/>
      <c r="J90" s="6"/>
      <c r="K90" s="6"/>
      <c r="L90" s="6"/>
      <c r="M90" s="6"/>
      <c r="N90" s="6"/>
      <c r="O90" s="6"/>
      <c r="P90" s="6"/>
      <c r="Q90" s="6"/>
      <c r="R90" s="6"/>
      <c r="S90" s="6"/>
    </row>
    <row r="91" spans="5:19" x14ac:dyDescent="0.25">
      <c r="E91" s="6"/>
      <c r="F91" s="6"/>
      <c r="G91" s="6"/>
      <c r="H91" s="6"/>
      <c r="I91" s="6"/>
      <c r="J91" s="6"/>
      <c r="K91" s="6"/>
      <c r="L91" s="6"/>
      <c r="M91" s="6"/>
      <c r="N91" s="6"/>
      <c r="O91" s="6"/>
      <c r="P91" s="6"/>
      <c r="Q91" s="6"/>
      <c r="R91" s="6"/>
      <c r="S91" s="6"/>
    </row>
    <row r="92" spans="5:19" x14ac:dyDescent="0.25">
      <c r="E92" s="6"/>
      <c r="F92" s="6"/>
      <c r="G92" s="6"/>
      <c r="H92" s="6"/>
      <c r="I92" s="6"/>
      <c r="J92" s="6"/>
      <c r="K92" s="6"/>
      <c r="L92" s="6"/>
      <c r="M92" s="6"/>
      <c r="N92" s="6"/>
      <c r="O92" s="6"/>
      <c r="P92" s="6"/>
      <c r="Q92" s="6"/>
      <c r="R92" s="6"/>
      <c r="S92" s="6"/>
    </row>
    <row r="93" spans="5:19" x14ac:dyDescent="0.25">
      <c r="E93" s="6"/>
      <c r="F93" s="6"/>
      <c r="G93" s="6"/>
      <c r="H93" s="6"/>
      <c r="I93" s="6"/>
      <c r="J93" s="6"/>
      <c r="K93" s="6"/>
      <c r="L93" s="6"/>
      <c r="M93" s="6"/>
      <c r="N93" s="6"/>
      <c r="O93" s="6"/>
      <c r="P93" s="6"/>
      <c r="Q93" s="6"/>
      <c r="R93" s="6"/>
      <c r="S93" s="6"/>
    </row>
    <row r="94" spans="5:19" x14ac:dyDescent="0.25">
      <c r="E94" s="6"/>
      <c r="F94" s="6"/>
      <c r="G94" s="6"/>
      <c r="H94" s="6"/>
      <c r="I94" s="6"/>
      <c r="J94" s="6"/>
      <c r="K94" s="6"/>
      <c r="L94" s="6"/>
      <c r="M94" s="6"/>
      <c r="N94" s="6"/>
      <c r="O94" s="6"/>
      <c r="P94" s="6"/>
      <c r="Q94" s="6"/>
      <c r="R94" s="6"/>
      <c r="S94" s="6"/>
    </row>
    <row r="95" spans="5:19" x14ac:dyDescent="0.25">
      <c r="E95" s="6"/>
      <c r="F95" s="6"/>
      <c r="G95" s="6"/>
      <c r="H95" s="6"/>
      <c r="I95" s="6"/>
      <c r="J95" s="6"/>
      <c r="K95" s="6"/>
      <c r="L95" s="6"/>
      <c r="M95" s="6"/>
      <c r="N95" s="6"/>
      <c r="O95" s="6"/>
      <c r="P95" s="6"/>
      <c r="Q95" s="6"/>
      <c r="R95" s="6"/>
      <c r="S95" s="6"/>
    </row>
    <row r="96" spans="5:19" x14ac:dyDescent="0.25">
      <c r="E96" s="6"/>
      <c r="F96" s="6"/>
      <c r="G96" s="6"/>
      <c r="H96" s="6"/>
      <c r="I96" s="6"/>
      <c r="J96" s="6"/>
      <c r="K96" s="6"/>
      <c r="L96" s="6"/>
      <c r="M96" s="6"/>
      <c r="N96" s="6"/>
      <c r="O96" s="6"/>
      <c r="P96" s="6"/>
      <c r="Q96" s="6"/>
      <c r="R96" s="6"/>
      <c r="S96" s="6"/>
    </row>
    <row r="97" spans="5:19" x14ac:dyDescent="0.25">
      <c r="E97" s="6"/>
      <c r="F97" s="6"/>
      <c r="G97" s="6"/>
      <c r="H97" s="6"/>
      <c r="I97" s="6"/>
      <c r="J97" s="6"/>
      <c r="K97" s="6"/>
      <c r="L97" s="6"/>
      <c r="M97" s="6"/>
      <c r="N97" s="6"/>
      <c r="O97" s="6"/>
      <c r="P97" s="6"/>
      <c r="Q97" s="6"/>
      <c r="R97" s="6"/>
      <c r="S97" s="6"/>
    </row>
    <row r="98" spans="5:19" x14ac:dyDescent="0.25">
      <c r="E98" s="6"/>
      <c r="F98" s="6"/>
      <c r="G98" s="6"/>
      <c r="H98" s="6"/>
      <c r="I98" s="6"/>
      <c r="J98" s="6"/>
      <c r="K98" s="6"/>
      <c r="L98" s="6"/>
      <c r="M98" s="6"/>
      <c r="N98" s="6"/>
      <c r="O98" s="6"/>
      <c r="P98" s="6"/>
      <c r="Q98" s="6"/>
      <c r="R98" s="6"/>
      <c r="S98" s="6"/>
    </row>
    <row r="99" spans="5:19" x14ac:dyDescent="0.25">
      <c r="E99" s="6"/>
      <c r="F99" s="6"/>
      <c r="G99" s="6"/>
      <c r="H99" s="6"/>
      <c r="I99" s="6"/>
      <c r="J99" s="6"/>
      <c r="K99" s="6"/>
      <c r="L99" s="6"/>
      <c r="M99" s="6"/>
      <c r="N99" s="6"/>
      <c r="O99" s="6"/>
      <c r="P99" s="6"/>
      <c r="Q99" s="6"/>
      <c r="R99" s="6"/>
      <c r="S99" s="6"/>
    </row>
    <row r="100" spans="5:19" x14ac:dyDescent="0.25">
      <c r="E100" s="6"/>
      <c r="F100" s="6"/>
      <c r="G100" s="6"/>
      <c r="H100" s="6"/>
      <c r="I100" s="6"/>
      <c r="J100" s="6"/>
      <c r="K100" s="6"/>
      <c r="L100" s="6"/>
      <c r="M100" s="6"/>
      <c r="N100" s="6"/>
      <c r="O100" s="6"/>
      <c r="P100" s="6"/>
      <c r="Q100" s="6"/>
      <c r="R100" s="6"/>
      <c r="S100" s="6"/>
    </row>
    <row r="101" spans="5:19" x14ac:dyDescent="0.25">
      <c r="E101" s="6"/>
      <c r="F101" s="6"/>
      <c r="G101" s="6"/>
      <c r="H101" s="6"/>
      <c r="I101" s="6"/>
      <c r="J101" s="6"/>
      <c r="K101" s="6"/>
      <c r="L101" s="6"/>
      <c r="M101" s="6"/>
      <c r="N101" s="6"/>
      <c r="O101" s="6"/>
      <c r="P101" s="6"/>
      <c r="Q101" s="6"/>
      <c r="R101" s="6"/>
      <c r="S101" s="6"/>
    </row>
    <row r="102" spans="5:19" x14ac:dyDescent="0.25">
      <c r="E102" s="6"/>
      <c r="F102" s="6"/>
      <c r="G102" s="6"/>
      <c r="H102" s="6"/>
      <c r="I102" s="6"/>
      <c r="J102" s="6"/>
      <c r="K102" s="6"/>
      <c r="L102" s="6"/>
      <c r="M102" s="6"/>
      <c r="N102" s="6"/>
      <c r="O102" s="6"/>
      <c r="P102" s="6"/>
      <c r="Q102" s="6"/>
      <c r="R102" s="6"/>
      <c r="S102" s="6"/>
    </row>
    <row r="103" spans="5:19" x14ac:dyDescent="0.25">
      <c r="E103" s="6"/>
      <c r="F103" s="6"/>
      <c r="G103" s="6"/>
      <c r="H103" s="6"/>
      <c r="I103" s="6"/>
      <c r="J103" s="6"/>
      <c r="K103" s="6"/>
      <c r="L103" s="6"/>
      <c r="M103" s="6"/>
      <c r="N103" s="6"/>
      <c r="O103" s="6"/>
      <c r="P103" s="6"/>
      <c r="Q103" s="6"/>
      <c r="R103" s="6"/>
      <c r="S103" s="6"/>
    </row>
    <row r="104" spans="5:19" x14ac:dyDescent="0.25">
      <c r="E104" s="6"/>
      <c r="F104" s="6"/>
      <c r="G104" s="6"/>
      <c r="H104" s="6"/>
      <c r="I104" s="6"/>
      <c r="J104" s="6"/>
      <c r="K104" s="6"/>
      <c r="L104" s="6"/>
      <c r="M104" s="6"/>
      <c r="N104" s="6"/>
      <c r="O104" s="6"/>
      <c r="P104" s="6"/>
      <c r="Q104" s="6"/>
      <c r="R104" s="6"/>
      <c r="S104" s="6"/>
    </row>
    <row r="105" spans="5:19" x14ac:dyDescent="0.25">
      <c r="E105" s="6"/>
      <c r="F105" s="6"/>
      <c r="G105" s="6"/>
      <c r="H105" s="6"/>
      <c r="I105" s="6"/>
      <c r="J105" s="6"/>
      <c r="K105" s="6"/>
      <c r="L105" s="6"/>
      <c r="M105" s="6"/>
      <c r="N105" s="6"/>
      <c r="O105" s="6"/>
      <c r="P105" s="6"/>
      <c r="Q105" s="6"/>
      <c r="R105" s="6"/>
      <c r="S105" s="6"/>
    </row>
    <row r="106" spans="5:19" x14ac:dyDescent="0.25">
      <c r="E106" s="6"/>
      <c r="F106" s="6"/>
      <c r="G106" s="6"/>
      <c r="H106" s="6"/>
      <c r="I106" s="6"/>
      <c r="J106" s="6"/>
      <c r="K106" s="6"/>
      <c r="L106" s="6"/>
      <c r="M106" s="6"/>
      <c r="N106" s="6"/>
      <c r="O106" s="6"/>
      <c r="P106" s="6"/>
      <c r="Q106" s="6"/>
      <c r="R106" s="6"/>
      <c r="S106" s="6"/>
    </row>
    <row r="107" spans="5:19" x14ac:dyDescent="0.25">
      <c r="E107" s="6"/>
      <c r="F107" s="6"/>
      <c r="G107" s="6"/>
      <c r="H107" s="6"/>
      <c r="I107" s="6"/>
      <c r="J107" s="6"/>
      <c r="K107" s="6"/>
      <c r="L107" s="6"/>
      <c r="M107" s="6"/>
      <c r="N107" s="6"/>
      <c r="O107" s="6"/>
      <c r="P107" s="6"/>
      <c r="Q107" s="6"/>
      <c r="R107" s="6"/>
      <c r="S107" s="6"/>
    </row>
    <row r="108" spans="5:19" x14ac:dyDescent="0.25">
      <c r="E108" s="6"/>
      <c r="F108" s="6"/>
      <c r="G108" s="6"/>
      <c r="H108" s="6"/>
      <c r="I108" s="6"/>
      <c r="J108" s="6"/>
      <c r="K108" s="6"/>
      <c r="L108" s="6"/>
      <c r="M108" s="6"/>
      <c r="N108" s="6"/>
      <c r="O108" s="6"/>
      <c r="P108" s="6"/>
      <c r="Q108" s="6"/>
      <c r="R108" s="6"/>
      <c r="S108" s="6"/>
    </row>
    <row r="109" spans="5:19" x14ac:dyDescent="0.25">
      <c r="E109" s="6"/>
      <c r="F109" s="6"/>
      <c r="G109" s="6"/>
      <c r="H109" s="6"/>
      <c r="I109" s="6"/>
      <c r="J109" s="6"/>
      <c r="K109" s="6"/>
      <c r="L109" s="6"/>
      <c r="M109" s="6"/>
      <c r="N109" s="6"/>
      <c r="O109" s="6"/>
      <c r="P109" s="6"/>
      <c r="Q109" s="6"/>
      <c r="R109" s="6"/>
      <c r="S109" s="6"/>
    </row>
    <row r="110" spans="5:19" x14ac:dyDescent="0.25">
      <c r="E110" s="6"/>
      <c r="F110" s="6"/>
      <c r="G110" s="6"/>
      <c r="H110" s="6"/>
      <c r="I110" s="6"/>
      <c r="J110" s="6"/>
      <c r="K110" s="6"/>
      <c r="L110" s="6"/>
      <c r="M110" s="6"/>
      <c r="N110" s="6"/>
      <c r="O110" s="6"/>
      <c r="P110" s="6"/>
      <c r="Q110" s="6"/>
      <c r="R110" s="6"/>
      <c r="S110" s="6"/>
    </row>
    <row r="111" spans="5:19" x14ac:dyDescent="0.25">
      <c r="E111" s="6"/>
      <c r="F111" s="6"/>
      <c r="G111" s="6"/>
      <c r="H111" s="6"/>
      <c r="I111" s="6"/>
      <c r="J111" s="6"/>
      <c r="K111" s="6"/>
      <c r="L111" s="6"/>
      <c r="M111" s="6"/>
      <c r="N111" s="6"/>
      <c r="O111" s="6"/>
      <c r="P111" s="6"/>
      <c r="Q111" s="6"/>
      <c r="R111" s="6"/>
      <c r="S111" s="6"/>
    </row>
  </sheetData>
  <sortState ref="B9:S31">
    <sortCondition descending="1" ref="F9:F31"/>
    <sortCondition descending="1" ref="G9:G31"/>
    <sortCondition descending="1" ref="I9:I31"/>
    <sortCondition descending="1" ref="J9:J31"/>
    <sortCondition descending="1" ref="K9:K31"/>
    <sortCondition descending="1" ref="L9:L31"/>
    <sortCondition descending="1" ref="M9:M31"/>
    <sortCondition descending="1" ref="O9:O31"/>
    <sortCondition descending="1" ref="P9:P31"/>
    <sortCondition descending="1" ref="Q9:Q31"/>
  </sortState>
  <customSheetViews>
    <customSheetView guid="{BB410D8C-36DE-400F-AB69-DB51CF9CA663}" scale="120" fitToPage="1" hiddenColumns="1" state="hidden" topLeftCell="E31">
      <selection activeCell="B3" sqref="B3"/>
      <pageMargins left="0.4" right="0.4" top="0.4" bottom="0.4" header="0" footer="0"/>
      <pageSetup scale="50" orientation="landscape" r:id="rId1"/>
      <headerFooter>
        <oddFooter>&amp;R&amp;D</oddFooter>
      </headerFooter>
    </customSheetView>
  </customSheetViews>
  <pageMargins left="0.3" right="0.3" top="0.3" bottom="0.3" header="0" footer="0"/>
  <pageSetup scale="49" orientation="landscape" r:id="rId2"/>
  <headerFooter>
    <oddFooter>&amp;R&amp;D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0"/>
  <sheetViews>
    <sheetView zoomScaleNormal="100" workbookViewId="0">
      <selection activeCell="A2" sqref="A2"/>
    </sheetView>
  </sheetViews>
  <sheetFormatPr defaultRowHeight="15" outlineLevelCol="1" x14ac:dyDescent="0.25"/>
  <cols>
    <col min="1" max="1" width="62.42578125" customWidth="1"/>
    <col min="2" max="2" width="8.28515625" style="109" customWidth="1"/>
    <col min="3" max="3" width="2.85546875" customWidth="1"/>
    <col min="4" max="4" width="11.140625" style="6" customWidth="1"/>
    <col min="5" max="6" width="10.140625" style="6" customWidth="1"/>
    <col min="7" max="7" width="4.85546875" style="6" customWidth="1"/>
    <col min="8" max="8" width="10.85546875" style="6" bestFit="1" customWidth="1"/>
    <col min="9" max="13" width="10.140625" style="6" customWidth="1"/>
    <col min="14" max="14" width="9.28515625" style="6" hidden="1" customWidth="1" outlineLevel="1"/>
    <col min="15" max="18" width="10.140625" style="6" hidden="1" customWidth="1" outlineLevel="1"/>
    <col min="19" max="19" width="9.140625" collapsed="1"/>
  </cols>
  <sheetData>
    <row r="1" spans="1:18" ht="21" x14ac:dyDescent="0.35">
      <c r="A1" s="17" t="s">
        <v>65</v>
      </c>
    </row>
    <row r="2" spans="1:18" ht="21" x14ac:dyDescent="0.35">
      <c r="A2" s="17" t="str">
        <f>'CIP Details'!C2</f>
        <v>Capital Improvement Plan (CIP)</v>
      </c>
      <c r="H2" s="19"/>
    </row>
    <row r="3" spans="1:18" ht="21" x14ac:dyDescent="0.35">
      <c r="A3" s="17" t="str">
        <f>'CIP Details'!C3</f>
        <v>Fiscal Year 2021 - 2026+</v>
      </c>
      <c r="D3"/>
      <c r="E3"/>
      <c r="F3"/>
      <c r="G3"/>
      <c r="H3"/>
      <c r="I3"/>
      <c r="J3"/>
      <c r="K3"/>
      <c r="L3"/>
      <c r="M3"/>
      <c r="N3"/>
      <c r="O3"/>
      <c r="P3"/>
      <c r="Q3"/>
      <c r="R3"/>
    </row>
    <row r="4" spans="1:18" x14ac:dyDescent="0.25">
      <c r="D4"/>
      <c r="E4"/>
      <c r="F4"/>
      <c r="G4"/>
      <c r="H4"/>
      <c r="I4"/>
      <c r="J4"/>
      <c r="K4"/>
      <c r="L4"/>
      <c r="M4"/>
      <c r="N4"/>
      <c r="O4"/>
      <c r="P4"/>
      <c r="Q4"/>
      <c r="R4"/>
    </row>
    <row r="5" spans="1:18" x14ac:dyDescent="0.25">
      <c r="D5"/>
      <c r="E5"/>
      <c r="F5"/>
      <c r="G5"/>
      <c r="H5"/>
      <c r="I5"/>
      <c r="J5"/>
      <c r="K5"/>
      <c r="L5"/>
      <c r="M5"/>
      <c r="N5"/>
      <c r="O5"/>
      <c r="P5"/>
      <c r="Q5"/>
      <c r="R5"/>
    </row>
    <row r="6" spans="1:18" x14ac:dyDescent="0.25">
      <c r="D6" s="3" t="s">
        <v>2</v>
      </c>
      <c r="E6" s="3" t="s">
        <v>3</v>
      </c>
      <c r="F6" s="3" t="s">
        <v>4</v>
      </c>
      <c r="G6" s="264"/>
      <c r="H6" s="3" t="s">
        <v>5</v>
      </c>
      <c r="I6" s="3" t="s">
        <v>6</v>
      </c>
      <c r="J6" s="3" t="s">
        <v>7</v>
      </c>
      <c r="K6" s="3" t="s">
        <v>8</v>
      </c>
      <c r="L6" s="3" t="s">
        <v>9</v>
      </c>
      <c r="M6" s="3" t="s">
        <v>1111</v>
      </c>
      <c r="N6" s="3" t="s">
        <v>10</v>
      </c>
      <c r="O6" s="3" t="s">
        <v>11</v>
      </c>
      <c r="P6" s="3" t="s">
        <v>45</v>
      </c>
      <c r="Q6" s="3" t="s">
        <v>622</v>
      </c>
      <c r="R6" s="3" t="s">
        <v>868</v>
      </c>
    </row>
    <row r="7" spans="1:18" x14ac:dyDescent="0.25">
      <c r="D7"/>
      <c r="E7"/>
      <c r="F7"/>
      <c r="G7" s="89"/>
      <c r="H7"/>
      <c r="I7"/>
      <c r="J7"/>
      <c r="K7"/>
      <c r="L7"/>
      <c r="M7"/>
      <c r="N7"/>
      <c r="O7"/>
      <c r="P7"/>
      <c r="Q7"/>
      <c r="R7"/>
    </row>
    <row r="8" spans="1:18" x14ac:dyDescent="0.25">
      <c r="A8" s="5" t="s">
        <v>60</v>
      </c>
      <c r="D8"/>
      <c r="E8"/>
      <c r="F8"/>
      <c r="G8" s="89"/>
      <c r="H8"/>
      <c r="I8"/>
      <c r="J8"/>
      <c r="K8"/>
      <c r="L8"/>
      <c r="M8"/>
      <c r="N8"/>
      <c r="O8"/>
      <c r="P8"/>
      <c r="Q8"/>
      <c r="R8"/>
    </row>
    <row r="9" spans="1:18" x14ac:dyDescent="0.25">
      <c r="G9" s="91"/>
    </row>
    <row r="10" spans="1:18" ht="15.75" x14ac:dyDescent="0.25">
      <c r="A10" s="101" t="s">
        <v>415</v>
      </c>
      <c r="B10" s="110"/>
      <c r="C10" s="102"/>
      <c r="D10" s="6">
        <v>30000</v>
      </c>
      <c r="E10" s="6">
        <v>30000</v>
      </c>
      <c r="F10" s="6">
        <v>30000</v>
      </c>
      <c r="G10" s="91"/>
      <c r="H10" s="6">
        <v>30000</v>
      </c>
      <c r="I10" s="6">
        <v>30000</v>
      </c>
      <c r="J10" s="6">
        <v>30000</v>
      </c>
      <c r="K10" s="6">
        <v>30000</v>
      </c>
      <c r="L10" s="6">
        <v>30000</v>
      </c>
      <c r="M10" s="6">
        <f>SUM(N10:R10)</f>
        <v>150000</v>
      </c>
      <c r="N10" s="6">
        <v>30000</v>
      </c>
      <c r="O10" s="6">
        <v>30000</v>
      </c>
      <c r="P10" s="6">
        <v>30000</v>
      </c>
      <c r="Q10" s="6">
        <v>30000</v>
      </c>
      <c r="R10" s="6">
        <v>30000</v>
      </c>
    </row>
    <row r="11" spans="1:18" ht="15.75" x14ac:dyDescent="0.25">
      <c r="A11" s="101" t="s">
        <v>416</v>
      </c>
      <c r="B11" s="110"/>
      <c r="C11" s="102"/>
      <c r="G11" s="91"/>
      <c r="I11" s="6">
        <v>20000</v>
      </c>
      <c r="M11" s="6">
        <f t="shared" ref="M11:M21" si="0">SUM(N11:R11)</f>
        <v>0</v>
      </c>
    </row>
    <row r="12" spans="1:18" ht="15.75" x14ac:dyDescent="0.25">
      <c r="A12" s="101" t="s">
        <v>417</v>
      </c>
      <c r="B12" s="110"/>
      <c r="C12" s="102"/>
      <c r="G12" s="91"/>
      <c r="J12" s="6">
        <v>200000</v>
      </c>
      <c r="M12" s="6">
        <f t="shared" si="0"/>
        <v>0</v>
      </c>
    </row>
    <row r="13" spans="1:18" ht="15.75" x14ac:dyDescent="0.25">
      <c r="A13" s="101" t="s">
        <v>419</v>
      </c>
      <c r="B13" s="110"/>
      <c r="C13" s="102"/>
      <c r="D13" s="6">
        <v>30000</v>
      </c>
      <c r="E13" s="6">
        <v>30000</v>
      </c>
      <c r="F13" s="6">
        <v>30000</v>
      </c>
      <c r="G13" s="91"/>
      <c r="H13" s="6">
        <v>30000</v>
      </c>
      <c r="I13" s="6">
        <v>30000</v>
      </c>
      <c r="J13" s="6">
        <v>30000</v>
      </c>
      <c r="K13" s="6">
        <v>30000</v>
      </c>
      <c r="L13" s="6">
        <v>30000</v>
      </c>
      <c r="M13" s="6">
        <f t="shared" si="0"/>
        <v>150000</v>
      </c>
      <c r="N13" s="6">
        <v>30000</v>
      </c>
      <c r="O13" s="6">
        <v>30000</v>
      </c>
      <c r="P13" s="6">
        <v>30000</v>
      </c>
      <c r="Q13" s="6">
        <v>30000</v>
      </c>
      <c r="R13" s="6">
        <v>30000</v>
      </c>
    </row>
    <row r="14" spans="1:18" ht="15.75" x14ac:dyDescent="0.25">
      <c r="A14" s="104" t="s">
        <v>421</v>
      </c>
      <c r="B14" s="110"/>
      <c r="C14" s="102"/>
      <c r="G14" s="91"/>
      <c r="J14" s="6">
        <v>25000</v>
      </c>
      <c r="M14" s="6">
        <f t="shared" si="0"/>
        <v>0</v>
      </c>
    </row>
    <row r="15" spans="1:18" ht="15.75" x14ac:dyDescent="0.25">
      <c r="A15" s="104" t="s">
        <v>422</v>
      </c>
      <c r="B15" s="110"/>
      <c r="C15" s="102"/>
      <c r="G15" s="91"/>
      <c r="K15" s="6">
        <v>200000</v>
      </c>
      <c r="M15" s="6">
        <f t="shared" si="0"/>
        <v>0</v>
      </c>
    </row>
    <row r="16" spans="1:18" ht="15.75" x14ac:dyDescent="0.25">
      <c r="A16" s="104" t="s">
        <v>423</v>
      </c>
      <c r="B16" s="110"/>
      <c r="C16" s="102"/>
      <c r="D16" s="6">
        <v>50000</v>
      </c>
      <c r="G16" s="91"/>
      <c r="M16" s="6">
        <f t="shared" si="0"/>
        <v>0</v>
      </c>
    </row>
    <row r="17" spans="1:18" ht="15.75" x14ac:dyDescent="0.25">
      <c r="A17" s="104" t="s">
        <v>424</v>
      </c>
      <c r="B17" s="110"/>
      <c r="C17" s="102"/>
      <c r="D17" s="6">
        <v>300000</v>
      </c>
      <c r="E17" s="6">
        <v>300000</v>
      </c>
      <c r="F17" s="6">
        <v>300000</v>
      </c>
      <c r="G17" s="91"/>
      <c r="H17" s="6">
        <v>300000</v>
      </c>
      <c r="I17" s="6">
        <v>300000</v>
      </c>
      <c r="J17" s="6">
        <v>300000</v>
      </c>
      <c r="M17" s="6">
        <f t="shared" si="0"/>
        <v>0</v>
      </c>
    </row>
    <row r="18" spans="1:18" ht="15.75" x14ac:dyDescent="0.25">
      <c r="A18" s="104" t="s">
        <v>425</v>
      </c>
      <c r="B18" s="110"/>
      <c r="C18" s="102"/>
      <c r="D18" s="6">
        <v>170000</v>
      </c>
      <c r="G18" s="91"/>
      <c r="M18" s="6">
        <f t="shared" si="0"/>
        <v>0</v>
      </c>
    </row>
    <row r="19" spans="1:18" ht="15.75" x14ac:dyDescent="0.25">
      <c r="A19" s="104" t="s">
        <v>426</v>
      </c>
      <c r="B19" s="110"/>
      <c r="C19" s="102"/>
      <c r="D19" s="6">
        <v>25000</v>
      </c>
      <c r="G19" s="91"/>
      <c r="M19" s="6">
        <f t="shared" si="0"/>
        <v>0</v>
      </c>
    </row>
    <row r="20" spans="1:18" ht="15.75" x14ac:dyDescent="0.25">
      <c r="A20" s="104" t="s">
        <v>427</v>
      </c>
      <c r="B20" s="110"/>
      <c r="C20" s="102"/>
      <c r="G20" s="91"/>
      <c r="I20" s="6">
        <v>25000</v>
      </c>
      <c r="M20" s="6">
        <f t="shared" si="0"/>
        <v>0</v>
      </c>
    </row>
    <row r="21" spans="1:18" ht="15.75" x14ac:dyDescent="0.25">
      <c r="A21" s="104"/>
      <c r="B21" s="110"/>
      <c r="C21" s="102"/>
      <c r="D21" s="103"/>
      <c r="E21" s="103"/>
      <c r="F21" s="103"/>
      <c r="G21" s="265"/>
      <c r="H21" s="103"/>
      <c r="I21" s="103"/>
      <c r="J21" s="103"/>
      <c r="K21" s="103"/>
      <c r="L21" s="103"/>
      <c r="M21" s="6">
        <f t="shared" si="0"/>
        <v>0</v>
      </c>
      <c r="N21" s="103"/>
      <c r="O21" s="103"/>
      <c r="P21" s="103"/>
      <c r="Q21" s="103"/>
      <c r="R21" s="103"/>
    </row>
    <row r="22" spans="1:18" s="4" customFormat="1" ht="15.75" thickBot="1" x14ac:dyDescent="0.3">
      <c r="A22" s="105" t="s">
        <v>36</v>
      </c>
      <c r="B22" s="111"/>
      <c r="C22" s="105"/>
      <c r="D22" s="106">
        <f>SUM(D9:D21)</f>
        <v>605000</v>
      </c>
      <c r="E22" s="106">
        <f t="shared" ref="E22:R22" si="1">SUM(E9:E21)</f>
        <v>360000</v>
      </c>
      <c r="F22" s="106">
        <f t="shared" si="1"/>
        <v>360000</v>
      </c>
      <c r="G22" s="266"/>
      <c r="H22" s="106">
        <f t="shared" si="1"/>
        <v>360000</v>
      </c>
      <c r="I22" s="106">
        <f t="shared" si="1"/>
        <v>405000</v>
      </c>
      <c r="J22" s="106">
        <f t="shared" si="1"/>
        <v>585000</v>
      </c>
      <c r="K22" s="106">
        <f t="shared" si="1"/>
        <v>260000</v>
      </c>
      <c r="L22" s="106">
        <f t="shared" si="1"/>
        <v>60000</v>
      </c>
      <c r="M22" s="106">
        <f t="shared" si="1"/>
        <v>300000</v>
      </c>
      <c r="N22" s="106">
        <f t="shared" si="1"/>
        <v>60000</v>
      </c>
      <c r="O22" s="106">
        <f t="shared" si="1"/>
        <v>60000</v>
      </c>
      <c r="P22" s="106">
        <f t="shared" si="1"/>
        <v>60000</v>
      </c>
      <c r="Q22" s="106">
        <f t="shared" si="1"/>
        <v>60000</v>
      </c>
      <c r="R22" s="106">
        <f t="shared" si="1"/>
        <v>60000</v>
      </c>
    </row>
    <row r="23" spans="1:18" ht="15.75" thickTop="1" x14ac:dyDescent="0.25">
      <c r="A23" s="102"/>
      <c r="B23" s="110"/>
      <c r="C23" s="102"/>
      <c r="D23" s="103"/>
      <c r="E23" s="103"/>
      <c r="F23" s="103"/>
      <c r="G23" s="265"/>
      <c r="H23" s="103"/>
      <c r="I23" s="103"/>
      <c r="J23" s="103"/>
      <c r="K23" s="103"/>
      <c r="L23" s="103"/>
      <c r="M23" s="103"/>
      <c r="N23" s="103"/>
      <c r="O23" s="103"/>
      <c r="P23" s="103"/>
      <c r="Q23" s="103"/>
      <c r="R23" s="103"/>
    </row>
    <row r="24" spans="1:18" x14ac:dyDescent="0.25">
      <c r="A24" s="107" t="s">
        <v>61</v>
      </c>
      <c r="B24" s="110"/>
      <c r="C24" s="102"/>
      <c r="D24" s="103"/>
      <c r="E24" s="103"/>
      <c r="F24" s="103"/>
      <c r="G24" s="265"/>
      <c r="H24" s="103"/>
      <c r="I24" s="103"/>
      <c r="J24" s="103"/>
      <c r="K24" s="103"/>
      <c r="L24" s="103"/>
      <c r="M24" s="103"/>
      <c r="N24" s="103"/>
      <c r="O24" s="103"/>
      <c r="P24" s="103"/>
      <c r="Q24" s="103"/>
      <c r="R24" s="103"/>
    </row>
    <row r="25" spans="1:18" x14ac:dyDescent="0.25">
      <c r="A25" s="102"/>
      <c r="B25" s="110"/>
      <c r="C25" s="102"/>
      <c r="D25" s="103"/>
      <c r="E25" s="103"/>
      <c r="F25" s="103"/>
      <c r="G25" s="265"/>
      <c r="H25" s="103"/>
      <c r="I25" s="103"/>
      <c r="J25" s="103"/>
      <c r="K25" s="103"/>
      <c r="L25" s="103"/>
      <c r="M25" s="103"/>
      <c r="N25" s="103"/>
      <c r="O25" s="103"/>
      <c r="P25" s="103"/>
      <c r="Q25" s="103"/>
      <c r="R25" s="103"/>
    </row>
    <row r="26" spans="1:18" ht="15.75" x14ac:dyDescent="0.25">
      <c r="A26" s="101" t="s">
        <v>413</v>
      </c>
      <c r="B26" s="110"/>
      <c r="C26" s="102"/>
      <c r="E26" s="6">
        <v>50000</v>
      </c>
      <c r="G26" s="91"/>
      <c r="M26" s="6">
        <f t="shared" ref="M26:M35" si="2">SUM(N26:R26)</f>
        <v>0</v>
      </c>
    </row>
    <row r="27" spans="1:18" ht="15.75" x14ac:dyDescent="0.25">
      <c r="A27" s="101" t="s">
        <v>646</v>
      </c>
      <c r="B27" s="110"/>
      <c r="C27" s="102"/>
      <c r="G27" s="91"/>
      <c r="H27" s="6">
        <v>75000</v>
      </c>
      <c r="M27" s="6">
        <f t="shared" si="2"/>
        <v>0</v>
      </c>
    </row>
    <row r="28" spans="1:18" ht="15.75" x14ac:dyDescent="0.25">
      <c r="A28" s="101" t="s">
        <v>953</v>
      </c>
      <c r="B28" s="110"/>
      <c r="C28" s="102"/>
      <c r="G28" s="91"/>
      <c r="L28" s="6">
        <v>32000</v>
      </c>
      <c r="M28" s="6">
        <f t="shared" si="2"/>
        <v>0</v>
      </c>
    </row>
    <row r="29" spans="1:18" ht="15.75" x14ac:dyDescent="0.25">
      <c r="A29" s="101" t="s">
        <v>954</v>
      </c>
      <c r="B29" s="110"/>
      <c r="C29" s="102"/>
      <c r="G29" s="91"/>
      <c r="L29" s="6">
        <v>60000</v>
      </c>
      <c r="M29" s="6">
        <f t="shared" si="2"/>
        <v>0</v>
      </c>
    </row>
    <row r="30" spans="1:18" ht="15.75" x14ac:dyDescent="0.25">
      <c r="A30" s="108" t="s">
        <v>414</v>
      </c>
      <c r="B30" s="110"/>
      <c r="C30" s="102"/>
      <c r="D30" s="6">
        <v>250000</v>
      </c>
      <c r="E30" s="6">
        <v>250000</v>
      </c>
      <c r="F30" s="6">
        <v>250000</v>
      </c>
      <c r="G30" s="91"/>
      <c r="H30" s="6">
        <v>250000</v>
      </c>
      <c r="I30" s="6">
        <v>250000</v>
      </c>
      <c r="J30" s="6">
        <v>100000</v>
      </c>
      <c r="K30" s="6">
        <v>50000</v>
      </c>
      <c r="L30" s="6">
        <v>50000</v>
      </c>
      <c r="M30" s="6">
        <f t="shared" si="2"/>
        <v>250000</v>
      </c>
      <c r="N30" s="6">
        <v>50000</v>
      </c>
      <c r="O30" s="6">
        <v>50000</v>
      </c>
      <c r="P30" s="6">
        <v>50000</v>
      </c>
      <c r="Q30" s="6">
        <v>50000</v>
      </c>
      <c r="R30" s="6">
        <v>50000</v>
      </c>
    </row>
    <row r="31" spans="1:18" ht="15.75" x14ac:dyDescent="0.25">
      <c r="A31" s="101" t="s">
        <v>418</v>
      </c>
      <c r="B31" s="110"/>
      <c r="C31" s="102"/>
      <c r="D31" s="6">
        <v>250000</v>
      </c>
      <c r="E31" s="6">
        <v>250000</v>
      </c>
      <c r="F31" s="6">
        <v>250000</v>
      </c>
      <c r="G31" s="91"/>
      <c r="H31" s="6">
        <v>250000</v>
      </c>
      <c r="I31" s="6">
        <v>250000</v>
      </c>
      <c r="J31" s="6">
        <v>250000</v>
      </c>
      <c r="M31" s="6">
        <f t="shared" si="2"/>
        <v>0</v>
      </c>
    </row>
    <row r="32" spans="1:18" ht="15.75" x14ac:dyDescent="0.25">
      <c r="A32" s="104" t="s">
        <v>957</v>
      </c>
      <c r="B32" s="110"/>
      <c r="C32" s="102"/>
      <c r="G32" s="91"/>
      <c r="H32" s="6">
        <v>50000</v>
      </c>
      <c r="M32" s="6">
        <f t="shared" si="2"/>
        <v>0</v>
      </c>
    </row>
    <row r="33" spans="1:18" ht="15.75" x14ac:dyDescent="0.25">
      <c r="A33" s="104" t="s">
        <v>958</v>
      </c>
      <c r="B33" s="110"/>
      <c r="C33" s="102"/>
      <c r="D33" s="6">
        <v>46105</v>
      </c>
      <c r="E33" s="6">
        <v>2032318</v>
      </c>
      <c r="F33" s="6">
        <v>221298</v>
      </c>
      <c r="G33" s="91"/>
      <c r="M33" s="6">
        <f t="shared" si="2"/>
        <v>0</v>
      </c>
    </row>
    <row r="34" spans="1:18" ht="15.75" x14ac:dyDescent="0.25">
      <c r="A34" s="104" t="s">
        <v>420</v>
      </c>
      <c r="B34" s="110"/>
      <c r="C34" s="102"/>
      <c r="D34" s="6">
        <v>200000</v>
      </c>
      <c r="G34" s="91"/>
      <c r="M34" s="6">
        <f t="shared" si="2"/>
        <v>0</v>
      </c>
    </row>
    <row r="35" spans="1:18" x14ac:dyDescent="0.25">
      <c r="A35" s="102"/>
      <c r="B35" s="110"/>
      <c r="C35" s="102"/>
      <c r="G35" s="91"/>
      <c r="M35" s="6">
        <f t="shared" si="2"/>
        <v>0</v>
      </c>
    </row>
    <row r="36" spans="1:18" s="4" customFormat="1" ht="15.75" thickBot="1" x14ac:dyDescent="0.3">
      <c r="A36" s="4" t="s">
        <v>34</v>
      </c>
      <c r="B36" s="112"/>
      <c r="D36" s="9">
        <f t="shared" ref="D36:R36" si="3">SUM(D25:D35)</f>
        <v>746105</v>
      </c>
      <c r="E36" s="9">
        <f t="shared" si="3"/>
        <v>2582318</v>
      </c>
      <c r="F36" s="9">
        <f t="shared" si="3"/>
        <v>721298</v>
      </c>
      <c r="G36" s="267"/>
      <c r="H36" s="9">
        <f t="shared" si="3"/>
        <v>625000</v>
      </c>
      <c r="I36" s="9">
        <f t="shared" si="3"/>
        <v>500000</v>
      </c>
      <c r="J36" s="9">
        <f t="shared" si="3"/>
        <v>350000</v>
      </c>
      <c r="K36" s="9">
        <f t="shared" si="3"/>
        <v>50000</v>
      </c>
      <c r="L36" s="9">
        <f t="shared" si="3"/>
        <v>142000</v>
      </c>
      <c r="M36" s="9">
        <f t="shared" ref="M36" si="4">SUM(M25:M35)</f>
        <v>250000</v>
      </c>
      <c r="N36" s="9">
        <f t="shared" si="3"/>
        <v>50000</v>
      </c>
      <c r="O36" s="9">
        <f t="shared" si="3"/>
        <v>50000</v>
      </c>
      <c r="P36" s="9">
        <f t="shared" si="3"/>
        <v>50000</v>
      </c>
      <c r="Q36" s="9">
        <f t="shared" si="3"/>
        <v>50000</v>
      </c>
      <c r="R36" s="9">
        <f t="shared" si="3"/>
        <v>50000</v>
      </c>
    </row>
    <row r="37" spans="1:18" ht="15.75" thickTop="1" x14ac:dyDescent="0.25">
      <c r="G37" s="91"/>
    </row>
    <row r="38" spans="1:18" s="4" customFormat="1" x14ac:dyDescent="0.25">
      <c r="A38" s="4" t="s">
        <v>35</v>
      </c>
      <c r="B38" s="112"/>
      <c r="D38" s="10">
        <f t="shared" ref="D38:R38" si="5">D36+D22</f>
        <v>1351105</v>
      </c>
      <c r="E38" s="10">
        <f t="shared" si="5"/>
        <v>2942318</v>
      </c>
      <c r="F38" s="10">
        <f t="shared" si="5"/>
        <v>1081298</v>
      </c>
      <c r="G38" s="268"/>
      <c r="H38" s="10">
        <f t="shared" si="5"/>
        <v>985000</v>
      </c>
      <c r="I38" s="10">
        <f t="shared" si="5"/>
        <v>905000</v>
      </c>
      <c r="J38" s="10">
        <f t="shared" si="5"/>
        <v>935000</v>
      </c>
      <c r="K38" s="10">
        <f t="shared" si="5"/>
        <v>310000</v>
      </c>
      <c r="L38" s="10">
        <f t="shared" si="5"/>
        <v>202000</v>
      </c>
      <c r="M38" s="10">
        <f t="shared" ref="M38" si="6">M36+M22</f>
        <v>550000</v>
      </c>
      <c r="N38" s="10">
        <f t="shared" si="5"/>
        <v>110000</v>
      </c>
      <c r="O38" s="10">
        <f t="shared" si="5"/>
        <v>110000</v>
      </c>
      <c r="P38" s="10">
        <f t="shared" si="5"/>
        <v>110000</v>
      </c>
      <c r="Q38" s="10">
        <f t="shared" si="5"/>
        <v>110000</v>
      </c>
      <c r="R38" s="10">
        <f t="shared" si="5"/>
        <v>110000</v>
      </c>
    </row>
    <row r="39" spans="1:18" x14ac:dyDescent="0.25">
      <c r="G39" s="30"/>
    </row>
    <row r="40" spans="1:18" x14ac:dyDescent="0.25">
      <c r="G40" s="30"/>
    </row>
  </sheetData>
  <customSheetViews>
    <customSheetView guid="{BB410D8C-36DE-400F-AB69-DB51CF9CA663}" fitToPage="1" topLeftCell="A16">
      <selection activeCell="A32" sqref="A32"/>
      <pageMargins left="0.4" right="0.4" top="0.4" bottom="0.4" header="0" footer="0"/>
      <pageSetup scale="69" orientation="landscape" r:id="rId1"/>
      <headerFooter>
        <oddFooter>&amp;R&amp;D</oddFooter>
      </headerFooter>
    </customSheetView>
  </customSheetViews>
  <pageMargins left="0.4" right="0.4" top="0.4" bottom="0.4" header="0" footer="0"/>
  <pageSetup scale="69" orientation="landscape" r:id="rId2"/>
  <headerFooter>
    <oddFooter>&amp;R&amp;D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U161"/>
  <sheetViews>
    <sheetView showGridLines="0" zoomScale="120" zoomScaleNormal="120" workbookViewId="0">
      <pane xSplit="9" ySplit="9" topLeftCell="J10" activePane="bottomRight" state="frozen"/>
      <selection activeCell="J10" sqref="J10"/>
      <selection pane="topRight" activeCell="J10" sqref="J10"/>
      <selection pane="bottomLeft" activeCell="J10" sqref="J10"/>
      <selection pane="bottomRight" activeCell="J10" sqref="J10"/>
    </sheetView>
  </sheetViews>
  <sheetFormatPr defaultColWidth="9.140625" defaultRowHeight="15" outlineLevelRow="1" outlineLevelCol="2" x14ac:dyDescent="0.25"/>
  <cols>
    <col min="1" max="1" width="28.7109375" style="114" hidden="1" customWidth="1" outlineLevel="1"/>
    <col min="2" max="2" width="35.5703125" style="11" hidden="1" customWidth="1" outlineLevel="1"/>
    <col min="3" max="3" width="8.7109375" style="114" customWidth="1" collapsed="1"/>
    <col min="4" max="4" width="22.42578125" style="11" bestFit="1" customWidth="1"/>
    <col min="5" max="5" width="2.7109375" style="114" customWidth="1"/>
    <col min="6" max="6" width="54.85546875" style="276" customWidth="1"/>
    <col min="7" max="7" width="13.7109375" style="11" bestFit="1" customWidth="1"/>
    <col min="8" max="9" width="16" style="11" hidden="1" customWidth="1" outlineLevel="2"/>
    <col min="10" max="10" width="2.7109375" style="114" customWidth="1" collapsed="1"/>
    <col min="11" max="11" width="3.7109375" style="164" customWidth="1"/>
    <col min="12" max="12" width="12.7109375" style="114" customWidth="1"/>
    <col min="13" max="13" width="2.28515625" style="114" customWidth="1"/>
    <col min="14" max="14" width="14.140625" style="114" bestFit="1" customWidth="1"/>
    <col min="15" max="15" width="2.28515625" style="114" customWidth="1"/>
    <col min="16" max="16" width="12.7109375" style="114" bestFit="1" customWidth="1"/>
    <col min="17" max="17" width="2.28515625" style="114" hidden="1" customWidth="1" outlineLevel="1"/>
    <col min="18" max="18" width="12.7109375" style="114" hidden="1" customWidth="1" outlineLevel="1"/>
    <col min="19" max="19" width="2.28515625" style="114" hidden="1" customWidth="1" outlineLevel="1"/>
    <col min="20" max="20" width="12.7109375" style="114" hidden="1" customWidth="1" outlineLevel="1"/>
    <col min="21" max="21" width="9.140625" style="114" collapsed="1"/>
    <col min="22" max="16384" width="9.140625" style="114"/>
  </cols>
  <sheetData>
    <row r="1" spans="1:21" ht="18.75" x14ac:dyDescent="0.25">
      <c r="C1" s="205" t="s">
        <v>62</v>
      </c>
      <c r="D1" s="206"/>
      <c r="E1" s="207"/>
      <c r="F1" s="198"/>
      <c r="G1" s="206"/>
      <c r="H1" s="206"/>
      <c r="I1" s="206"/>
      <c r="J1" s="207"/>
      <c r="K1" s="209"/>
      <c r="L1" s="209"/>
      <c r="M1" s="209"/>
      <c r="O1" s="209"/>
      <c r="Q1" s="209"/>
      <c r="S1" s="209"/>
    </row>
    <row r="2" spans="1:21" ht="18.75" x14ac:dyDescent="0.25">
      <c r="C2" s="205" t="s">
        <v>964</v>
      </c>
      <c r="D2" s="206"/>
      <c r="E2" s="207"/>
      <c r="F2" s="198"/>
      <c r="G2" s="206"/>
      <c r="H2" s="206"/>
      <c r="I2" s="206"/>
      <c r="J2" s="207"/>
      <c r="K2" s="209"/>
      <c r="L2" s="208"/>
      <c r="M2" s="208"/>
      <c r="O2" s="208"/>
      <c r="Q2" s="208"/>
      <c r="S2" s="208"/>
    </row>
    <row r="3" spans="1:21" ht="18.75" x14ac:dyDescent="0.25">
      <c r="C3" s="205" t="s">
        <v>965</v>
      </c>
      <c r="D3" s="206"/>
      <c r="E3" s="207"/>
      <c r="F3" s="198"/>
      <c r="G3" s="206"/>
      <c r="H3" s="206"/>
      <c r="I3" s="206"/>
      <c r="J3" s="207"/>
      <c r="K3" s="211"/>
      <c r="L3" s="210"/>
      <c r="M3" s="210"/>
      <c r="O3" s="210"/>
      <c r="Q3" s="210"/>
      <c r="S3" s="210"/>
    </row>
    <row r="4" spans="1:21" ht="18.75" x14ac:dyDescent="0.25">
      <c r="C4" s="212" t="s">
        <v>478</v>
      </c>
      <c r="D4" s="206"/>
      <c r="E4" s="207"/>
      <c r="F4" s="198"/>
      <c r="G4" s="206"/>
      <c r="H4" s="206"/>
      <c r="I4" s="206"/>
      <c r="J4" s="207"/>
      <c r="K4" s="207"/>
      <c r="L4" s="207"/>
      <c r="M4" s="207"/>
      <c r="O4" s="207"/>
      <c r="Q4" s="207"/>
      <c r="S4" s="207"/>
    </row>
    <row r="5" spans="1:21" ht="18.75" x14ac:dyDescent="0.25">
      <c r="C5" s="212"/>
      <c r="D5" s="206"/>
      <c r="E5" s="207"/>
      <c r="F5" s="198"/>
      <c r="G5" s="206"/>
      <c r="H5" s="206"/>
      <c r="I5" s="206"/>
      <c r="J5" s="207"/>
      <c r="K5" s="207"/>
      <c r="L5" s="207"/>
      <c r="M5" s="207"/>
      <c r="O5" s="207"/>
      <c r="Q5" s="207"/>
      <c r="S5" s="207"/>
    </row>
    <row r="6" spans="1:21" ht="18.75" x14ac:dyDescent="0.25">
      <c r="C6" s="212"/>
      <c r="D6" s="206"/>
      <c r="E6" s="207"/>
      <c r="F6" s="198"/>
      <c r="G6" s="206"/>
      <c r="H6" s="206"/>
      <c r="I6" s="206"/>
      <c r="J6" s="207"/>
      <c r="K6" s="207"/>
      <c r="L6" s="207"/>
      <c r="M6" s="207"/>
      <c r="O6" s="207"/>
      <c r="Q6" s="207"/>
      <c r="S6" s="207"/>
    </row>
    <row r="7" spans="1:21" ht="18.75" x14ac:dyDescent="0.25">
      <c r="C7" s="207"/>
      <c r="D7" s="206"/>
      <c r="E7" s="207"/>
      <c r="F7" s="198"/>
      <c r="G7" s="206"/>
      <c r="J7" s="207"/>
      <c r="K7" s="207"/>
      <c r="L7" s="207"/>
      <c r="M7" s="207"/>
      <c r="N7" s="213"/>
      <c r="O7" s="207"/>
      <c r="P7" s="213"/>
      <c r="Q7" s="207"/>
      <c r="R7" s="213"/>
      <c r="S7" s="207"/>
      <c r="T7" s="213"/>
    </row>
    <row r="8" spans="1:21" ht="18.75" x14ac:dyDescent="0.25">
      <c r="B8" s="165" t="s">
        <v>433</v>
      </c>
      <c r="C8" s="213" t="s">
        <v>502</v>
      </c>
      <c r="D8" s="213" t="s">
        <v>206</v>
      </c>
      <c r="E8" s="207"/>
      <c r="F8" s="199" t="s">
        <v>434</v>
      </c>
      <c r="G8" s="213" t="s">
        <v>270</v>
      </c>
      <c r="H8" s="214" t="s">
        <v>530</v>
      </c>
      <c r="I8" s="214" t="s">
        <v>536</v>
      </c>
      <c r="J8" s="207"/>
      <c r="K8" s="215"/>
      <c r="L8" s="213" t="s">
        <v>959</v>
      </c>
      <c r="M8" s="213"/>
      <c r="N8" s="213" t="s">
        <v>960</v>
      </c>
      <c r="O8" s="213"/>
      <c r="P8" s="213" t="s">
        <v>961</v>
      </c>
      <c r="Q8" s="213"/>
      <c r="R8" s="213" t="s">
        <v>962</v>
      </c>
      <c r="S8" s="213"/>
      <c r="T8" s="213" t="s">
        <v>963</v>
      </c>
    </row>
    <row r="9" spans="1:21" x14ac:dyDescent="0.25">
      <c r="C9" s="11"/>
      <c r="K9" s="172"/>
      <c r="L9" s="115"/>
      <c r="M9" s="115"/>
      <c r="O9" s="115"/>
      <c r="Q9" s="115"/>
      <c r="S9" s="115"/>
    </row>
    <row r="10" spans="1:21" x14ac:dyDescent="0.25">
      <c r="A10" s="114" t="str">
        <f t="shared" ref="A10" si="0">B10&amp;D10&amp;F10&amp;G10</f>
        <v>Community DevelopmentEconomic DevelopmentBoulevard to Train Station (supplement STEAP grant)GF</v>
      </c>
      <c r="B10" s="11" t="s">
        <v>316</v>
      </c>
      <c r="C10" s="11">
        <v>17</v>
      </c>
      <c r="D10" s="11" t="s">
        <v>440</v>
      </c>
      <c r="F10" s="276" t="s">
        <v>890</v>
      </c>
      <c r="G10" s="11" t="s">
        <v>16</v>
      </c>
      <c r="H10" s="11" t="s">
        <v>531</v>
      </c>
      <c r="K10" s="172"/>
      <c r="L10" s="169">
        <v>700000</v>
      </c>
      <c r="M10" s="169"/>
      <c r="N10" s="169">
        <v>0</v>
      </c>
      <c r="O10" s="169"/>
      <c r="P10" s="169">
        <f>VLOOKUP($B10&amp;$D10&amp;$F10&amp;$G10,'CIP Details'!$A$10:$V$363,15,0)</f>
        <v>0</v>
      </c>
      <c r="Q10" s="169"/>
      <c r="R10" s="169">
        <f>VLOOKUP($B10&amp;$D10&amp;$F10&amp;$G10,'CIP Details'!$A$10:$V$363,15,0)</f>
        <v>0</v>
      </c>
      <c r="S10" s="169"/>
      <c r="T10" s="169">
        <f>VLOOKUP($B10&amp;$D10&amp;$F10&amp;$G10,'CIP Details'!$A$10:$V$363,15,0)</f>
        <v>0</v>
      </c>
    </row>
    <row r="11" spans="1:21" x14ac:dyDescent="0.25">
      <c r="C11" s="11"/>
      <c r="K11" s="172"/>
      <c r="L11" s="169"/>
      <c r="M11" s="169"/>
      <c r="N11" s="169"/>
      <c r="O11" s="169"/>
      <c r="P11" s="169"/>
      <c r="Q11" s="169"/>
      <c r="R11" s="169"/>
      <c r="S11" s="169"/>
      <c r="T11" s="169"/>
    </row>
    <row r="12" spans="1:21" x14ac:dyDescent="0.25">
      <c r="A12" s="114" t="str">
        <f t="shared" ref="A12:A14" si="1">B12&amp;D12&amp;F12&amp;G12</f>
        <v>Public SafetyFire DepartmentEngine/TankerBond</v>
      </c>
      <c r="B12" s="11" t="s">
        <v>315</v>
      </c>
      <c r="C12" s="11">
        <v>31</v>
      </c>
      <c r="D12" s="11" t="s">
        <v>248</v>
      </c>
      <c r="F12" s="276" t="s">
        <v>624</v>
      </c>
      <c r="G12" s="11" t="s">
        <v>19</v>
      </c>
      <c r="H12" s="11" t="s">
        <v>531</v>
      </c>
      <c r="I12" s="123" t="s">
        <v>625</v>
      </c>
      <c r="K12" s="172"/>
      <c r="L12" s="169">
        <v>800000</v>
      </c>
      <c r="M12" s="169"/>
      <c r="N12" s="169">
        <v>0</v>
      </c>
      <c r="O12" s="169"/>
      <c r="P12" s="169">
        <f>VLOOKUP($B12&amp;$D12&amp;$F12&amp;$G12,'CIP Details'!$A$10:$V$363,15,0)</f>
        <v>0</v>
      </c>
      <c r="Q12" s="169"/>
      <c r="R12" s="169">
        <f>VLOOKUP($B12&amp;$D12&amp;$F12&amp;$G12,'CIP Details'!$A$10:$V$363,15,0)</f>
        <v>0</v>
      </c>
      <c r="S12" s="169"/>
      <c r="T12" s="169">
        <f>VLOOKUP($B12&amp;$D12&amp;$F12&amp;$G12,'CIP Details'!$A$10:$V$363,15,0)</f>
        <v>0</v>
      </c>
    </row>
    <row r="13" spans="1:21" x14ac:dyDescent="0.25">
      <c r="A13" s="114" t="str">
        <f t="shared" si="1"/>
        <v>Public SafetyFire DepartmentPumpersBond</v>
      </c>
      <c r="B13" s="11" t="s">
        <v>315</v>
      </c>
      <c r="C13" s="11">
        <v>31</v>
      </c>
      <c r="D13" s="11" t="s">
        <v>248</v>
      </c>
      <c r="F13" s="276" t="s">
        <v>626</v>
      </c>
      <c r="G13" s="11" t="s">
        <v>19</v>
      </c>
      <c r="H13" s="11" t="s">
        <v>531</v>
      </c>
      <c r="I13" s="123" t="s">
        <v>538</v>
      </c>
      <c r="K13" s="172"/>
      <c r="L13" s="169">
        <v>800000</v>
      </c>
      <c r="M13" s="169"/>
      <c r="N13" s="169">
        <v>800000</v>
      </c>
      <c r="O13" s="169"/>
      <c r="P13" s="169">
        <f>VLOOKUP($B13&amp;$D13&amp;$F13&amp;$G13,'CIP Details'!$A$10:$V$363,15,0)</f>
        <v>400000</v>
      </c>
      <c r="Q13" s="169"/>
      <c r="R13" s="169">
        <f>VLOOKUP($B13&amp;$D13&amp;$F13&amp;$G13,'CIP Details'!$A$10:$V$363,15,0)</f>
        <v>400000</v>
      </c>
      <c r="S13" s="169"/>
      <c r="T13" s="169">
        <f>VLOOKUP($B13&amp;$D13&amp;$F13&amp;$G13,'CIP Details'!$A$10:$V$363,15,0)</f>
        <v>400000</v>
      </c>
    </row>
    <row r="14" spans="1:21" x14ac:dyDescent="0.25">
      <c r="A14" s="114" t="str">
        <f t="shared" si="1"/>
        <v>Public SafetyFire DepartmentTraining TowerGF</v>
      </c>
      <c r="B14" s="11" t="s">
        <v>315</v>
      </c>
      <c r="C14" s="11">
        <v>31</v>
      </c>
      <c r="D14" s="11" t="s">
        <v>248</v>
      </c>
      <c r="F14" s="276" t="s">
        <v>152</v>
      </c>
      <c r="G14" s="11" t="s">
        <v>16</v>
      </c>
      <c r="H14" s="11" t="s">
        <v>531</v>
      </c>
      <c r="K14" s="172"/>
      <c r="L14" s="169">
        <v>300000</v>
      </c>
      <c r="M14" s="169"/>
      <c r="N14" s="169">
        <v>0</v>
      </c>
      <c r="O14" s="169"/>
      <c r="P14" s="169">
        <f>VLOOKUP($B14&amp;$D14&amp;$F14&amp;$G14,'CIP Details'!$A$10:$V$363,15,0)</f>
        <v>0</v>
      </c>
      <c r="Q14" s="169"/>
      <c r="R14" s="169">
        <f>VLOOKUP($B14&amp;$D14&amp;$F14&amp;$G14,'CIP Details'!$A$10:$V$363,15,0)</f>
        <v>0</v>
      </c>
      <c r="S14" s="169"/>
      <c r="T14" s="169">
        <f>VLOOKUP($B14&amp;$D14&amp;$F14&amp;$G14,'CIP Details'!$A$10:$V$363,15,0)</f>
        <v>0</v>
      </c>
    </row>
    <row r="15" spans="1:21" x14ac:dyDescent="0.25">
      <c r="C15" s="11"/>
      <c r="K15" s="217"/>
      <c r="L15" s="169"/>
      <c r="M15" s="169"/>
      <c r="N15" s="169"/>
      <c r="O15" s="169"/>
      <c r="P15" s="169"/>
      <c r="Q15" s="169"/>
      <c r="R15" s="169"/>
      <c r="S15" s="169"/>
      <c r="T15" s="169"/>
    </row>
    <row r="16" spans="1:21" x14ac:dyDescent="0.25">
      <c r="A16" s="114" t="str">
        <f t="shared" ref="A16:A18" si="2">B16&amp;D16&amp;F16&amp;G16</f>
        <v>Public SafetyPolice DepartmentVehicle - Patrol Units - ($46.5k per car w/ equipment)GF</v>
      </c>
      <c r="B16" s="11" t="s">
        <v>315</v>
      </c>
      <c r="C16" s="11">
        <v>32</v>
      </c>
      <c r="D16" s="11" t="s">
        <v>249</v>
      </c>
      <c r="F16" s="276" t="s">
        <v>967</v>
      </c>
      <c r="G16" s="11" t="s">
        <v>16</v>
      </c>
      <c r="H16" s="11" t="s">
        <v>522</v>
      </c>
      <c r="I16" s="11" t="s">
        <v>640</v>
      </c>
      <c r="K16" s="172"/>
      <c r="L16" s="169">
        <v>186000</v>
      </c>
      <c r="M16" s="169"/>
      <c r="N16" s="169">
        <v>186000</v>
      </c>
      <c r="O16" s="169"/>
      <c r="P16" s="169" t="e">
        <f>VLOOKUP($B16&amp;$D16&amp;$F16&amp;$G16,'CIP Details'!$A$10:$V$363,15,0)</f>
        <v>#N/A</v>
      </c>
      <c r="Q16" s="169"/>
      <c r="R16" s="169" t="e">
        <f>VLOOKUP($B16&amp;$D16&amp;$F16&amp;$G16,'CIP Details'!$A$10:$V$363,15,0)</f>
        <v>#N/A</v>
      </c>
      <c r="S16" s="169"/>
      <c r="T16" s="169" t="e">
        <f>VLOOKUP($B16&amp;$D16&amp;$F16&amp;$G16,'CIP Details'!$A$10:$V$363,15,0)</f>
        <v>#N/A</v>
      </c>
      <c r="U16" s="124"/>
    </row>
    <row r="17" spans="1:20" x14ac:dyDescent="0.25">
      <c r="A17" s="114" t="str">
        <f t="shared" si="2"/>
        <v>Public SafetyPolice DepartmentVehicle - Unmarked/AdminGF</v>
      </c>
      <c r="B17" s="11" t="s">
        <v>315</v>
      </c>
      <c r="C17" s="11">
        <v>32</v>
      </c>
      <c r="D17" s="11" t="s">
        <v>249</v>
      </c>
      <c r="F17" s="276" t="s">
        <v>514</v>
      </c>
      <c r="G17" s="11" t="s">
        <v>16</v>
      </c>
      <c r="H17" s="11" t="s">
        <v>522</v>
      </c>
      <c r="K17" s="172"/>
      <c r="L17" s="169">
        <v>35000</v>
      </c>
      <c r="M17" s="169"/>
      <c r="N17" s="169">
        <v>0</v>
      </c>
      <c r="O17" s="169"/>
      <c r="P17" s="169" t="e">
        <f>VLOOKUP($B17&amp;$D17&amp;$F17&amp;$G17,'CIP Details'!$A$10:$V$363,15,0)</f>
        <v>#N/A</v>
      </c>
      <c r="Q17" s="169"/>
      <c r="R17" s="169" t="e">
        <f>VLOOKUP($B17&amp;$D17&amp;$F17&amp;$G17,'CIP Details'!$A$10:$V$363,15,0)</f>
        <v>#N/A</v>
      </c>
      <c r="S17" s="169"/>
      <c r="T17" s="169" t="e">
        <f>VLOOKUP($B17&amp;$D17&amp;$F17&amp;$G17,'CIP Details'!$A$10:$V$363,15,0)</f>
        <v>#N/A</v>
      </c>
    </row>
    <row r="18" spans="1:20" x14ac:dyDescent="0.25">
      <c r="A18" s="114" t="str">
        <f t="shared" si="2"/>
        <v>Public SafetyPolice DepartmentAED (Automatic External Defibrillator) replacementGF</v>
      </c>
      <c r="B18" s="11" t="s">
        <v>315</v>
      </c>
      <c r="C18" s="11">
        <v>32</v>
      </c>
      <c r="D18" s="11" t="s">
        <v>249</v>
      </c>
      <c r="F18" s="276" t="s">
        <v>891</v>
      </c>
      <c r="G18" s="11" t="s">
        <v>16</v>
      </c>
      <c r="K18" s="172"/>
      <c r="L18" s="169">
        <v>25000</v>
      </c>
      <c r="M18" s="169"/>
      <c r="N18" s="169">
        <v>25000</v>
      </c>
      <c r="O18" s="169"/>
      <c r="P18" s="169" t="e">
        <f>VLOOKUP($B18&amp;$D18&amp;$F18&amp;$G18,'CIP Details'!$A$10:$V$363,15,0)</f>
        <v>#N/A</v>
      </c>
      <c r="Q18" s="169"/>
      <c r="R18" s="169" t="e">
        <f>VLOOKUP($B18&amp;$D18&amp;$F18&amp;$G18,'CIP Details'!$A$10:$V$363,15,0)</f>
        <v>#N/A</v>
      </c>
      <c r="S18" s="169"/>
      <c r="T18" s="169" t="e">
        <f>VLOOKUP($B18&amp;$D18&amp;$F18&amp;$G18,'CIP Details'!$A$10:$V$363,15,0)</f>
        <v>#N/A</v>
      </c>
    </row>
    <row r="19" spans="1:20" x14ac:dyDescent="0.25">
      <c r="C19" s="11"/>
      <c r="K19" s="219"/>
      <c r="L19" s="218"/>
      <c r="M19" s="218"/>
      <c r="N19" s="218"/>
      <c r="O19" s="218"/>
      <c r="P19" s="218"/>
      <c r="Q19" s="218"/>
      <c r="R19" s="218"/>
      <c r="S19" s="218"/>
      <c r="T19" s="218"/>
    </row>
    <row r="20" spans="1:20" x14ac:dyDescent="0.25">
      <c r="A20" s="114" t="str">
        <f>B20&amp;D20&amp;F20&amp;G20</f>
        <v>Public SafetyAnimal ControlAnimal Control VanGF</v>
      </c>
      <c r="B20" s="11" t="s">
        <v>315</v>
      </c>
      <c r="C20" s="11">
        <v>30</v>
      </c>
      <c r="D20" s="11" t="s">
        <v>694</v>
      </c>
      <c r="F20" s="276" t="s">
        <v>695</v>
      </c>
      <c r="G20" s="11" t="s">
        <v>16</v>
      </c>
      <c r="H20" s="11" t="s">
        <v>531</v>
      </c>
      <c r="K20" s="172"/>
      <c r="L20" s="169">
        <v>45000</v>
      </c>
      <c r="M20" s="169"/>
      <c r="N20" s="169">
        <v>0</v>
      </c>
      <c r="O20" s="169"/>
      <c r="P20" s="169">
        <f>VLOOKUP($B20&amp;$D20&amp;$F20&amp;$G20,'CIP Details'!$A$10:$V$363,15,0)</f>
        <v>0</v>
      </c>
      <c r="Q20" s="169"/>
      <c r="R20" s="169">
        <f>VLOOKUP($B20&amp;$D20&amp;$F20&amp;$G20,'CIP Details'!$A$10:$V$363,15,0)</f>
        <v>0</v>
      </c>
      <c r="S20" s="169"/>
      <c r="T20" s="169">
        <f>VLOOKUP($B20&amp;$D20&amp;$F20&amp;$G20,'CIP Details'!$A$10:$V$363,15,0)</f>
        <v>0</v>
      </c>
    </row>
    <row r="21" spans="1:20" x14ac:dyDescent="0.25">
      <c r="C21" s="11"/>
      <c r="K21" s="172"/>
      <c r="L21" s="169"/>
      <c r="M21" s="169"/>
      <c r="N21" s="169"/>
      <c r="O21" s="169"/>
      <c r="P21" s="169"/>
      <c r="Q21" s="169"/>
      <c r="R21" s="169"/>
      <c r="S21" s="169"/>
      <c r="T21" s="169"/>
    </row>
    <row r="22" spans="1:20" x14ac:dyDescent="0.25">
      <c r="A22" s="114" t="str">
        <f t="shared" ref="A22:A23" si="3">B22&amp;D22&amp;F22&amp;G22</f>
        <v>Physical ServicesMunicipal GarageGantry CraneGF</v>
      </c>
      <c r="B22" s="11" t="s">
        <v>365</v>
      </c>
      <c r="C22" s="123">
        <v>35</v>
      </c>
      <c r="D22" s="11" t="s">
        <v>436</v>
      </c>
      <c r="E22" s="124"/>
      <c r="F22" s="200" t="s">
        <v>318</v>
      </c>
      <c r="G22" s="123" t="s">
        <v>16</v>
      </c>
      <c r="H22" s="11" t="s">
        <v>531</v>
      </c>
      <c r="I22" s="11" t="s">
        <v>651</v>
      </c>
      <c r="J22" s="124"/>
      <c r="K22" s="172"/>
      <c r="L22" s="169">
        <v>100000</v>
      </c>
      <c r="M22" s="169"/>
      <c r="N22" s="169">
        <v>0</v>
      </c>
      <c r="O22" s="169"/>
      <c r="P22" s="169">
        <f>VLOOKUP($B22&amp;$D22&amp;$F22&amp;$G22,'CIP Details'!$A$10:$V$363,15,0)</f>
        <v>0</v>
      </c>
      <c r="Q22" s="169"/>
      <c r="R22" s="169">
        <f>VLOOKUP($B22&amp;$D22&amp;$F22&amp;$G22,'CIP Details'!$A$10:$V$363,15,0)</f>
        <v>0</v>
      </c>
      <c r="S22" s="169"/>
      <c r="T22" s="169">
        <f>VLOOKUP($B22&amp;$D22&amp;$F22&amp;$G22,'CIP Details'!$A$10:$V$363,15,0)</f>
        <v>0</v>
      </c>
    </row>
    <row r="23" spans="1:20" x14ac:dyDescent="0.25">
      <c r="A23" s="114" t="str">
        <f t="shared" si="3"/>
        <v>Physical ServicesMunicipal Garage4 Post Vehicle LiftGF</v>
      </c>
      <c r="B23" s="11" t="s">
        <v>365</v>
      </c>
      <c r="C23" s="123">
        <v>35</v>
      </c>
      <c r="D23" s="11" t="s">
        <v>436</v>
      </c>
      <c r="E23" s="124"/>
      <c r="F23" s="200" t="s">
        <v>319</v>
      </c>
      <c r="G23" s="123" t="s">
        <v>16</v>
      </c>
      <c r="H23" s="11" t="s">
        <v>531</v>
      </c>
      <c r="I23" s="11" t="s">
        <v>651</v>
      </c>
      <c r="J23" s="124"/>
      <c r="K23" s="172"/>
      <c r="L23" s="169">
        <v>45000</v>
      </c>
      <c r="M23" s="169"/>
      <c r="N23" s="169">
        <v>0</v>
      </c>
      <c r="O23" s="169"/>
      <c r="P23" s="169" t="e">
        <f>VLOOKUP($B23&amp;$D23&amp;$F23&amp;$G23,'CIP Details'!$A$10:$V$363,15,0)</f>
        <v>#N/A</v>
      </c>
      <c r="Q23" s="169"/>
      <c r="R23" s="169" t="e">
        <f>VLOOKUP($B23&amp;$D23&amp;$F23&amp;$G23,'CIP Details'!$A$10:$V$363,15,0)</f>
        <v>#N/A</v>
      </c>
      <c r="S23" s="169"/>
      <c r="T23" s="169" t="e">
        <f>VLOOKUP($B23&amp;$D23&amp;$F23&amp;$G23,'CIP Details'!$A$10:$V$363,15,0)</f>
        <v>#N/A</v>
      </c>
    </row>
    <row r="24" spans="1:20" x14ac:dyDescent="0.25">
      <c r="K24" s="172"/>
    </row>
    <row r="25" spans="1:20" x14ac:dyDescent="0.25">
      <c r="C25" s="11"/>
      <c r="K25" s="172"/>
      <c r="L25" s="169"/>
      <c r="M25" s="169"/>
      <c r="N25" s="169"/>
      <c r="O25" s="169"/>
      <c r="P25" s="169"/>
      <c r="Q25" s="169"/>
      <c r="R25" s="169"/>
      <c r="S25" s="169"/>
      <c r="T25" s="169"/>
    </row>
    <row r="26" spans="1:20" x14ac:dyDescent="0.25">
      <c r="A26" s="114" t="str">
        <f t="shared" ref="A26:A37" si="4">B26&amp;D26&amp;F26&amp;G26</f>
        <v>Physical ServicesPublic WorksSpruce Brook BridgeBond</v>
      </c>
      <c r="B26" s="11" t="s">
        <v>365</v>
      </c>
      <c r="C26" s="11">
        <v>36</v>
      </c>
      <c r="D26" s="11" t="s">
        <v>250</v>
      </c>
      <c r="F26" s="276" t="s">
        <v>631</v>
      </c>
      <c r="G26" s="11" t="s">
        <v>19</v>
      </c>
      <c r="H26" s="11" t="s">
        <v>531</v>
      </c>
      <c r="K26" s="172"/>
      <c r="L26" s="169">
        <v>1400000</v>
      </c>
      <c r="M26" s="169"/>
      <c r="N26" s="169">
        <v>1400000</v>
      </c>
      <c r="O26" s="169"/>
      <c r="P26" s="169">
        <f>VLOOKUP($B26&amp;$D26&amp;$F26&amp;$G26,'CIP Details'!$A$10:$V$363,15,0)</f>
        <v>0</v>
      </c>
      <c r="Q26" s="169"/>
      <c r="R26" s="169">
        <f>VLOOKUP($B26&amp;$D26&amp;$F26&amp;$G26,'CIP Details'!$A$10:$V$363,15,0)</f>
        <v>0</v>
      </c>
      <c r="S26" s="169"/>
      <c r="T26" s="169">
        <f>VLOOKUP($B26&amp;$D26&amp;$F26&amp;$G26,'CIP Details'!$A$10:$V$363,15,0)</f>
        <v>0</v>
      </c>
    </row>
    <row r="27" spans="1:20" x14ac:dyDescent="0.25">
      <c r="A27" s="114" t="str">
        <f t="shared" si="4"/>
        <v>Physical ServicesPublic WorksKensington Road BridgeBond</v>
      </c>
      <c r="B27" s="11" t="s">
        <v>365</v>
      </c>
      <c r="C27" s="11">
        <v>36</v>
      </c>
      <c r="D27" s="11" t="s">
        <v>250</v>
      </c>
      <c r="F27" s="276" t="s">
        <v>632</v>
      </c>
      <c r="G27" s="11" t="s">
        <v>19</v>
      </c>
      <c r="H27" s="11" t="s">
        <v>531</v>
      </c>
      <c r="K27" s="172"/>
      <c r="L27" s="169">
        <v>0</v>
      </c>
      <c r="M27" s="169"/>
      <c r="N27" s="169">
        <v>0</v>
      </c>
      <c r="O27" s="169"/>
      <c r="P27" s="169" t="e">
        <f>VLOOKUP($B27&amp;$D27&amp;$F27&amp;$G27,'CIP Details'!$A$10:$V$363,15,0)</f>
        <v>#N/A</v>
      </c>
      <c r="Q27" s="169"/>
      <c r="R27" s="169" t="e">
        <f>VLOOKUP($B27&amp;$D27&amp;$F27&amp;$G27,'CIP Details'!$A$10:$V$363,15,0)</f>
        <v>#N/A</v>
      </c>
      <c r="S27" s="169"/>
      <c r="T27" s="169" t="e">
        <f>VLOOKUP($B27&amp;$D27&amp;$F27&amp;$G27,'CIP Details'!$A$10:$V$363,15,0)</f>
        <v>#N/A</v>
      </c>
    </row>
    <row r="28" spans="1:20" x14ac:dyDescent="0.25">
      <c r="A28" s="114" t="str">
        <f t="shared" si="4"/>
        <v>Physical ServicesPublic WorksGlen Street Bridge - Option 1Bond</v>
      </c>
      <c r="B28" s="11" t="s">
        <v>365</v>
      </c>
      <c r="C28" s="11">
        <v>36</v>
      </c>
      <c r="D28" s="11" t="s">
        <v>250</v>
      </c>
      <c r="F28" s="276" t="s">
        <v>920</v>
      </c>
      <c r="G28" s="11" t="s">
        <v>19</v>
      </c>
      <c r="H28" s="11" t="s">
        <v>531</v>
      </c>
      <c r="K28" s="172"/>
      <c r="L28" s="169">
        <v>0</v>
      </c>
      <c r="M28" s="169"/>
      <c r="N28" s="169">
        <v>0</v>
      </c>
      <c r="O28" s="169"/>
      <c r="P28" s="169">
        <f>VLOOKUP($B28&amp;$D28&amp;$F28&amp;$G28,'CIP Details'!$A$10:$V$363,15,0)</f>
        <v>500000</v>
      </c>
      <c r="Q28" s="169"/>
      <c r="R28" s="169">
        <f>VLOOKUP($B28&amp;$D28&amp;$F28&amp;$G28,'CIP Details'!$A$10:$V$363,15,0)</f>
        <v>500000</v>
      </c>
      <c r="S28" s="169"/>
      <c r="T28" s="169">
        <f>VLOOKUP($B28&amp;$D28&amp;$F28&amp;$G28,'CIP Details'!$A$10:$V$363,15,0)</f>
        <v>500000</v>
      </c>
    </row>
    <row r="29" spans="1:20" x14ac:dyDescent="0.25">
      <c r="A29" s="114" t="str">
        <f t="shared" ref="A29:A30" si="5">B29&amp;D29&amp;F29&amp;G29</f>
        <v>Physical ServicesPublic WorksKensington Road BridgeGF</v>
      </c>
      <c r="B29" s="11" t="s">
        <v>365</v>
      </c>
      <c r="C29" s="11">
        <v>36</v>
      </c>
      <c r="D29" s="11" t="s">
        <v>250</v>
      </c>
      <c r="F29" s="374" t="s">
        <v>632</v>
      </c>
      <c r="G29" s="11" t="s">
        <v>16</v>
      </c>
      <c r="H29" s="11" t="s">
        <v>531</v>
      </c>
      <c r="K29" s="172"/>
      <c r="L29" s="169">
        <v>440400</v>
      </c>
      <c r="M29" s="169"/>
      <c r="N29" s="169">
        <v>440400</v>
      </c>
      <c r="O29" s="169"/>
      <c r="P29" s="169">
        <v>0</v>
      </c>
      <c r="Q29" s="169"/>
      <c r="R29" s="169">
        <v>0</v>
      </c>
      <c r="S29" s="169"/>
      <c r="T29" s="169">
        <v>0</v>
      </c>
    </row>
    <row r="30" spans="1:20" x14ac:dyDescent="0.25">
      <c r="A30" s="114" t="str">
        <f t="shared" si="5"/>
        <v>Physical ServicesPublic WorksGlen Street Bridge - Option 1GF</v>
      </c>
      <c r="B30" s="11" t="s">
        <v>365</v>
      </c>
      <c r="C30" s="11">
        <v>36</v>
      </c>
      <c r="D30" s="11" t="s">
        <v>250</v>
      </c>
      <c r="F30" s="374" t="s">
        <v>920</v>
      </c>
      <c r="G30" s="11" t="s">
        <v>16</v>
      </c>
      <c r="H30" s="11" t="s">
        <v>531</v>
      </c>
      <c r="K30" s="172"/>
      <c r="L30" s="169">
        <v>500000</v>
      </c>
      <c r="M30" s="169"/>
      <c r="N30" s="169">
        <v>500000</v>
      </c>
      <c r="O30" s="169"/>
      <c r="P30" s="169">
        <v>0</v>
      </c>
      <c r="Q30" s="169"/>
      <c r="R30" s="169">
        <v>0</v>
      </c>
      <c r="S30" s="169"/>
      <c r="T30" s="169">
        <v>0</v>
      </c>
    </row>
    <row r="31" spans="1:20" x14ac:dyDescent="0.25">
      <c r="A31" s="114" t="str">
        <f t="shared" si="4"/>
        <v>Physical ServicesPublic WorksMain Street Streetscape II (STEAP Grant)Grants</v>
      </c>
      <c r="B31" s="11" t="s">
        <v>365</v>
      </c>
      <c r="C31" s="11">
        <v>36</v>
      </c>
      <c r="D31" s="11" t="s">
        <v>250</v>
      </c>
      <c r="F31" s="276" t="s">
        <v>815</v>
      </c>
      <c r="G31" s="11" t="s">
        <v>38</v>
      </c>
      <c r="H31" s="11" t="s">
        <v>531</v>
      </c>
      <c r="K31" s="172"/>
      <c r="L31" s="169">
        <v>500000</v>
      </c>
      <c r="M31" s="169"/>
      <c r="N31" s="169">
        <v>500000</v>
      </c>
      <c r="O31" s="169"/>
      <c r="P31" s="169">
        <f>VLOOKUP($B31&amp;$D31&amp;$F31&amp;$G31,'CIP Details'!$A$10:$V$363,15,0)</f>
        <v>500000</v>
      </c>
      <c r="Q31" s="169"/>
      <c r="R31" s="169">
        <f>VLOOKUP($B31&amp;$D31&amp;$F31&amp;$G31,'CIP Details'!$A$10:$V$363,15,0)</f>
        <v>500000</v>
      </c>
      <c r="S31" s="169"/>
      <c r="T31" s="169">
        <f>VLOOKUP($B31&amp;$D31&amp;$F31&amp;$G31,'CIP Details'!$A$10:$V$363,15,0)</f>
        <v>500000</v>
      </c>
    </row>
    <row r="32" spans="1:20" x14ac:dyDescent="0.25">
      <c r="A32" s="114" t="str">
        <f t="shared" si="4"/>
        <v>Physical ServicesPublic WorksTownwide Sidewalks - TARTAR</v>
      </c>
      <c r="B32" s="11" t="s">
        <v>365</v>
      </c>
      <c r="C32" s="11">
        <v>36</v>
      </c>
      <c r="D32" s="11" t="s">
        <v>250</v>
      </c>
      <c r="F32" s="276" t="s">
        <v>654</v>
      </c>
      <c r="G32" s="11" t="s">
        <v>858</v>
      </c>
      <c r="H32" s="11" t="s">
        <v>522</v>
      </c>
      <c r="K32" s="172"/>
      <c r="L32" s="169">
        <v>100000</v>
      </c>
      <c r="M32" s="169"/>
      <c r="N32" s="169">
        <v>100000</v>
      </c>
      <c r="O32" s="169"/>
      <c r="P32" s="169">
        <f>VLOOKUP($B32&amp;$D32&amp;$F32&amp;$G32,'CIP Details'!$A$10:$V$363,15,0)</f>
        <v>100000</v>
      </c>
      <c r="Q32" s="169"/>
      <c r="R32" s="169">
        <f>VLOOKUP($B32&amp;$D32&amp;$F32&amp;$G32,'CIP Details'!$A$10:$V$363,15,0)</f>
        <v>100000</v>
      </c>
      <c r="S32" s="169"/>
      <c r="T32" s="169">
        <f>VLOOKUP($B32&amp;$D32&amp;$F32&amp;$G32,'CIP Details'!$A$10:$V$363,15,0)</f>
        <v>100000</v>
      </c>
    </row>
    <row r="33" spans="1:20" x14ac:dyDescent="0.25">
      <c r="A33" s="114" t="str">
        <f t="shared" si="4"/>
        <v>Physical ServicesPublic WorksMain Roads Project (Porter's Pass, Deming, Masserio)Grants</v>
      </c>
      <c r="B33" s="11" t="s">
        <v>365</v>
      </c>
      <c r="C33" s="11">
        <v>36</v>
      </c>
      <c r="D33" s="11" t="s">
        <v>250</v>
      </c>
      <c r="F33" s="276" t="s">
        <v>835</v>
      </c>
      <c r="G33" s="11" t="s">
        <v>38</v>
      </c>
      <c r="H33" s="11" t="s">
        <v>531</v>
      </c>
      <c r="K33" s="172"/>
      <c r="L33" s="169">
        <v>3558000</v>
      </c>
      <c r="M33" s="169"/>
      <c r="N33" s="169">
        <v>3558000</v>
      </c>
      <c r="O33" s="169"/>
      <c r="P33" s="169">
        <f>VLOOKUP($B33&amp;$D33&amp;$F33&amp;$G33,'CIP Details'!$A$10:$V$363,15,0)</f>
        <v>3558000</v>
      </c>
      <c r="Q33" s="169"/>
      <c r="R33" s="169">
        <f>VLOOKUP($B33&amp;$D33&amp;$F33&amp;$G33,'CIP Details'!$A$10:$V$363,15,0)</f>
        <v>3558000</v>
      </c>
      <c r="S33" s="169"/>
      <c r="T33" s="169">
        <f>VLOOKUP($B33&amp;$D33&amp;$F33&amp;$G33,'CIP Details'!$A$10:$V$363,15,0)</f>
        <v>3558000</v>
      </c>
    </row>
    <row r="34" spans="1:20" x14ac:dyDescent="0.25">
      <c r="A34" s="114" t="str">
        <f t="shared" si="4"/>
        <v>Physical ServicesPublic WorksWorthington Ridge Playground Parking LotTAR</v>
      </c>
      <c r="B34" s="11" t="s">
        <v>365</v>
      </c>
      <c r="C34" s="11">
        <v>36</v>
      </c>
      <c r="D34" s="11" t="s">
        <v>250</v>
      </c>
      <c r="F34" s="276" t="s">
        <v>490</v>
      </c>
      <c r="G34" s="11" t="s">
        <v>858</v>
      </c>
      <c r="H34" s="11" t="s">
        <v>531</v>
      </c>
      <c r="I34" s="11" t="s">
        <v>645</v>
      </c>
      <c r="K34" s="172"/>
      <c r="L34" s="169">
        <v>30000</v>
      </c>
      <c r="M34" s="169"/>
      <c r="N34" s="169">
        <v>30000</v>
      </c>
      <c r="O34" s="169"/>
      <c r="P34" s="169">
        <f>VLOOKUP($B34&amp;$D34&amp;$F34&amp;$G34,'CIP Details'!$A$10:$V$363,15,0)</f>
        <v>30000</v>
      </c>
      <c r="Q34" s="169"/>
      <c r="R34" s="169">
        <f>VLOOKUP($B34&amp;$D34&amp;$F34&amp;$G34,'CIP Details'!$A$10:$V$363,15,0)</f>
        <v>30000</v>
      </c>
      <c r="S34" s="169"/>
      <c r="T34" s="169">
        <f>VLOOKUP($B34&amp;$D34&amp;$F34&amp;$G34,'CIP Details'!$A$10:$V$363,15,0)</f>
        <v>30000</v>
      </c>
    </row>
    <row r="35" spans="1:20" x14ac:dyDescent="0.25">
      <c r="A35" s="114" t="str">
        <f t="shared" si="4"/>
        <v>Physical ServicesPublic WorksDenehy Field Parking Lot - use millings (free)TAR</v>
      </c>
      <c r="B35" s="11" t="s">
        <v>365</v>
      </c>
      <c r="C35" s="11">
        <v>36</v>
      </c>
      <c r="D35" s="11" t="s">
        <v>250</v>
      </c>
      <c r="F35" s="276" t="s">
        <v>854</v>
      </c>
      <c r="G35" s="11" t="s">
        <v>858</v>
      </c>
      <c r="H35" s="11" t="s">
        <v>531</v>
      </c>
      <c r="I35" s="11" t="s">
        <v>645</v>
      </c>
      <c r="K35" s="172"/>
      <c r="L35" s="169">
        <v>55000</v>
      </c>
      <c r="M35" s="169"/>
      <c r="N35" s="169">
        <v>55000</v>
      </c>
      <c r="O35" s="169"/>
      <c r="P35" s="169">
        <f>VLOOKUP($B35&amp;$D35&amp;$F35&amp;$G35,'CIP Details'!$A$10:$V$363,15,0)</f>
        <v>0</v>
      </c>
      <c r="Q35" s="169"/>
      <c r="R35" s="169">
        <f>VLOOKUP($B35&amp;$D35&amp;$F35&amp;$G35,'CIP Details'!$A$10:$V$363,15,0)</f>
        <v>0</v>
      </c>
      <c r="S35" s="169"/>
      <c r="T35" s="169">
        <f>VLOOKUP($B35&amp;$D35&amp;$F35&amp;$G35,'CIP Details'!$A$10:$V$363,15,0)</f>
        <v>0</v>
      </c>
    </row>
    <row r="36" spans="1:20" x14ac:dyDescent="0.25">
      <c r="A36" s="114" t="str">
        <f t="shared" si="4"/>
        <v>Physical ServicesPublic WorksSage Park Parking LotGF</v>
      </c>
      <c r="B36" s="11" t="s">
        <v>365</v>
      </c>
      <c r="C36" s="11">
        <v>36</v>
      </c>
      <c r="D36" s="11" t="s">
        <v>250</v>
      </c>
      <c r="F36" s="276" t="s">
        <v>656</v>
      </c>
      <c r="G36" s="11" t="s">
        <v>16</v>
      </c>
      <c r="H36" s="11" t="s">
        <v>531</v>
      </c>
      <c r="I36" s="11" t="s">
        <v>645</v>
      </c>
      <c r="K36" s="172"/>
      <c r="L36" s="169">
        <v>250000</v>
      </c>
      <c r="M36" s="169"/>
      <c r="N36" s="169">
        <v>0</v>
      </c>
      <c r="O36" s="169"/>
      <c r="P36" s="169">
        <f>VLOOKUP($B36&amp;$D36&amp;$F36&amp;$G36,'CIP Details'!$A$10:$V$363,15,0)</f>
        <v>0</v>
      </c>
      <c r="Q36" s="169"/>
      <c r="R36" s="169">
        <f>VLOOKUP($B36&amp;$D36&amp;$F36&amp;$G36,'CIP Details'!$A$10:$V$363,15,0)</f>
        <v>0</v>
      </c>
      <c r="S36" s="169"/>
      <c r="T36" s="169">
        <f>VLOOKUP($B36&amp;$D36&amp;$F36&amp;$G36,'CIP Details'!$A$10:$V$363,15,0)</f>
        <v>0</v>
      </c>
    </row>
    <row r="37" spans="1:20" x14ac:dyDescent="0.25">
      <c r="A37" s="114" t="str">
        <f t="shared" si="4"/>
        <v>Physical ServicesPublic WorksTown Hall Parking LotGF</v>
      </c>
      <c r="B37" s="11" t="s">
        <v>365</v>
      </c>
      <c r="C37" s="11">
        <v>36</v>
      </c>
      <c r="D37" s="11" t="s">
        <v>250</v>
      </c>
      <c r="F37" s="276" t="s">
        <v>658</v>
      </c>
      <c r="G37" s="11" t="s">
        <v>16</v>
      </c>
      <c r="H37" s="11" t="s">
        <v>531</v>
      </c>
      <c r="I37" s="11" t="s">
        <v>645</v>
      </c>
      <c r="K37" s="172"/>
      <c r="L37" s="169">
        <v>150000</v>
      </c>
      <c r="M37" s="169"/>
      <c r="N37" s="169">
        <v>0</v>
      </c>
      <c r="O37" s="169"/>
      <c r="P37" s="169">
        <f>VLOOKUP($B37&amp;$D37&amp;$F37&amp;$G37,'CIP Details'!$A$10:$V$363,15,0)</f>
        <v>0</v>
      </c>
      <c r="Q37" s="169"/>
      <c r="R37" s="169">
        <f>VLOOKUP($B37&amp;$D37&amp;$F37&amp;$G37,'CIP Details'!$A$10:$V$363,15,0)</f>
        <v>0</v>
      </c>
      <c r="S37" s="169"/>
      <c r="T37" s="169">
        <f>VLOOKUP($B37&amp;$D37&amp;$F37&amp;$G37,'CIP Details'!$A$10:$V$363,15,0)</f>
        <v>0</v>
      </c>
    </row>
    <row r="38" spans="1:20" s="124" customFormat="1" x14ac:dyDescent="0.25">
      <c r="B38" s="123"/>
      <c r="C38" s="123"/>
      <c r="D38" s="123"/>
      <c r="F38" s="200"/>
      <c r="G38" s="123"/>
      <c r="H38" s="123"/>
      <c r="I38" s="123"/>
      <c r="K38" s="172"/>
      <c r="L38" s="169"/>
      <c r="M38" s="169"/>
      <c r="N38" s="169"/>
      <c r="O38" s="169"/>
      <c r="P38" s="169"/>
      <c r="Q38" s="169"/>
      <c r="R38" s="169"/>
      <c r="S38" s="169"/>
      <c r="T38" s="169"/>
    </row>
    <row r="39" spans="1:20" x14ac:dyDescent="0.25">
      <c r="A39" s="114" t="str">
        <f>B39&amp;D39&amp;F39&amp;G39</f>
        <v>Physical ServicesHighwayRoadsGF</v>
      </c>
      <c r="B39" s="11" t="s">
        <v>365</v>
      </c>
      <c r="C39" s="11">
        <v>37</v>
      </c>
      <c r="D39" s="11" t="s">
        <v>461</v>
      </c>
      <c r="F39" s="276" t="s">
        <v>52</v>
      </c>
      <c r="G39" s="11" t="s">
        <v>16</v>
      </c>
      <c r="H39" s="11" t="s">
        <v>522</v>
      </c>
      <c r="K39" s="166"/>
      <c r="L39" s="169">
        <v>414000</v>
      </c>
      <c r="M39" s="169"/>
      <c r="N39" s="169">
        <v>414000</v>
      </c>
      <c r="O39" s="169"/>
      <c r="P39" s="169">
        <f>VLOOKUP($B39&amp;$D39&amp;$F39&amp;$G39,'CIP Details'!$A$10:$V$363,15,0)</f>
        <v>0</v>
      </c>
      <c r="Q39" s="169"/>
      <c r="R39" s="169">
        <f>VLOOKUP($B39&amp;$D39&amp;$F39&amp;$G39,'CIP Details'!$A$10:$V$363,15,0)</f>
        <v>0</v>
      </c>
      <c r="S39" s="169"/>
      <c r="T39" s="169">
        <f>VLOOKUP($B39&amp;$D39&amp;$F39&amp;$G39,'CIP Details'!$A$10:$V$363,15,0)</f>
        <v>0</v>
      </c>
    </row>
    <row r="40" spans="1:20" x14ac:dyDescent="0.25">
      <c r="A40" s="114" t="str">
        <f>B40&amp;D40&amp;F40&amp;G40</f>
        <v>Physical ServicesHighwayRoadsGrants</v>
      </c>
      <c r="B40" s="11" t="s">
        <v>365</v>
      </c>
      <c r="C40" s="11">
        <v>37</v>
      </c>
      <c r="D40" s="11" t="s">
        <v>461</v>
      </c>
      <c r="F40" s="276" t="s">
        <v>52</v>
      </c>
      <c r="G40" s="11" t="s">
        <v>38</v>
      </c>
      <c r="H40" s="11" t="s">
        <v>522</v>
      </c>
      <c r="K40" s="172"/>
      <c r="L40" s="169">
        <v>786000</v>
      </c>
      <c r="M40" s="169"/>
      <c r="N40" s="169">
        <v>786000</v>
      </c>
      <c r="O40" s="169"/>
      <c r="P40" s="169">
        <f>VLOOKUP($B40&amp;$D40&amp;$F40&amp;$G40,'CIP Details'!$A$10:$V$363,15,0)</f>
        <v>0</v>
      </c>
      <c r="Q40" s="169"/>
      <c r="R40" s="169">
        <f>VLOOKUP($B40&amp;$D40&amp;$F40&amp;$G40,'CIP Details'!$A$10:$V$363,15,0)</f>
        <v>0</v>
      </c>
      <c r="S40" s="169"/>
      <c r="T40" s="169">
        <f>VLOOKUP($B40&amp;$D40&amp;$F40&amp;$G40,'CIP Details'!$A$10:$V$363,15,0)</f>
        <v>0</v>
      </c>
    </row>
    <row r="41" spans="1:20" x14ac:dyDescent="0.25">
      <c r="A41" s="114" t="str">
        <f>B41&amp;D41&amp;F41&amp;G41</f>
        <v>Physical ServicesHighwayRoadsBond</v>
      </c>
      <c r="B41" s="11" t="s">
        <v>365</v>
      </c>
      <c r="C41" s="11">
        <v>37</v>
      </c>
      <c r="D41" s="11" t="s">
        <v>461</v>
      </c>
      <c r="F41" s="373" t="s">
        <v>52</v>
      </c>
      <c r="G41" s="11" t="s">
        <v>19</v>
      </c>
      <c r="K41" s="172"/>
      <c r="L41" s="169">
        <v>0</v>
      </c>
      <c r="M41" s="169"/>
      <c r="N41" s="169">
        <v>0</v>
      </c>
      <c r="O41" s="169"/>
      <c r="P41" s="169">
        <f>VLOOKUP($B41&amp;$D41&amp;$F41&amp;$G41,'CIP Details'!$A$10:$V$363,15,0)</f>
        <v>1150000</v>
      </c>
      <c r="Q41" s="169"/>
      <c r="R41" s="169">
        <f>VLOOKUP($B41&amp;$D41&amp;$F41&amp;$G41,'CIP Details'!$A$10:$V$363,15,0)</f>
        <v>1150000</v>
      </c>
      <c r="S41" s="169"/>
      <c r="T41" s="169">
        <f>VLOOKUP($B41&amp;$D41&amp;$F41&amp;$G41,'CIP Details'!$A$10:$V$363,15,0)</f>
        <v>1150000</v>
      </c>
    </row>
    <row r="42" spans="1:20" x14ac:dyDescent="0.25">
      <c r="A42" s="114" t="str">
        <f t="shared" ref="A42:A45" si="6">B42&amp;D42&amp;F42&amp;G42</f>
        <v>Physical ServicesHighwayRe-build Front End LoaderGF</v>
      </c>
      <c r="B42" s="11" t="s">
        <v>365</v>
      </c>
      <c r="C42" s="11">
        <v>37</v>
      </c>
      <c r="D42" s="11" t="s">
        <v>461</v>
      </c>
      <c r="F42" s="276" t="s">
        <v>921</v>
      </c>
      <c r="G42" s="11" t="s">
        <v>16</v>
      </c>
      <c r="H42" s="11" t="s">
        <v>531</v>
      </c>
      <c r="I42" s="11" t="s">
        <v>651</v>
      </c>
      <c r="K42" s="172"/>
      <c r="L42" s="169">
        <v>50000</v>
      </c>
      <c r="M42" s="169"/>
      <c r="N42" s="169">
        <v>50000</v>
      </c>
      <c r="O42" s="169"/>
      <c r="P42" s="169" t="e">
        <f>VLOOKUP($B42&amp;$D42&amp;$F42&amp;$G42,'CIP Details'!$A$10:$V$363,15,0)</f>
        <v>#N/A</v>
      </c>
      <c r="Q42" s="169"/>
      <c r="R42" s="169" t="e">
        <f>VLOOKUP($B42&amp;$D42&amp;$F42&amp;$G42,'CIP Details'!$A$10:$V$363,15,0)</f>
        <v>#N/A</v>
      </c>
      <c r="S42" s="169"/>
      <c r="T42" s="169" t="e">
        <f>VLOOKUP($B42&amp;$D42&amp;$F42&amp;$G42,'CIP Details'!$A$10:$V$363,15,0)</f>
        <v>#N/A</v>
      </c>
    </row>
    <row r="43" spans="1:20" x14ac:dyDescent="0.25">
      <c r="A43" s="114" t="str">
        <f t="shared" si="6"/>
        <v>Physical ServicesHighwayWood ChipperGF</v>
      </c>
      <c r="B43" s="11" t="s">
        <v>365</v>
      </c>
      <c r="C43" s="11">
        <v>37</v>
      </c>
      <c r="D43" s="11" t="s">
        <v>461</v>
      </c>
      <c r="F43" s="276" t="s">
        <v>520</v>
      </c>
      <c r="G43" s="11" t="s">
        <v>16</v>
      </c>
      <c r="H43" s="11" t="s">
        <v>531</v>
      </c>
      <c r="I43" s="11" t="s">
        <v>645</v>
      </c>
      <c r="K43" s="166"/>
      <c r="L43" s="169">
        <v>75000</v>
      </c>
      <c r="M43" s="169"/>
      <c r="N43" s="169">
        <v>75000</v>
      </c>
      <c r="O43" s="169"/>
      <c r="P43" s="169" t="e">
        <f>VLOOKUP($B43&amp;$D43&amp;$F43&amp;$G43,'CIP Details'!$A$10:$V$363,15,0)</f>
        <v>#N/A</v>
      </c>
      <c r="Q43" s="169"/>
      <c r="R43" s="169" t="e">
        <f>VLOOKUP($B43&amp;$D43&amp;$F43&amp;$G43,'CIP Details'!$A$10:$V$363,15,0)</f>
        <v>#N/A</v>
      </c>
      <c r="S43" s="169"/>
      <c r="T43" s="169" t="e">
        <f>VLOOKUP($B43&amp;$D43&amp;$F43&amp;$G43,'CIP Details'!$A$10:$V$363,15,0)</f>
        <v>#N/A</v>
      </c>
    </row>
    <row r="44" spans="1:20" x14ac:dyDescent="0.25">
      <c r="A44" s="114" t="str">
        <f t="shared" si="6"/>
        <v>Physical ServicesHighwayExcavatorGF</v>
      </c>
      <c r="B44" s="11" t="s">
        <v>365</v>
      </c>
      <c r="C44" s="11">
        <v>37</v>
      </c>
      <c r="D44" s="11" t="s">
        <v>461</v>
      </c>
      <c r="F44" s="276" t="s">
        <v>922</v>
      </c>
      <c r="G44" s="11" t="s">
        <v>16</v>
      </c>
      <c r="K44" s="172"/>
      <c r="L44" s="169">
        <v>110000</v>
      </c>
      <c r="M44" s="169"/>
      <c r="N44" s="169">
        <v>0</v>
      </c>
      <c r="O44" s="169"/>
      <c r="P44" s="169" t="e">
        <f>VLOOKUP($B44&amp;$D44&amp;$F44&amp;$G44,'CIP Details'!$A$10:$V$363,15,0)</f>
        <v>#N/A</v>
      </c>
      <c r="Q44" s="169"/>
      <c r="R44" s="169" t="e">
        <f>VLOOKUP($B44&amp;$D44&amp;$F44&amp;$G44,'CIP Details'!$A$10:$V$363,15,0)</f>
        <v>#N/A</v>
      </c>
      <c r="S44" s="169"/>
      <c r="T44" s="169" t="e">
        <f>VLOOKUP($B44&amp;$D44&amp;$F44&amp;$G44,'CIP Details'!$A$10:$V$363,15,0)</f>
        <v>#N/A</v>
      </c>
    </row>
    <row r="45" spans="1:20" x14ac:dyDescent="0.25">
      <c r="A45" s="114" t="str">
        <f t="shared" si="6"/>
        <v>Physical ServicesHighwayFifteen Ton Tag TrailerGF</v>
      </c>
      <c r="B45" s="11" t="s">
        <v>365</v>
      </c>
      <c r="C45" s="11">
        <v>37</v>
      </c>
      <c r="D45" s="11" t="s">
        <v>461</v>
      </c>
      <c r="F45" s="276" t="s">
        <v>923</v>
      </c>
      <c r="G45" s="11" t="s">
        <v>16</v>
      </c>
      <c r="K45" s="172"/>
      <c r="L45" s="169">
        <v>25000</v>
      </c>
      <c r="M45" s="169"/>
      <c r="N45" s="169">
        <v>0</v>
      </c>
      <c r="O45" s="169"/>
      <c r="P45" s="169" t="e">
        <f>VLOOKUP($B45&amp;$D45&amp;$F45&amp;$G45,'CIP Details'!$A$10:$V$363,15,0)</f>
        <v>#N/A</v>
      </c>
      <c r="Q45" s="169"/>
      <c r="R45" s="169" t="e">
        <f>VLOOKUP($B45&amp;$D45&amp;$F45&amp;$G45,'CIP Details'!$A$10:$V$363,15,0)</f>
        <v>#N/A</v>
      </c>
      <c r="S45" s="169"/>
      <c r="T45" s="169" t="e">
        <f>VLOOKUP($B45&amp;$D45&amp;$F45&amp;$G45,'CIP Details'!$A$10:$V$363,15,0)</f>
        <v>#N/A</v>
      </c>
    </row>
    <row r="46" spans="1:20" x14ac:dyDescent="0.25">
      <c r="C46" s="11"/>
      <c r="K46" s="172"/>
      <c r="L46" s="169"/>
      <c r="M46" s="169"/>
      <c r="N46" s="169"/>
      <c r="O46" s="169"/>
      <c r="P46" s="169"/>
      <c r="Q46" s="169"/>
      <c r="R46" s="169"/>
      <c r="S46" s="169"/>
      <c r="T46" s="169"/>
    </row>
    <row r="47" spans="1:20" x14ac:dyDescent="0.25">
      <c r="A47" s="114" t="str">
        <f t="shared" ref="A47:A55" si="7">B47&amp;D47&amp;F47&amp;G47</f>
        <v>Physical ServicesPublic BuildingsADA upgrades (townwide)GF</v>
      </c>
      <c r="B47" s="11" t="s">
        <v>365</v>
      </c>
      <c r="C47" s="148">
        <v>38</v>
      </c>
      <c r="D47" s="11" t="s">
        <v>47</v>
      </c>
      <c r="F47" s="276" t="s">
        <v>942</v>
      </c>
      <c r="G47" s="11" t="s">
        <v>16</v>
      </c>
      <c r="H47" s="11" t="s">
        <v>531</v>
      </c>
      <c r="I47" s="11" t="s">
        <v>537</v>
      </c>
      <c r="K47" s="172"/>
      <c r="L47" s="169">
        <v>50000</v>
      </c>
      <c r="M47" s="169"/>
      <c r="N47" s="169">
        <v>0</v>
      </c>
      <c r="O47" s="169"/>
      <c r="P47" s="169">
        <f>VLOOKUP($B47&amp;$D47&amp;$F47&amp;$G47,'CIP Details'!$A$10:$V$363,15,0)</f>
        <v>0</v>
      </c>
      <c r="Q47" s="169"/>
      <c r="R47" s="169">
        <f>VLOOKUP($B47&amp;$D47&amp;$F47&amp;$G47,'CIP Details'!$A$10:$V$363,15,0)</f>
        <v>0</v>
      </c>
      <c r="S47" s="169"/>
      <c r="T47" s="169">
        <f>VLOOKUP($B47&amp;$D47&amp;$F47&amp;$G47,'CIP Details'!$A$10:$V$363,15,0)</f>
        <v>0</v>
      </c>
    </row>
    <row r="48" spans="1:20" x14ac:dyDescent="0.25">
      <c r="A48" s="114" t="str">
        <f t="shared" si="7"/>
        <v>Physical ServicesPublic BuildingsFire &amp; Security Upgrades (various buildings)GF</v>
      </c>
      <c r="B48" s="11" t="s">
        <v>365</v>
      </c>
      <c r="C48" s="148">
        <v>38</v>
      </c>
      <c r="D48" s="11" t="s">
        <v>47</v>
      </c>
      <c r="F48" s="276" t="s">
        <v>943</v>
      </c>
      <c r="G48" s="11" t="s">
        <v>16</v>
      </c>
      <c r="H48" s="11" t="s">
        <v>531</v>
      </c>
      <c r="I48" s="11" t="s">
        <v>537</v>
      </c>
      <c r="K48" s="172"/>
      <c r="L48" s="169">
        <v>100000</v>
      </c>
      <c r="M48" s="169"/>
      <c r="N48" s="169">
        <v>0</v>
      </c>
      <c r="O48" s="169"/>
      <c r="P48" s="169">
        <f>VLOOKUP($B48&amp;$D48&amp;$F48&amp;$G48,'CIP Details'!$A$10:$V$363,15,0)</f>
        <v>0</v>
      </c>
      <c r="Q48" s="169"/>
      <c r="R48" s="169">
        <f>VLOOKUP($B48&amp;$D48&amp;$F48&amp;$G48,'CIP Details'!$A$10:$V$363,15,0)</f>
        <v>0</v>
      </c>
      <c r="S48" s="169"/>
      <c r="T48" s="169">
        <f>VLOOKUP($B48&amp;$D48&amp;$F48&amp;$G48,'CIP Details'!$A$10:$V$363,15,0)</f>
        <v>0</v>
      </c>
    </row>
    <row r="49" spans="1:20" x14ac:dyDescent="0.25">
      <c r="A49" s="114" t="str">
        <f t="shared" si="7"/>
        <v>Physical ServicesPublic BuildingsOverhead Door Replacement (Highway Garages)GF</v>
      </c>
      <c r="B49" s="11" t="s">
        <v>365</v>
      </c>
      <c r="C49" s="148">
        <v>38</v>
      </c>
      <c r="D49" s="11" t="s">
        <v>47</v>
      </c>
      <c r="F49" s="276" t="s">
        <v>944</v>
      </c>
      <c r="G49" s="11" t="s">
        <v>16</v>
      </c>
      <c r="H49" s="11" t="s">
        <v>531</v>
      </c>
      <c r="I49" s="11" t="s">
        <v>537</v>
      </c>
      <c r="K49" s="172"/>
      <c r="L49" s="169">
        <v>75000</v>
      </c>
      <c r="M49" s="169"/>
      <c r="N49" s="169">
        <v>0</v>
      </c>
      <c r="O49" s="169"/>
      <c r="P49" s="169">
        <f>VLOOKUP($B49&amp;$D49&amp;$F49&amp;$G49,'CIP Details'!$A$10:$V$363,15,0)</f>
        <v>0</v>
      </c>
      <c r="Q49" s="169"/>
      <c r="R49" s="169">
        <f>VLOOKUP($B49&amp;$D49&amp;$F49&amp;$G49,'CIP Details'!$A$10:$V$363,15,0)</f>
        <v>0</v>
      </c>
      <c r="S49" s="169"/>
      <c r="T49" s="169">
        <f>VLOOKUP($B49&amp;$D49&amp;$F49&amp;$G49,'CIP Details'!$A$10:$V$363,15,0)</f>
        <v>0</v>
      </c>
    </row>
    <row r="50" spans="1:20" x14ac:dyDescent="0.25">
      <c r="A50" s="114" t="str">
        <f t="shared" si="7"/>
        <v>Physical ServicesPublic BuildingsGutters, Roof Trace and Masonry Repairs (Town Hall)GF</v>
      </c>
      <c r="B50" s="11" t="s">
        <v>365</v>
      </c>
      <c r="C50" s="11">
        <v>38</v>
      </c>
      <c r="D50" s="11" t="s">
        <v>47</v>
      </c>
      <c r="F50" s="201" t="s">
        <v>664</v>
      </c>
      <c r="G50" s="11" t="s">
        <v>16</v>
      </c>
      <c r="H50" s="11" t="s">
        <v>531</v>
      </c>
      <c r="K50" s="172"/>
      <c r="L50" s="169">
        <v>100000</v>
      </c>
      <c r="M50" s="169"/>
      <c r="N50" s="169">
        <v>0</v>
      </c>
      <c r="O50" s="169"/>
      <c r="P50" s="169">
        <f>VLOOKUP($B50&amp;$D50&amp;$F50&amp;$G50,'CIP Details'!$A$10:$V$363,15,0)</f>
        <v>0</v>
      </c>
      <c r="Q50" s="169"/>
      <c r="R50" s="169">
        <f>VLOOKUP($B50&amp;$D50&amp;$F50&amp;$G50,'CIP Details'!$A$10:$V$363,15,0)</f>
        <v>0</v>
      </c>
      <c r="S50" s="169"/>
      <c r="T50" s="169">
        <f>VLOOKUP($B50&amp;$D50&amp;$F50&amp;$G50,'CIP Details'!$A$10:$V$363,15,0)</f>
        <v>0</v>
      </c>
    </row>
    <row r="51" spans="1:20" x14ac:dyDescent="0.25">
      <c r="A51" s="114" t="str">
        <f>B51&amp;D51&amp;F51&amp;G51</f>
        <v>Physical ServicesPublic BuildingsDeming Road House (Mobile Home caretakers house)GF</v>
      </c>
      <c r="B51" s="11" t="s">
        <v>365</v>
      </c>
      <c r="C51" s="11">
        <v>38</v>
      </c>
      <c r="D51" s="11" t="s">
        <v>47</v>
      </c>
      <c r="F51" s="200" t="s">
        <v>442</v>
      </c>
      <c r="G51" s="123" t="s">
        <v>16</v>
      </c>
      <c r="H51" s="11" t="s">
        <v>531</v>
      </c>
      <c r="K51" s="172"/>
      <c r="L51" s="169">
        <v>50000</v>
      </c>
      <c r="M51" s="169"/>
      <c r="N51" s="169">
        <v>0</v>
      </c>
      <c r="O51" s="169"/>
      <c r="P51" s="169" t="e">
        <f>VLOOKUP($B51&amp;$D51&amp;$F51&amp;$G51,'CIP Details'!$A$10:$V$363,15,0)</f>
        <v>#N/A</v>
      </c>
      <c r="Q51" s="169"/>
      <c r="R51" s="169" t="e">
        <f>VLOOKUP($B51&amp;$D51&amp;$F51&amp;$G51,'CIP Details'!$A$10:$V$363,15,0)</f>
        <v>#N/A</v>
      </c>
      <c r="S51" s="169"/>
      <c r="T51" s="169" t="e">
        <f>VLOOKUP($B51&amp;$D51&amp;$F51&amp;$G51,'CIP Details'!$A$10:$V$363,15,0)</f>
        <v>#N/A</v>
      </c>
    </row>
    <row r="52" spans="1:20" x14ac:dyDescent="0.25">
      <c r="A52" s="114" t="str">
        <f t="shared" si="7"/>
        <v>Physical ServicesPublic BuildingsTown Hall Bathroom RenovationsGF</v>
      </c>
      <c r="B52" s="11" t="s">
        <v>365</v>
      </c>
      <c r="C52" s="11">
        <v>38</v>
      </c>
      <c r="D52" s="11" t="s">
        <v>47</v>
      </c>
      <c r="F52" s="200" t="s">
        <v>668</v>
      </c>
      <c r="G52" s="123" t="s">
        <v>16</v>
      </c>
      <c r="H52" s="11" t="s">
        <v>531</v>
      </c>
      <c r="K52" s="172"/>
      <c r="L52" s="169">
        <v>80000</v>
      </c>
      <c r="M52" s="169"/>
      <c r="N52" s="169">
        <v>0</v>
      </c>
      <c r="O52" s="169"/>
      <c r="P52" s="169">
        <f>VLOOKUP($B52&amp;$D52&amp;$F52&amp;$G52,'CIP Details'!$A$10:$V$363,15,0)</f>
        <v>0</v>
      </c>
      <c r="Q52" s="169"/>
      <c r="R52" s="169">
        <f>VLOOKUP($B52&amp;$D52&amp;$F52&amp;$G52,'CIP Details'!$A$10:$V$363,15,0)</f>
        <v>0</v>
      </c>
      <c r="S52" s="169"/>
      <c r="T52" s="169">
        <f>VLOOKUP($B52&amp;$D52&amp;$F52&amp;$G52,'CIP Details'!$A$10:$V$363,15,0)</f>
        <v>0</v>
      </c>
    </row>
    <row r="53" spans="1:20" x14ac:dyDescent="0.25">
      <c r="A53" s="114" t="str">
        <f t="shared" si="7"/>
        <v>Physical ServicesPublic BuildingsUpgrade &amp; repairs of Sage Park restroomsBond - E</v>
      </c>
      <c r="B53" s="11" t="s">
        <v>365</v>
      </c>
      <c r="C53" s="11">
        <v>38</v>
      </c>
      <c r="D53" s="11" t="s">
        <v>47</v>
      </c>
      <c r="F53" s="200" t="s">
        <v>346</v>
      </c>
      <c r="G53" s="123" t="s">
        <v>243</v>
      </c>
      <c r="H53" s="11" t="s">
        <v>531</v>
      </c>
      <c r="K53" s="172"/>
      <c r="L53" s="169">
        <v>100000</v>
      </c>
      <c r="M53" s="169"/>
      <c r="N53" s="169">
        <v>100000</v>
      </c>
      <c r="O53" s="169"/>
      <c r="P53" s="169">
        <f>VLOOKUP($B53&amp;$D53&amp;$F53&amp;$G53,'CIP Details'!$A$10:$V$363,15,0)</f>
        <v>45000</v>
      </c>
      <c r="Q53" s="169"/>
      <c r="R53" s="169">
        <f>VLOOKUP($B53&amp;$D53&amp;$F53&amp;$G53,'CIP Details'!$A$10:$V$363,15,0)</f>
        <v>45000</v>
      </c>
      <c r="S53" s="169"/>
      <c r="T53" s="169">
        <f>VLOOKUP($B53&amp;$D53&amp;$F53&amp;$G53,'CIP Details'!$A$10:$V$363,15,0)</f>
        <v>45000</v>
      </c>
    </row>
    <row r="54" spans="1:20" x14ac:dyDescent="0.25">
      <c r="A54" s="114" t="str">
        <f t="shared" si="7"/>
        <v>Physical ServicesPublic BuildingsWindows &amp; Doors replacement (Timberlin)GF</v>
      </c>
      <c r="B54" s="11" t="s">
        <v>365</v>
      </c>
      <c r="C54" s="11">
        <v>38</v>
      </c>
      <c r="D54" s="11" t="s">
        <v>47</v>
      </c>
      <c r="F54" s="202" t="s">
        <v>672</v>
      </c>
      <c r="G54" s="11" t="s">
        <v>16</v>
      </c>
      <c r="H54" s="11" t="s">
        <v>531</v>
      </c>
      <c r="K54" s="172"/>
      <c r="L54" s="169">
        <v>175000</v>
      </c>
      <c r="M54" s="169"/>
      <c r="N54" s="169">
        <v>0</v>
      </c>
      <c r="O54" s="169"/>
      <c r="P54" s="169">
        <f>VLOOKUP($B54&amp;$D54&amp;$F54&amp;$G54,'CIP Details'!$A$10:$V$363,15,0)</f>
        <v>0</v>
      </c>
      <c r="Q54" s="169"/>
      <c r="R54" s="169">
        <f>VLOOKUP($B54&amp;$D54&amp;$F54&amp;$G54,'CIP Details'!$A$10:$V$363,15,0)</f>
        <v>0</v>
      </c>
      <c r="S54" s="169"/>
      <c r="T54" s="169">
        <f>VLOOKUP($B54&amp;$D54&amp;$F54&amp;$G54,'CIP Details'!$A$10:$V$363,15,0)</f>
        <v>0</v>
      </c>
    </row>
    <row r="55" spans="1:20" x14ac:dyDescent="0.25">
      <c r="A55" s="114" t="str">
        <f t="shared" si="7"/>
        <v>Physical ServicesPublic BuildingsRoof Replacement (Library)Bond</v>
      </c>
      <c r="B55" s="11" t="s">
        <v>365</v>
      </c>
      <c r="C55" s="11">
        <v>38</v>
      </c>
      <c r="D55" s="11" t="s">
        <v>47</v>
      </c>
      <c r="F55" s="201" t="s">
        <v>455</v>
      </c>
      <c r="G55" s="11" t="s">
        <v>19</v>
      </c>
      <c r="H55" s="11" t="s">
        <v>531</v>
      </c>
      <c r="I55" s="11" t="s">
        <v>538</v>
      </c>
      <c r="K55" s="172"/>
      <c r="L55" s="169">
        <v>1200000</v>
      </c>
      <c r="M55" s="169"/>
      <c r="N55" s="169">
        <v>0</v>
      </c>
      <c r="O55" s="169"/>
      <c r="P55" s="169">
        <f>VLOOKUP($B55&amp;$D55&amp;$F55&amp;$G55,'CIP Details'!$A$10:$V$363,15,0)</f>
        <v>0</v>
      </c>
      <c r="Q55" s="169"/>
      <c r="R55" s="169">
        <f>VLOOKUP($B55&amp;$D55&amp;$F55&amp;$G55,'CIP Details'!$A$10:$V$363,15,0)</f>
        <v>0</v>
      </c>
      <c r="S55" s="169"/>
      <c r="T55" s="169">
        <f>VLOOKUP($B55&amp;$D55&amp;$F55&amp;$G55,'CIP Details'!$A$10:$V$363,15,0)</f>
        <v>0</v>
      </c>
    </row>
    <row r="56" spans="1:20" x14ac:dyDescent="0.25">
      <c r="A56" s="114" t="str">
        <f>B56&amp;D56&amp;F56&amp;G56</f>
        <v>Physical ServicesPublic BuildingsTimberlin Maintenance Shop ExteriorGF</v>
      </c>
      <c r="B56" s="11" t="s">
        <v>365</v>
      </c>
      <c r="C56" s="11">
        <v>38</v>
      </c>
      <c r="D56" s="11" t="s">
        <v>47</v>
      </c>
      <c r="F56" s="202" t="s">
        <v>999</v>
      </c>
      <c r="G56" s="11" t="s">
        <v>16</v>
      </c>
      <c r="H56" s="11" t="s">
        <v>531</v>
      </c>
      <c r="K56" s="172"/>
      <c r="L56" s="169">
        <v>50000</v>
      </c>
      <c r="M56" s="169"/>
      <c r="N56" s="169">
        <v>50000</v>
      </c>
      <c r="O56" s="169"/>
      <c r="P56" s="169">
        <f>VLOOKUP($B56&amp;$D56&amp;$F56&amp;$G56,'CIP Details'!$A$10:$V$363,15,0)</f>
        <v>0</v>
      </c>
      <c r="Q56" s="169"/>
      <c r="R56" s="169">
        <f>VLOOKUP($B56&amp;$D56&amp;$F56&amp;$G56,'CIP Details'!$A$10:$V$363,15,0)</f>
        <v>0</v>
      </c>
      <c r="S56" s="169"/>
      <c r="T56" s="169">
        <f>VLOOKUP($B56&amp;$D56&amp;$F56&amp;$G56,'CIP Details'!$A$10:$V$363,15,0)</f>
        <v>0</v>
      </c>
    </row>
    <row r="57" spans="1:20" x14ac:dyDescent="0.25">
      <c r="A57" s="114" t="str">
        <f t="shared" ref="A57" si="8">B57&amp;D57&amp;F57&amp;G57</f>
        <v>Physical ServicesPublic BuildingsWash Bay (incl contingency)Bond - E</v>
      </c>
      <c r="B57" s="11" t="s">
        <v>365</v>
      </c>
      <c r="C57" s="11">
        <v>38</v>
      </c>
      <c r="D57" s="11" t="s">
        <v>47</v>
      </c>
      <c r="F57" s="201" t="s">
        <v>968</v>
      </c>
      <c r="G57" s="11" t="s">
        <v>243</v>
      </c>
      <c r="K57" s="172"/>
      <c r="L57" s="169">
        <v>450000</v>
      </c>
      <c r="M57" s="169"/>
      <c r="N57" s="169">
        <v>450000</v>
      </c>
      <c r="O57" s="169"/>
      <c r="P57" s="169">
        <f>VLOOKUP($B57&amp;$D57&amp;$F57&amp;$G57,'CIP Details'!$A$10:$V$363,15,0)</f>
        <v>450000</v>
      </c>
      <c r="Q57" s="169"/>
      <c r="R57" s="169">
        <f>VLOOKUP($B57&amp;$D57&amp;$F57&amp;$G57,'CIP Details'!$A$10:$V$363,15,0)</f>
        <v>450000</v>
      </c>
      <c r="S57" s="169"/>
      <c r="T57" s="169">
        <f>VLOOKUP($B57&amp;$D57&amp;$F57&amp;$G57,'CIP Details'!$A$10:$V$363,15,0)</f>
        <v>450000</v>
      </c>
    </row>
    <row r="58" spans="1:20" x14ac:dyDescent="0.25">
      <c r="A58" s="114" t="str">
        <f>B58&amp;D58&amp;F58&amp;G58</f>
        <v>Physical ServicesPublic BuildingsFacilities - VanGF</v>
      </c>
      <c r="B58" s="11" t="s">
        <v>365</v>
      </c>
      <c r="C58" s="11">
        <v>38</v>
      </c>
      <c r="D58" s="11" t="s">
        <v>47</v>
      </c>
      <c r="F58" s="276" t="s">
        <v>938</v>
      </c>
      <c r="G58" s="11" t="s">
        <v>16</v>
      </c>
      <c r="K58" s="172"/>
      <c r="L58" s="169">
        <v>38000</v>
      </c>
      <c r="M58" s="169"/>
      <c r="N58" s="169">
        <v>0</v>
      </c>
      <c r="O58" s="169"/>
      <c r="P58" s="169" t="e">
        <f>VLOOKUP($B58&amp;$D58&amp;$F58&amp;$G58,'CIP Details'!$A$10:$V$363,15,0)</f>
        <v>#N/A</v>
      </c>
      <c r="Q58" s="169"/>
      <c r="R58" s="169" t="e">
        <f>VLOOKUP($B58&amp;$D58&amp;$F58&amp;$G58,'CIP Details'!$A$10:$V$363,15,0)</f>
        <v>#N/A</v>
      </c>
      <c r="S58" s="169"/>
      <c r="T58" s="169" t="e">
        <f>VLOOKUP($B58&amp;$D58&amp;$F58&amp;$G58,'CIP Details'!$A$10:$V$363,15,0)</f>
        <v>#N/A</v>
      </c>
    </row>
    <row r="59" spans="1:20" x14ac:dyDescent="0.25">
      <c r="A59" s="114" t="str">
        <f>B59&amp;D59&amp;F59&amp;G59</f>
        <v>Physical ServicesPublic BuildingsFacilities - Supervisor's VehicleGF</v>
      </c>
      <c r="B59" s="11" t="s">
        <v>365</v>
      </c>
      <c r="C59" s="11">
        <v>38</v>
      </c>
      <c r="D59" s="11" t="s">
        <v>47</v>
      </c>
      <c r="F59" s="276" t="s">
        <v>939</v>
      </c>
      <c r="G59" s="11" t="s">
        <v>16</v>
      </c>
      <c r="K59" s="172"/>
      <c r="L59" s="169">
        <v>38000</v>
      </c>
      <c r="M59" s="169"/>
      <c r="N59" s="169">
        <v>0</v>
      </c>
      <c r="O59" s="169"/>
      <c r="P59" s="169">
        <f>VLOOKUP($B59&amp;$D59&amp;$F59&amp;$G59,'CIP Details'!$A$10:$V$363,15,0)</f>
        <v>0</v>
      </c>
      <c r="Q59" s="169"/>
      <c r="R59" s="169">
        <f>VLOOKUP($B59&amp;$D59&amp;$F59&amp;$G59,'CIP Details'!$A$10:$V$363,15,0)</f>
        <v>0</v>
      </c>
      <c r="S59" s="169"/>
      <c r="T59" s="169">
        <f>VLOOKUP($B59&amp;$D59&amp;$F59&amp;$G59,'CIP Details'!$A$10:$V$363,15,0)</f>
        <v>0</v>
      </c>
    </row>
    <row r="60" spans="1:20" x14ac:dyDescent="0.25">
      <c r="C60" s="11"/>
      <c r="F60" s="201"/>
      <c r="K60" s="172"/>
      <c r="L60" s="169"/>
      <c r="M60" s="169"/>
      <c r="N60" s="169"/>
      <c r="O60" s="169"/>
      <c r="P60" s="169"/>
      <c r="Q60" s="169"/>
      <c r="R60" s="169"/>
      <c r="S60" s="169"/>
      <c r="T60" s="169"/>
    </row>
    <row r="61" spans="1:20" x14ac:dyDescent="0.25">
      <c r="A61" s="114" t="str">
        <f t="shared" ref="A61:A63" si="9">B61&amp;D61&amp;F61&amp;G61</f>
        <v>Parks, Recreation &amp; LibrariesGolf CourseSmall dump truckGF</v>
      </c>
      <c r="B61" s="11" t="s">
        <v>366</v>
      </c>
      <c r="C61" s="11">
        <v>43</v>
      </c>
      <c r="D61" s="11" t="s">
        <v>438</v>
      </c>
      <c r="F61" s="276" t="s">
        <v>464</v>
      </c>
      <c r="G61" s="11" t="s">
        <v>16</v>
      </c>
      <c r="H61" s="11" t="s">
        <v>531</v>
      </c>
      <c r="K61" s="172"/>
      <c r="L61" s="169">
        <v>25000</v>
      </c>
      <c r="M61" s="169"/>
      <c r="N61" s="169">
        <v>0</v>
      </c>
      <c r="O61" s="169"/>
      <c r="P61" s="169">
        <f>VLOOKUP($B61&amp;$D61&amp;$F61&amp;$G61,'CIP Details'!$A$10:$V$363,15,0)</f>
        <v>0</v>
      </c>
      <c r="Q61" s="169"/>
      <c r="R61" s="169">
        <f>VLOOKUP($B61&amp;$D61&amp;$F61&amp;$G61,'CIP Details'!$A$10:$V$363,15,0)</f>
        <v>0</v>
      </c>
      <c r="S61" s="169"/>
      <c r="T61" s="169">
        <f>VLOOKUP($B61&amp;$D61&amp;$F61&amp;$G61,'CIP Details'!$A$10:$V$363,15,0)</f>
        <v>0</v>
      </c>
    </row>
    <row r="62" spans="1:20" x14ac:dyDescent="0.25">
      <c r="A62" s="114" t="str">
        <f t="shared" si="9"/>
        <v>Parks, Recreation &amp; LibrariesGolf CourseBackhoe (New/Used)GF</v>
      </c>
      <c r="B62" s="11" t="s">
        <v>366</v>
      </c>
      <c r="C62" s="11">
        <v>43</v>
      </c>
      <c r="D62" s="11" t="s">
        <v>438</v>
      </c>
      <c r="F62" s="276" t="s">
        <v>940</v>
      </c>
      <c r="G62" s="11" t="s">
        <v>16</v>
      </c>
      <c r="H62" s="11" t="s">
        <v>531</v>
      </c>
      <c r="K62" s="172"/>
      <c r="L62" s="169">
        <v>75000</v>
      </c>
      <c r="M62" s="169"/>
      <c r="N62" s="169">
        <v>0</v>
      </c>
      <c r="O62" s="169"/>
      <c r="P62" s="169" t="e">
        <f>VLOOKUP($B62&amp;$D62&amp;$F62&amp;$G62,'CIP Details'!$A$10:$V$363,15,0)</f>
        <v>#N/A</v>
      </c>
      <c r="Q62" s="169"/>
      <c r="R62" s="169" t="e">
        <f>VLOOKUP($B62&amp;$D62&amp;$F62&amp;$G62,'CIP Details'!$A$10:$V$363,15,0)</f>
        <v>#N/A</v>
      </c>
      <c r="S62" s="169"/>
      <c r="T62" s="169" t="e">
        <f>VLOOKUP($B62&amp;$D62&amp;$F62&amp;$G62,'CIP Details'!$A$10:$V$363,15,0)</f>
        <v>#N/A</v>
      </c>
    </row>
    <row r="63" spans="1:20" x14ac:dyDescent="0.25">
      <c r="A63" s="114" t="str">
        <f t="shared" si="9"/>
        <v>Parks, Recreation &amp; LibrariesGolf CourseLarge Utility VehicleGF</v>
      </c>
      <c r="B63" s="11" t="s">
        <v>366</v>
      </c>
      <c r="C63" s="11">
        <v>43</v>
      </c>
      <c r="D63" s="11" t="s">
        <v>438</v>
      </c>
      <c r="F63" s="276" t="s">
        <v>893</v>
      </c>
      <c r="G63" s="11" t="s">
        <v>16</v>
      </c>
      <c r="K63" s="172"/>
      <c r="L63" s="169">
        <v>26565</v>
      </c>
      <c r="M63" s="169"/>
      <c r="N63" s="169">
        <v>0</v>
      </c>
      <c r="O63" s="169"/>
      <c r="P63" s="169">
        <f>VLOOKUP($B63&amp;$D63&amp;$F63&amp;$G63,'CIP Details'!$A$10:$V$363,15,0)</f>
        <v>0</v>
      </c>
      <c r="Q63" s="169"/>
      <c r="R63" s="169">
        <f>VLOOKUP($B63&amp;$D63&amp;$F63&amp;$G63,'CIP Details'!$A$10:$V$363,15,0)</f>
        <v>0</v>
      </c>
      <c r="S63" s="169"/>
      <c r="T63" s="169">
        <f>VLOOKUP($B63&amp;$D63&amp;$F63&amp;$G63,'CIP Details'!$A$10:$V$363,15,0)</f>
        <v>0</v>
      </c>
    </row>
    <row r="64" spans="1:20" x14ac:dyDescent="0.25">
      <c r="C64" s="11"/>
      <c r="K64" s="172"/>
      <c r="L64" s="169"/>
      <c r="M64" s="169"/>
      <c r="N64" s="169"/>
      <c r="O64" s="169"/>
      <c r="P64" s="169"/>
      <c r="Q64" s="169"/>
      <c r="R64" s="169"/>
      <c r="S64" s="169"/>
      <c r="T64" s="169"/>
    </row>
    <row r="65" spans="1:20" x14ac:dyDescent="0.25">
      <c r="A65" s="114" t="str">
        <f>B65&amp;D65&amp;F65&amp;G65</f>
        <v>Parks, Recreation &amp; LibrariesLibraryGlass Enclosure for digital media lab/makerspaceGF</v>
      </c>
      <c r="B65" s="11" t="s">
        <v>366</v>
      </c>
      <c r="C65" s="11">
        <v>44</v>
      </c>
      <c r="D65" s="11" t="s">
        <v>435</v>
      </c>
      <c r="F65" s="276" t="s">
        <v>947</v>
      </c>
      <c r="G65" s="11" t="s">
        <v>16</v>
      </c>
      <c r="H65" s="11" t="s">
        <v>531</v>
      </c>
      <c r="K65" s="172"/>
      <c r="L65" s="169">
        <v>50000</v>
      </c>
      <c r="M65" s="169"/>
      <c r="N65" s="169">
        <v>0</v>
      </c>
      <c r="O65" s="169"/>
      <c r="P65" s="169">
        <f>VLOOKUP($B65&amp;$D65&amp;$F65&amp;$G65,'CIP Details'!$A$10:$V$363,15,0)</f>
        <v>0</v>
      </c>
      <c r="Q65" s="169"/>
      <c r="R65" s="169">
        <f>VLOOKUP($B65&amp;$D65&amp;$F65&amp;$G65,'CIP Details'!$A$10:$V$363,15,0)</f>
        <v>0</v>
      </c>
      <c r="S65" s="169"/>
      <c r="T65" s="169">
        <f>VLOOKUP($B65&amp;$D65&amp;$F65&amp;$G65,'CIP Details'!$A$10:$V$363,15,0)</f>
        <v>0</v>
      </c>
    </row>
    <row r="66" spans="1:20" x14ac:dyDescent="0.25">
      <c r="C66" s="11"/>
      <c r="K66" s="172"/>
      <c r="L66" s="169"/>
      <c r="M66" s="169"/>
      <c r="N66" s="169"/>
      <c r="O66" s="169"/>
      <c r="P66" s="169"/>
      <c r="Q66" s="169"/>
      <c r="R66" s="169"/>
      <c r="S66" s="169"/>
      <c r="T66" s="169"/>
    </row>
    <row r="67" spans="1:20" x14ac:dyDescent="0.25">
      <c r="A67" s="114" t="str">
        <f t="shared" ref="A67:A70" si="10">B67&amp;D67&amp;F67&amp;G67</f>
        <v>Parks, Recreation &amp; LibrariesPublic GroundsField Improvements - Percival FieldGF</v>
      </c>
      <c r="B67" s="11" t="s">
        <v>366</v>
      </c>
      <c r="C67" s="11">
        <v>45</v>
      </c>
      <c r="D67" s="11" t="s">
        <v>46</v>
      </c>
      <c r="F67" s="276" t="s">
        <v>903</v>
      </c>
      <c r="G67" s="11" t="s">
        <v>16</v>
      </c>
      <c r="K67" s="172"/>
      <c r="L67" s="169">
        <v>275000</v>
      </c>
      <c r="M67" s="169"/>
      <c r="N67" s="169">
        <v>0</v>
      </c>
      <c r="O67" s="169"/>
      <c r="P67" s="169" t="e">
        <f>VLOOKUP($B67&amp;$D67&amp;$F67&amp;$G67,'CIP Details'!$A$10:$V$363,15,0)</f>
        <v>#N/A</v>
      </c>
      <c r="Q67" s="169"/>
      <c r="R67" s="169" t="e">
        <f>VLOOKUP($B67&amp;$D67&amp;$F67&amp;$G67,'CIP Details'!$A$10:$V$363,15,0)</f>
        <v>#N/A</v>
      </c>
      <c r="S67" s="169"/>
      <c r="T67" s="169" t="e">
        <f>VLOOKUP($B67&amp;$D67&amp;$F67&amp;$G67,'CIP Details'!$A$10:$V$363,15,0)</f>
        <v>#N/A</v>
      </c>
    </row>
    <row r="68" spans="1:20" x14ac:dyDescent="0.25">
      <c r="A68" s="114" t="str">
        <f t="shared" si="10"/>
        <v>Parks, Recreation &amp; LibrariesPublic GroundsSage 1 Field Improvements (incl lights expensed in 38)Surplus</v>
      </c>
      <c r="B68" s="11" t="s">
        <v>366</v>
      </c>
      <c r="C68" s="11">
        <v>45</v>
      </c>
      <c r="D68" s="11" t="s">
        <v>46</v>
      </c>
      <c r="F68" s="276" t="s">
        <v>945</v>
      </c>
      <c r="G68" s="11" t="s">
        <v>1036</v>
      </c>
      <c r="H68" s="11" t="s">
        <v>531</v>
      </c>
      <c r="K68" s="172"/>
      <c r="L68" s="169">
        <v>495000</v>
      </c>
      <c r="M68" s="169"/>
      <c r="N68" s="169">
        <v>495000</v>
      </c>
      <c r="O68" s="169"/>
      <c r="P68" s="169" t="e">
        <f>VLOOKUP($B68&amp;$D68&amp;$F68&amp;$G68,'CIP Details'!$A$10:$V$363,15,0)</f>
        <v>#N/A</v>
      </c>
      <c r="Q68" s="169"/>
      <c r="R68" s="169" t="e">
        <f>VLOOKUP($B68&amp;$D68&amp;$F68&amp;$G68,'CIP Details'!$A$10:$V$363,15,0)</f>
        <v>#N/A</v>
      </c>
      <c r="S68" s="169"/>
      <c r="T68" s="169" t="e">
        <f>VLOOKUP($B68&amp;$D68&amp;$F68&amp;$G68,'CIP Details'!$A$10:$V$363,15,0)</f>
        <v>#N/A</v>
      </c>
    </row>
    <row r="69" spans="1:20" x14ac:dyDescent="0.25">
      <c r="A69" s="114" t="str">
        <f t="shared" si="10"/>
        <v>Parks, Recreation &amp; LibrariesPublic GroundsScalise Field ScoreboardGrants</v>
      </c>
      <c r="B69" s="11" t="s">
        <v>366</v>
      </c>
      <c r="C69" s="11">
        <v>45</v>
      </c>
      <c r="D69" s="11" t="s">
        <v>46</v>
      </c>
      <c r="F69" s="276" t="s">
        <v>950</v>
      </c>
      <c r="G69" s="11" t="s">
        <v>38</v>
      </c>
      <c r="H69" s="11" t="s">
        <v>531</v>
      </c>
      <c r="K69" s="172"/>
      <c r="L69" s="169">
        <v>250000</v>
      </c>
      <c r="M69" s="169"/>
      <c r="N69" s="169">
        <v>250000</v>
      </c>
      <c r="O69" s="169"/>
      <c r="P69" s="169">
        <f>VLOOKUP($B69&amp;$D69&amp;$F69&amp;$G69,'CIP Details'!$A$10:$V$363,15,0)</f>
        <v>250000</v>
      </c>
      <c r="Q69" s="169"/>
      <c r="R69" s="169">
        <f>VLOOKUP($B69&amp;$D69&amp;$F69&amp;$G69,'CIP Details'!$A$10:$V$363,15,0)</f>
        <v>250000</v>
      </c>
      <c r="S69" s="169"/>
      <c r="T69" s="169">
        <f>VLOOKUP($B69&amp;$D69&amp;$F69&amp;$G69,'CIP Details'!$A$10:$V$363,15,0)</f>
        <v>250000</v>
      </c>
    </row>
    <row r="70" spans="1:20" x14ac:dyDescent="0.25">
      <c r="A70" s="114" t="str">
        <f t="shared" si="10"/>
        <v>Parks, Recreation &amp; LibrariesPublic GroundsPick UpsGF</v>
      </c>
      <c r="B70" s="11" t="s">
        <v>366</v>
      </c>
      <c r="C70" s="11">
        <v>45</v>
      </c>
      <c r="D70" s="11" t="s">
        <v>46</v>
      </c>
      <c r="F70" s="276" t="s">
        <v>476</v>
      </c>
      <c r="G70" s="11" t="s">
        <v>16</v>
      </c>
      <c r="H70" s="11" t="s">
        <v>531</v>
      </c>
      <c r="K70" s="172"/>
      <c r="L70" s="169">
        <v>42000</v>
      </c>
      <c r="M70" s="169"/>
      <c r="N70" s="169">
        <v>0</v>
      </c>
      <c r="O70" s="169"/>
      <c r="P70" s="169">
        <f>VLOOKUP($B70&amp;$D70&amp;$F70&amp;$G70,'CIP Details'!$A$10:$V$363,15,0)</f>
        <v>0</v>
      </c>
      <c r="Q70" s="169"/>
      <c r="R70" s="169">
        <f>VLOOKUP($B70&amp;$D70&amp;$F70&amp;$G70,'CIP Details'!$A$10:$V$363,15,0)</f>
        <v>0</v>
      </c>
      <c r="S70" s="169"/>
      <c r="T70" s="169">
        <f>VLOOKUP($B70&amp;$D70&amp;$F70&amp;$G70,'CIP Details'!$A$10:$V$363,15,0)</f>
        <v>0</v>
      </c>
    </row>
    <row r="71" spans="1:20" x14ac:dyDescent="0.25">
      <c r="C71" s="11"/>
      <c r="K71" s="172"/>
      <c r="L71" s="169"/>
      <c r="M71" s="169"/>
      <c r="N71" s="169"/>
      <c r="O71" s="169"/>
      <c r="P71" s="169"/>
      <c r="Q71" s="169"/>
      <c r="R71" s="169"/>
      <c r="S71" s="169"/>
      <c r="T71" s="169"/>
    </row>
    <row r="72" spans="1:20" x14ac:dyDescent="0.25">
      <c r="A72" s="114" t="str">
        <f>B72&amp;D72&amp;F72&amp;G72</f>
        <v>Parks, Recreation &amp; LibrariesSenior Center9 Passenger VanGrants</v>
      </c>
      <c r="B72" s="11" t="s">
        <v>366</v>
      </c>
      <c r="C72" s="11">
        <v>55</v>
      </c>
      <c r="D72" s="11" t="s">
        <v>85</v>
      </c>
      <c r="F72" s="276" t="s">
        <v>689</v>
      </c>
      <c r="G72" s="11" t="s">
        <v>38</v>
      </c>
      <c r="H72" s="11" t="s">
        <v>531</v>
      </c>
      <c r="I72" s="11" t="s">
        <v>562</v>
      </c>
      <c r="K72" s="172"/>
      <c r="L72" s="169">
        <v>57200</v>
      </c>
      <c r="M72" s="169"/>
      <c r="N72" s="169">
        <v>57200</v>
      </c>
      <c r="O72" s="169"/>
      <c r="P72" s="169">
        <f>VLOOKUP($B72&amp;$D72&amp;$F72&amp;$G72,'CIP Details'!$A$10:$V$363,15,0)</f>
        <v>53600</v>
      </c>
      <c r="Q72" s="169"/>
      <c r="R72" s="169">
        <f>VLOOKUP($B72&amp;$D72&amp;$F72&amp;$G72,'CIP Details'!$A$10:$V$363,15,0)</f>
        <v>53600</v>
      </c>
      <c r="S72" s="169"/>
      <c r="T72" s="169">
        <f>VLOOKUP($B72&amp;$D72&amp;$F72&amp;$G72,'CIP Details'!$A$10:$V$363,15,0)</f>
        <v>53600</v>
      </c>
    </row>
    <row r="73" spans="1:20" ht="30" x14ac:dyDescent="0.25">
      <c r="A73" s="114" t="str">
        <f>B73&amp;D73&amp;F73&amp;G73</f>
        <v>Parks, Recreation &amp; LibrariesSenior Center9 Passenger Van (carryover capital from FY19 when Town was not awarded grant)Capital</v>
      </c>
      <c r="B73" s="11" t="s">
        <v>366</v>
      </c>
      <c r="C73" s="11">
        <v>55</v>
      </c>
      <c r="D73" s="11" t="s">
        <v>85</v>
      </c>
      <c r="F73" s="276" t="s">
        <v>690</v>
      </c>
      <c r="G73" s="11" t="s">
        <v>533</v>
      </c>
      <c r="H73" s="11" t="s">
        <v>531</v>
      </c>
      <c r="I73" s="11" t="s">
        <v>562</v>
      </c>
      <c r="K73" s="172"/>
      <c r="L73" s="169">
        <v>12800</v>
      </c>
      <c r="M73" s="169"/>
      <c r="N73" s="169">
        <v>12800</v>
      </c>
      <c r="O73" s="169"/>
      <c r="P73" s="169">
        <f>VLOOKUP($B73&amp;$D73&amp;$F73&amp;$G73,'CIP Details'!$A$10:$V$363,15,0)</f>
        <v>15201</v>
      </c>
      <c r="Q73" s="169"/>
      <c r="R73" s="169">
        <f>VLOOKUP($B73&amp;$D73&amp;$F73&amp;$G73,'CIP Details'!$A$10:$V$363,15,0)</f>
        <v>15201</v>
      </c>
      <c r="S73" s="169"/>
      <c r="T73" s="169">
        <f>VLOOKUP($B73&amp;$D73&amp;$F73&amp;$G73,'CIP Details'!$A$10:$V$363,15,0)</f>
        <v>15201</v>
      </c>
    </row>
    <row r="74" spans="1:20" x14ac:dyDescent="0.25">
      <c r="C74" s="11"/>
      <c r="K74" s="172"/>
      <c r="L74" s="169"/>
      <c r="M74" s="169"/>
      <c r="N74" s="169"/>
      <c r="O74" s="169"/>
      <c r="P74" s="169"/>
      <c r="Q74" s="169"/>
      <c r="R74" s="169"/>
      <c r="S74" s="169"/>
      <c r="T74" s="169"/>
    </row>
    <row r="75" spans="1:20" x14ac:dyDescent="0.25">
      <c r="A75" s="114" t="str">
        <f t="shared" ref="A75:A85" si="11">B75&amp;D75&amp;F75&amp;G75</f>
        <v>SchoolsSchoolsSidewalks - WillardGF</v>
      </c>
      <c r="B75" s="11" t="s">
        <v>1</v>
      </c>
      <c r="C75" s="11">
        <v>61</v>
      </c>
      <c r="D75" s="11" t="s">
        <v>1</v>
      </c>
      <c r="F75" s="276" t="s">
        <v>729</v>
      </c>
      <c r="G75" s="11" t="s">
        <v>16</v>
      </c>
      <c r="H75" s="11" t="s">
        <v>531</v>
      </c>
      <c r="I75" s="11" t="s">
        <v>537</v>
      </c>
      <c r="K75" s="172"/>
      <c r="L75" s="169">
        <v>150000</v>
      </c>
      <c r="M75" s="169"/>
      <c r="N75" s="169">
        <v>0</v>
      </c>
      <c r="O75" s="169"/>
      <c r="P75" s="169">
        <f>VLOOKUP($B75&amp;$D75&amp;$F75&amp;$G75,'CIP Details'!$A$10:$V$363,15,0)</f>
        <v>0</v>
      </c>
      <c r="Q75" s="169"/>
      <c r="R75" s="169">
        <f>VLOOKUP($B75&amp;$D75&amp;$F75&amp;$G75,'CIP Details'!$A$10:$V$363,15,0)</f>
        <v>0</v>
      </c>
      <c r="S75" s="169"/>
      <c r="T75" s="169">
        <f>VLOOKUP($B75&amp;$D75&amp;$F75&amp;$G75,'CIP Details'!$A$10:$V$363,15,0)</f>
        <v>0</v>
      </c>
    </row>
    <row r="76" spans="1:20" x14ac:dyDescent="0.25">
      <c r="A76" s="114" t="str">
        <f t="shared" ref="A76" si="12">B76&amp;D76&amp;F76&amp;G76</f>
        <v>SchoolsSchoolsParking Lot - WillardLoCIP</v>
      </c>
      <c r="B76" s="11" t="s">
        <v>1</v>
      </c>
      <c r="C76" s="11">
        <v>61</v>
      </c>
      <c r="D76" s="11" t="s">
        <v>1</v>
      </c>
      <c r="F76" s="318" t="s">
        <v>700</v>
      </c>
      <c r="G76" s="11" t="s">
        <v>37</v>
      </c>
      <c r="K76" s="172"/>
      <c r="L76" s="169">
        <v>0</v>
      </c>
      <c r="M76" s="169"/>
      <c r="N76" s="169">
        <v>200000</v>
      </c>
      <c r="O76" s="169"/>
      <c r="P76" s="169">
        <f>VLOOKUP($B76&amp;$D76&amp;$F76&amp;$G76,'CIP Details'!$A$10:$V$363,15,0)</f>
        <v>0</v>
      </c>
      <c r="Q76" s="169"/>
      <c r="R76" s="169">
        <f>VLOOKUP($B76&amp;$D76&amp;$F76&amp;$G76,'CIP Details'!$A$10:$V$363,15,0)</f>
        <v>0</v>
      </c>
      <c r="S76" s="169"/>
      <c r="T76" s="169">
        <f>VLOOKUP($B76&amp;$D76&amp;$F76&amp;$G76,'CIP Details'!$A$10:$V$363,15,0)</f>
        <v>0</v>
      </c>
    </row>
    <row r="77" spans="1:20" x14ac:dyDescent="0.25">
      <c r="A77" s="114" t="str">
        <f t="shared" si="11"/>
        <v>SchoolsSchoolsMasonry Repointing - WillardGF</v>
      </c>
      <c r="B77" s="11" t="s">
        <v>1</v>
      </c>
      <c r="C77" s="11">
        <v>61</v>
      </c>
      <c r="D77" s="11" t="s">
        <v>1</v>
      </c>
      <c r="F77" s="276" t="s">
        <v>718</v>
      </c>
      <c r="G77" s="11" t="s">
        <v>16</v>
      </c>
      <c r="H77" s="11" t="s">
        <v>531</v>
      </c>
      <c r="I77" s="11" t="s">
        <v>537</v>
      </c>
      <c r="K77" s="172"/>
      <c r="L77" s="169">
        <v>50000</v>
      </c>
      <c r="M77" s="169"/>
      <c r="N77" s="169">
        <v>0</v>
      </c>
      <c r="O77" s="169"/>
      <c r="P77" s="169">
        <f>VLOOKUP($B77&amp;$D77&amp;$F77&amp;$G77,'CIP Details'!$A$10:$V$363,15,0)</f>
        <v>0</v>
      </c>
      <c r="Q77" s="169"/>
      <c r="R77" s="169">
        <f>VLOOKUP($B77&amp;$D77&amp;$F77&amp;$G77,'CIP Details'!$A$10:$V$363,15,0)</f>
        <v>0</v>
      </c>
      <c r="S77" s="169"/>
      <c r="T77" s="169">
        <f>VLOOKUP($B77&amp;$D77&amp;$F77&amp;$G77,'CIP Details'!$A$10:$V$363,15,0)</f>
        <v>0</v>
      </c>
    </row>
    <row r="78" spans="1:20" x14ac:dyDescent="0.25">
      <c r="A78" s="114" t="str">
        <f t="shared" si="11"/>
        <v>SchoolsSchoolsFire Alarm Upgrades - HubbardGF</v>
      </c>
      <c r="B78" s="11" t="s">
        <v>1</v>
      </c>
      <c r="C78" s="11">
        <v>61</v>
      </c>
      <c r="D78" s="11" t="s">
        <v>1</v>
      </c>
      <c r="F78" s="200" t="s">
        <v>201</v>
      </c>
      <c r="G78" s="123" t="s">
        <v>16</v>
      </c>
      <c r="H78" s="11" t="s">
        <v>531</v>
      </c>
      <c r="I78" s="220" t="s">
        <v>537</v>
      </c>
      <c r="K78" s="172"/>
      <c r="L78" s="169">
        <v>150000</v>
      </c>
      <c r="M78" s="169"/>
      <c r="N78" s="169">
        <v>150000</v>
      </c>
      <c r="O78" s="169"/>
      <c r="P78" s="169" t="e">
        <f>VLOOKUP($B78&amp;$D78&amp;$F78&amp;$G78,'CIP Details'!$A$10:$V$363,15,0)</f>
        <v>#N/A</v>
      </c>
      <c r="Q78" s="169"/>
      <c r="R78" s="169" t="e">
        <f>VLOOKUP($B78&amp;$D78&amp;$F78&amp;$G78,'CIP Details'!$A$10:$V$363,15,0)</f>
        <v>#N/A</v>
      </c>
      <c r="S78" s="169"/>
      <c r="T78" s="169" t="e">
        <f>VLOOKUP($B78&amp;$D78&amp;$F78&amp;$G78,'CIP Details'!$A$10:$V$363,15,0)</f>
        <v>#N/A</v>
      </c>
    </row>
    <row r="79" spans="1:20" x14ac:dyDescent="0.25">
      <c r="A79" s="114" t="str">
        <f t="shared" si="11"/>
        <v>SchoolsSchoolsVans - capitalGF</v>
      </c>
      <c r="B79" s="11" t="s">
        <v>1</v>
      </c>
      <c r="C79" s="11">
        <v>61</v>
      </c>
      <c r="D79" s="11" t="s">
        <v>1</v>
      </c>
      <c r="F79" s="276" t="s">
        <v>506</v>
      </c>
      <c r="G79" s="11" t="s">
        <v>16</v>
      </c>
      <c r="H79" s="11" t="s">
        <v>522</v>
      </c>
      <c r="K79" s="172"/>
      <c r="L79" s="169">
        <v>110000</v>
      </c>
      <c r="M79" s="169"/>
      <c r="N79" s="169">
        <v>110000</v>
      </c>
      <c r="O79" s="169"/>
      <c r="P79" s="169">
        <f>VLOOKUP($B79&amp;$D79&amp;$F79&amp;$G79,'CIP Details'!$A$10:$V$363,15,0)</f>
        <v>0</v>
      </c>
      <c r="Q79" s="169"/>
      <c r="R79" s="169">
        <f>VLOOKUP($B79&amp;$D79&amp;$F79&amp;$G79,'CIP Details'!$A$10:$V$363,15,0)</f>
        <v>0</v>
      </c>
      <c r="S79" s="169"/>
      <c r="T79" s="169">
        <f>VLOOKUP($B79&amp;$D79&amp;$F79&amp;$G79,'CIP Details'!$A$10:$V$363,15,0)</f>
        <v>0</v>
      </c>
    </row>
    <row r="80" spans="1:20" x14ac:dyDescent="0.25">
      <c r="A80" s="114" t="str">
        <f t="shared" si="11"/>
        <v>SchoolsSchoolsSecurity VehicleGF</v>
      </c>
      <c r="B80" s="11" t="s">
        <v>1</v>
      </c>
      <c r="C80" s="11">
        <v>61</v>
      </c>
      <c r="D80" s="11" t="s">
        <v>1</v>
      </c>
      <c r="F80" s="276" t="s">
        <v>925</v>
      </c>
      <c r="G80" s="11" t="s">
        <v>16</v>
      </c>
      <c r="K80" s="172"/>
      <c r="L80" s="169">
        <v>50000</v>
      </c>
      <c r="M80" s="169"/>
      <c r="N80" s="169">
        <v>10000</v>
      </c>
      <c r="O80" s="169"/>
      <c r="P80" s="169">
        <f>VLOOKUP($B80&amp;$D80&amp;$F80&amp;$G80,'CIP Details'!$A$10:$V$363,15,0)</f>
        <v>0</v>
      </c>
      <c r="Q80" s="169"/>
      <c r="R80" s="169">
        <f>VLOOKUP($B80&amp;$D80&amp;$F80&amp;$G80,'CIP Details'!$A$10:$V$363,15,0)</f>
        <v>0</v>
      </c>
      <c r="S80" s="169"/>
      <c r="T80" s="169">
        <f>VLOOKUP($B80&amp;$D80&amp;$F80&amp;$G80,'CIP Details'!$A$10:$V$363,15,0)</f>
        <v>0</v>
      </c>
    </row>
    <row r="81" spans="1:20" x14ac:dyDescent="0.25">
      <c r="A81" s="114" t="str">
        <f t="shared" si="11"/>
        <v>SchoolsSchoolsField Improvements - Garrity &amp; Pulcini Fields @ GriswoldGF</v>
      </c>
      <c r="B81" s="11" t="s">
        <v>1</v>
      </c>
      <c r="C81" s="11">
        <v>61</v>
      </c>
      <c r="D81" s="11" t="s">
        <v>1</v>
      </c>
      <c r="F81" s="276" t="s">
        <v>915</v>
      </c>
      <c r="G81" s="11" t="s">
        <v>16</v>
      </c>
      <c r="K81" s="172"/>
      <c r="L81" s="169">
        <v>88000</v>
      </c>
      <c r="M81" s="169"/>
      <c r="N81" s="169">
        <v>0</v>
      </c>
      <c r="O81" s="169"/>
      <c r="P81" s="169">
        <f>VLOOKUP($B81&amp;$D81&amp;$F81&amp;$G81,'CIP Details'!$A$10:$V$363,15,0)</f>
        <v>0</v>
      </c>
      <c r="Q81" s="169"/>
      <c r="R81" s="169">
        <f>VLOOKUP($B81&amp;$D81&amp;$F81&amp;$G81,'CIP Details'!$A$10:$V$363,15,0)</f>
        <v>0</v>
      </c>
      <c r="S81" s="169"/>
      <c r="T81" s="169">
        <f>VLOOKUP($B81&amp;$D81&amp;$F81&amp;$G81,'CIP Details'!$A$10:$V$363,15,0)</f>
        <v>0</v>
      </c>
    </row>
    <row r="82" spans="1:20" x14ac:dyDescent="0.25">
      <c r="A82" s="114" t="str">
        <f t="shared" si="11"/>
        <v>SchoolsSchoolsHVAC - WillardBond</v>
      </c>
      <c r="B82" s="11" t="s">
        <v>1</v>
      </c>
      <c r="C82" s="11">
        <v>61</v>
      </c>
      <c r="D82" s="11" t="s">
        <v>1</v>
      </c>
      <c r="F82" s="200" t="s">
        <v>240</v>
      </c>
      <c r="G82" s="123" t="s">
        <v>19</v>
      </c>
      <c r="K82" s="172"/>
      <c r="L82" s="169">
        <v>2500000</v>
      </c>
      <c r="M82" s="169"/>
      <c r="N82" s="169">
        <v>2500000</v>
      </c>
      <c r="O82" s="169"/>
      <c r="P82" s="169">
        <f>VLOOKUP($B82&amp;$D82&amp;$F82&amp;$G82,'CIP Details'!$A$10:$V$363,15,0)</f>
        <v>0</v>
      </c>
      <c r="Q82" s="169"/>
      <c r="R82" s="169">
        <f>VLOOKUP($B82&amp;$D82&amp;$F82&amp;$G82,'CIP Details'!$A$10:$V$363,15,0)</f>
        <v>0</v>
      </c>
      <c r="S82" s="169"/>
      <c r="T82" s="169">
        <f>VLOOKUP($B82&amp;$D82&amp;$F82&amp;$G82,'CIP Details'!$A$10:$V$363,15,0)</f>
        <v>0</v>
      </c>
    </row>
    <row r="83" spans="1:20" x14ac:dyDescent="0.25">
      <c r="A83" s="114" t="str">
        <f t="shared" ref="A83" si="13">B83&amp;D83&amp;F83&amp;G83</f>
        <v>SchoolsSchoolsBHS - Biscoglio Field - upgrade to syntheticBond</v>
      </c>
      <c r="B83" s="11" t="s">
        <v>1</v>
      </c>
      <c r="C83" s="11">
        <v>61</v>
      </c>
      <c r="D83" s="11" t="s">
        <v>1</v>
      </c>
      <c r="F83" s="297" t="s">
        <v>912</v>
      </c>
      <c r="G83" s="11" t="s">
        <v>19</v>
      </c>
      <c r="K83" s="172"/>
      <c r="L83" s="169">
        <v>1870000</v>
      </c>
      <c r="M83" s="169"/>
      <c r="N83" s="169">
        <v>0</v>
      </c>
      <c r="O83" s="169"/>
      <c r="P83" s="169">
        <f>VLOOKUP($B83&amp;$D83&amp;$F83&amp;$G83,'CIP Details'!$A$10:$V$363,15,0)</f>
        <v>0</v>
      </c>
      <c r="Q83" s="169"/>
      <c r="R83" s="169">
        <f>VLOOKUP($B83&amp;$D83&amp;$F83&amp;$G83,'CIP Details'!$A$10:$V$363,15,0)</f>
        <v>0</v>
      </c>
      <c r="S83" s="169"/>
      <c r="T83" s="169">
        <f>VLOOKUP($B83&amp;$D83&amp;$F83&amp;$G83,'CIP Details'!$A$10:$V$363,15,0)</f>
        <v>0</v>
      </c>
    </row>
    <row r="84" spans="1:20" x14ac:dyDescent="0.25">
      <c r="A84" s="114" t="str">
        <f t="shared" si="11"/>
        <v>SchoolsSchoolsWillard Renovations - site &amp; buildingGF</v>
      </c>
      <c r="B84" s="11" t="s">
        <v>1</v>
      </c>
      <c r="C84" s="11">
        <v>61</v>
      </c>
      <c r="D84" s="11" t="s">
        <v>1</v>
      </c>
      <c r="F84" s="200" t="s">
        <v>509</v>
      </c>
      <c r="G84" s="123" t="s">
        <v>16</v>
      </c>
      <c r="H84" s="11" t="s">
        <v>531</v>
      </c>
      <c r="K84" s="172"/>
      <c r="L84" s="169">
        <v>150000</v>
      </c>
      <c r="M84" s="169"/>
      <c r="N84" s="169">
        <v>0</v>
      </c>
      <c r="O84" s="169"/>
      <c r="P84" s="169">
        <f>VLOOKUP($B84&amp;$D84&amp;$F84&amp;$G84,'CIP Details'!$A$10:$V$363,15,0)</f>
        <v>0</v>
      </c>
      <c r="Q84" s="169"/>
      <c r="R84" s="169">
        <f>VLOOKUP($B84&amp;$D84&amp;$F84&amp;$G84,'CIP Details'!$A$10:$V$363,15,0)</f>
        <v>0</v>
      </c>
      <c r="S84" s="169"/>
      <c r="T84" s="169">
        <f>VLOOKUP($B84&amp;$D84&amp;$F84&amp;$G84,'CIP Details'!$A$10:$V$363,15,0)</f>
        <v>0</v>
      </c>
    </row>
    <row r="85" spans="1:20" x14ac:dyDescent="0.25">
      <c r="A85" s="114" t="str">
        <f t="shared" si="11"/>
        <v>SchoolsSchoolsLighting control upgrades - BHSGrants</v>
      </c>
      <c r="B85" s="11" t="s">
        <v>1</v>
      </c>
      <c r="C85" s="11">
        <v>61</v>
      </c>
      <c r="D85" s="11" t="s">
        <v>1</v>
      </c>
      <c r="F85" s="200" t="s">
        <v>704</v>
      </c>
      <c r="G85" s="123" t="s">
        <v>38</v>
      </c>
      <c r="H85" s="11" t="s">
        <v>531</v>
      </c>
      <c r="K85" s="172"/>
      <c r="L85" s="169">
        <v>100000</v>
      </c>
      <c r="M85" s="169"/>
      <c r="N85" s="169">
        <v>0</v>
      </c>
      <c r="O85" s="169"/>
      <c r="P85" s="169">
        <f>VLOOKUP($B85&amp;$D85&amp;$F85&amp;$G85,'CIP Details'!$A$10:$V$363,15,0)</f>
        <v>0</v>
      </c>
      <c r="Q85" s="169"/>
      <c r="R85" s="169">
        <f>VLOOKUP($B85&amp;$D85&amp;$F85&amp;$G85,'CIP Details'!$A$10:$V$363,15,0)</f>
        <v>0</v>
      </c>
      <c r="S85" s="169"/>
      <c r="T85" s="169">
        <f>VLOOKUP($B85&amp;$D85&amp;$F85&amp;$G85,'CIP Details'!$A$10:$V$363,15,0)</f>
        <v>0</v>
      </c>
    </row>
    <row r="86" spans="1:20" x14ac:dyDescent="0.25">
      <c r="A86" s="114" t="str">
        <f t="shared" ref="A86:A96" si="14">B86&amp;D86&amp;F86&amp;G86</f>
        <v>SchoolsSchoolsMcGee Rooftop Unit 1GF</v>
      </c>
      <c r="B86" s="11" t="s">
        <v>1</v>
      </c>
      <c r="C86" s="11">
        <v>61</v>
      </c>
      <c r="D86" s="11" t="s">
        <v>1</v>
      </c>
      <c r="F86" s="200" t="s">
        <v>722</v>
      </c>
      <c r="G86" s="123" t="s">
        <v>16</v>
      </c>
      <c r="H86" s="11" t="s">
        <v>531</v>
      </c>
      <c r="K86" s="172"/>
      <c r="L86" s="169">
        <v>225000</v>
      </c>
      <c r="M86" s="169"/>
      <c r="N86" s="169">
        <v>225000</v>
      </c>
      <c r="O86" s="169"/>
      <c r="P86" s="169">
        <f>VLOOKUP($B86&amp;$D86&amp;$F86&amp;$G86,'CIP Details'!$A$10:$V$363,15,0)</f>
        <v>0</v>
      </c>
      <c r="Q86" s="169"/>
      <c r="R86" s="169">
        <f>VLOOKUP($B86&amp;$D86&amp;$F86&amp;$G86,'CIP Details'!$A$10:$V$363,15,0)</f>
        <v>0</v>
      </c>
      <c r="S86" s="169"/>
      <c r="T86" s="169">
        <f>VLOOKUP($B86&amp;$D86&amp;$F86&amp;$G86,'CIP Details'!$A$10:$V$363,15,0)</f>
        <v>0</v>
      </c>
    </row>
    <row r="87" spans="1:20" x14ac:dyDescent="0.25">
      <c r="A87" s="114" t="str">
        <f t="shared" si="14"/>
        <v>SchoolsSchoolsSecurity Cameras (Griswold)GF</v>
      </c>
      <c r="B87" s="11" t="s">
        <v>1</v>
      </c>
      <c r="C87" s="11">
        <v>61</v>
      </c>
      <c r="D87" s="11" t="s">
        <v>1</v>
      </c>
      <c r="F87" s="276" t="s">
        <v>951</v>
      </c>
      <c r="G87" s="11" t="s">
        <v>16</v>
      </c>
      <c r="H87" s="11" t="s">
        <v>531</v>
      </c>
      <c r="K87" s="172"/>
      <c r="L87" s="169">
        <v>110000</v>
      </c>
      <c r="M87" s="169"/>
      <c r="N87" s="169">
        <v>0</v>
      </c>
      <c r="O87" s="169"/>
      <c r="P87" s="169">
        <f>VLOOKUP($B87&amp;$D87&amp;$F87&amp;$G87,'CIP Details'!$A$10:$V$363,15,0)</f>
        <v>0</v>
      </c>
      <c r="Q87" s="169"/>
      <c r="R87" s="169">
        <f>VLOOKUP($B87&amp;$D87&amp;$F87&amp;$G87,'CIP Details'!$A$10:$V$363,15,0)</f>
        <v>0</v>
      </c>
      <c r="S87" s="169"/>
      <c r="T87" s="169">
        <f>VLOOKUP($B87&amp;$D87&amp;$F87&amp;$G87,'CIP Details'!$A$10:$V$363,15,0)</f>
        <v>0</v>
      </c>
    </row>
    <row r="88" spans="1:20" x14ac:dyDescent="0.25">
      <c r="A88" s="114" t="str">
        <f t="shared" si="14"/>
        <v>SchoolsSchoolsEmergency Notification SystemGrants</v>
      </c>
      <c r="B88" s="11" t="s">
        <v>1</v>
      </c>
      <c r="C88" s="11">
        <v>61</v>
      </c>
      <c r="D88" s="11" t="s">
        <v>1</v>
      </c>
      <c r="F88" s="276" t="s">
        <v>933</v>
      </c>
      <c r="G88" s="11" t="s">
        <v>38</v>
      </c>
      <c r="K88" s="172"/>
      <c r="L88" s="169">
        <v>25000</v>
      </c>
      <c r="M88" s="169"/>
      <c r="N88" s="169">
        <v>25000</v>
      </c>
      <c r="O88" s="169"/>
      <c r="P88" s="169">
        <f>VLOOKUP($B88&amp;$D88&amp;$F88&amp;$G88,'CIP Details'!$A$10:$V$363,15,0)</f>
        <v>0</v>
      </c>
      <c r="Q88" s="169"/>
      <c r="R88" s="169">
        <f>VLOOKUP($B88&amp;$D88&amp;$F88&amp;$G88,'CIP Details'!$A$10:$V$363,15,0)</f>
        <v>0</v>
      </c>
      <c r="S88" s="169"/>
      <c r="T88" s="169">
        <f>VLOOKUP($B88&amp;$D88&amp;$F88&amp;$G88,'CIP Details'!$A$10:$V$363,15,0)</f>
        <v>0</v>
      </c>
    </row>
    <row r="89" spans="1:20" x14ac:dyDescent="0.25">
      <c r="A89" s="114" t="str">
        <f t="shared" si="14"/>
        <v>SchoolsSchoolsRadio System - district-wide for security guardsGrants</v>
      </c>
      <c r="B89" s="11" t="s">
        <v>1</v>
      </c>
      <c r="C89" s="11">
        <v>61</v>
      </c>
      <c r="D89" s="11" t="s">
        <v>1</v>
      </c>
      <c r="F89" s="276" t="s">
        <v>952</v>
      </c>
      <c r="G89" s="11" t="s">
        <v>38</v>
      </c>
      <c r="K89" s="172"/>
      <c r="L89" s="169">
        <v>100000</v>
      </c>
      <c r="M89" s="169"/>
      <c r="N89" s="169">
        <v>100000</v>
      </c>
      <c r="O89" s="169"/>
      <c r="P89" s="169">
        <f>VLOOKUP($B89&amp;$D89&amp;$F89&amp;$G89,'CIP Details'!$A$10:$V$363,15,0)</f>
        <v>170000</v>
      </c>
      <c r="Q89" s="169"/>
      <c r="R89" s="169">
        <f>VLOOKUP($B89&amp;$D89&amp;$F89&amp;$G89,'CIP Details'!$A$10:$V$363,15,0)</f>
        <v>170000</v>
      </c>
      <c r="S89" s="169"/>
      <c r="T89" s="169">
        <f>VLOOKUP($B89&amp;$D89&amp;$F89&amp;$G89,'CIP Details'!$A$10:$V$363,15,0)</f>
        <v>170000</v>
      </c>
    </row>
    <row r="90" spans="1:20" x14ac:dyDescent="0.25">
      <c r="A90" s="114" t="str">
        <f t="shared" si="14"/>
        <v>SchoolsSchoolsMcGee Library Media Center (Lighting, Carpeting)GF</v>
      </c>
      <c r="B90" s="11" t="s">
        <v>1</v>
      </c>
      <c r="C90" s="11">
        <v>61</v>
      </c>
      <c r="D90" s="11" t="s">
        <v>1</v>
      </c>
      <c r="F90" s="200" t="s">
        <v>926</v>
      </c>
      <c r="G90" s="123" t="s">
        <v>16</v>
      </c>
      <c r="K90" s="172"/>
      <c r="L90" s="169">
        <v>82000</v>
      </c>
      <c r="M90" s="169"/>
      <c r="N90" s="169">
        <v>0</v>
      </c>
      <c r="O90" s="169"/>
      <c r="P90" s="169" t="e">
        <f>VLOOKUP($B90&amp;$D90&amp;$F90&amp;$G90,'CIP Details'!$A$10:$V$363,15,0)</f>
        <v>#N/A</v>
      </c>
      <c r="Q90" s="169"/>
      <c r="R90" s="169" t="e">
        <f>VLOOKUP($B90&amp;$D90&amp;$F90&amp;$G90,'CIP Details'!$A$10:$V$363,15,0)</f>
        <v>#N/A</v>
      </c>
      <c r="S90" s="169"/>
      <c r="T90" s="169" t="e">
        <f>VLOOKUP($B90&amp;$D90&amp;$F90&amp;$G90,'CIP Details'!$A$10:$V$363,15,0)</f>
        <v>#N/A</v>
      </c>
    </row>
    <row r="91" spans="1:20" x14ac:dyDescent="0.25">
      <c r="A91" s="114" t="str">
        <f t="shared" si="14"/>
        <v>SchoolsSchoolsMcGee Middle School (Television Studio)GF</v>
      </c>
      <c r="B91" s="11" t="s">
        <v>1</v>
      </c>
      <c r="C91" s="11">
        <v>61</v>
      </c>
      <c r="D91" s="11" t="s">
        <v>1</v>
      </c>
      <c r="F91" s="200" t="s">
        <v>929</v>
      </c>
      <c r="G91" s="123" t="s">
        <v>16</v>
      </c>
      <c r="K91" s="172"/>
      <c r="L91" s="169">
        <v>25000</v>
      </c>
      <c r="M91" s="169"/>
      <c r="N91" s="169">
        <v>0</v>
      </c>
      <c r="O91" s="169"/>
      <c r="P91" s="169" t="e">
        <f>VLOOKUP($B91&amp;$D91&amp;$F91&amp;$G91,'CIP Details'!$A$10:$V$363,15,0)</f>
        <v>#N/A</v>
      </c>
      <c r="Q91" s="169"/>
      <c r="R91" s="169" t="e">
        <f>VLOOKUP($B91&amp;$D91&amp;$F91&amp;$G91,'CIP Details'!$A$10:$V$363,15,0)</f>
        <v>#N/A</v>
      </c>
      <c r="S91" s="169"/>
      <c r="T91" s="169" t="e">
        <f>VLOOKUP($B91&amp;$D91&amp;$F91&amp;$G91,'CIP Details'!$A$10:$V$363,15,0)</f>
        <v>#N/A</v>
      </c>
    </row>
    <row r="92" spans="1:20" x14ac:dyDescent="0.25">
      <c r="A92" s="114" t="str">
        <f t="shared" si="14"/>
        <v>SchoolsSchoolsHubbard Elementary School (Lighting)GF</v>
      </c>
      <c r="B92" s="11" t="s">
        <v>1</v>
      </c>
      <c r="C92" s="11">
        <v>61</v>
      </c>
      <c r="D92" s="11" t="s">
        <v>1</v>
      </c>
      <c r="F92" s="200" t="s">
        <v>927</v>
      </c>
      <c r="G92" s="123" t="s">
        <v>16</v>
      </c>
      <c r="K92" s="172"/>
      <c r="L92" s="169">
        <v>30000</v>
      </c>
      <c r="M92" s="169"/>
      <c r="N92" s="169">
        <v>0</v>
      </c>
      <c r="O92" s="169"/>
      <c r="P92" s="169" t="e">
        <f>VLOOKUP($B92&amp;$D92&amp;$F92&amp;$G92,'CIP Details'!$A$10:$V$363,15,0)</f>
        <v>#N/A</v>
      </c>
      <c r="Q92" s="169"/>
      <c r="R92" s="169" t="e">
        <f>VLOOKUP($B92&amp;$D92&amp;$F92&amp;$G92,'CIP Details'!$A$10:$V$363,15,0)</f>
        <v>#N/A</v>
      </c>
      <c r="S92" s="169"/>
      <c r="T92" s="169" t="e">
        <f>VLOOKUP($B92&amp;$D92&amp;$F92&amp;$G92,'CIP Details'!$A$10:$V$363,15,0)</f>
        <v>#N/A</v>
      </c>
    </row>
    <row r="93" spans="1:20" x14ac:dyDescent="0.25">
      <c r="A93" s="114" t="str">
        <f t="shared" si="14"/>
        <v>SchoolsSchoolsHubbard Library Media Center (Carpeting, Millwork)GF</v>
      </c>
      <c r="B93" s="11" t="s">
        <v>1</v>
      </c>
      <c r="C93" s="11">
        <v>61</v>
      </c>
      <c r="D93" s="11" t="s">
        <v>1</v>
      </c>
      <c r="F93" s="200" t="s">
        <v>928</v>
      </c>
      <c r="G93" s="123" t="s">
        <v>16</v>
      </c>
      <c r="K93" s="172"/>
      <c r="L93" s="169">
        <v>62000</v>
      </c>
      <c r="M93" s="169"/>
      <c r="N93" s="169">
        <v>0</v>
      </c>
      <c r="O93" s="169"/>
      <c r="P93" s="169" t="e">
        <f>VLOOKUP($B93&amp;$D93&amp;$F93&amp;$G93,'CIP Details'!$A$10:$V$363,15,0)</f>
        <v>#N/A</v>
      </c>
      <c r="Q93" s="169"/>
      <c r="R93" s="169" t="e">
        <f>VLOOKUP($B93&amp;$D93&amp;$F93&amp;$G93,'CIP Details'!$A$10:$V$363,15,0)</f>
        <v>#N/A</v>
      </c>
      <c r="S93" s="169"/>
      <c r="T93" s="169" t="e">
        <f>VLOOKUP($B93&amp;$D93&amp;$F93&amp;$G93,'CIP Details'!$A$10:$V$363,15,0)</f>
        <v>#N/A</v>
      </c>
    </row>
    <row r="94" spans="1:20" x14ac:dyDescent="0.25">
      <c r="A94" s="114" t="str">
        <f t="shared" si="14"/>
        <v>SchoolsSchoolsFloor Tiles (Griswold, Hubbard, Willard)GF</v>
      </c>
      <c r="B94" s="11" t="s">
        <v>1</v>
      </c>
      <c r="C94" s="11">
        <v>61</v>
      </c>
      <c r="D94" s="11" t="s">
        <v>1</v>
      </c>
      <c r="F94" s="200" t="s">
        <v>930</v>
      </c>
      <c r="G94" s="123" t="s">
        <v>16</v>
      </c>
      <c r="K94" s="172"/>
      <c r="L94" s="169">
        <v>75000</v>
      </c>
      <c r="M94" s="169"/>
      <c r="N94" s="169">
        <v>0</v>
      </c>
      <c r="O94" s="169"/>
      <c r="P94" s="169" t="e">
        <f>VLOOKUP($B94&amp;$D94&amp;$F94&amp;$G94,'CIP Details'!$A$10:$V$363,15,0)</f>
        <v>#N/A</v>
      </c>
      <c r="Q94" s="169"/>
      <c r="R94" s="169" t="e">
        <f>VLOOKUP($B94&amp;$D94&amp;$F94&amp;$G94,'CIP Details'!$A$10:$V$363,15,0)</f>
        <v>#N/A</v>
      </c>
      <c r="S94" s="169"/>
      <c r="T94" s="169" t="e">
        <f>VLOOKUP($B94&amp;$D94&amp;$F94&amp;$G94,'CIP Details'!$A$10:$V$363,15,0)</f>
        <v>#N/A</v>
      </c>
    </row>
    <row r="95" spans="1:20" ht="30" x14ac:dyDescent="0.25">
      <c r="A95" s="114" t="str">
        <f t="shared" si="14"/>
        <v>SchoolsSchoolsOffice Reconfiguration (Griswold, Hubbard, McGee, Willard) - included in FY21 Transfers within GF budgetGrants</v>
      </c>
      <c r="B95" s="11" t="s">
        <v>1</v>
      </c>
      <c r="C95" s="11">
        <v>61</v>
      </c>
      <c r="D95" s="11" t="s">
        <v>1</v>
      </c>
      <c r="F95" s="200" t="s">
        <v>1107</v>
      </c>
      <c r="G95" s="123" t="s">
        <v>38</v>
      </c>
      <c r="K95" s="172"/>
      <c r="L95" s="169">
        <v>75000</v>
      </c>
      <c r="M95" s="169"/>
      <c r="N95" s="169">
        <v>0</v>
      </c>
      <c r="O95" s="169"/>
      <c r="P95" s="169">
        <v>0</v>
      </c>
      <c r="Q95" s="169"/>
      <c r="R95" s="169" t="e">
        <f>VLOOKUP($B95&amp;$D95&amp;$F95&amp;$G95,'CIP Details'!$A$10:$V$363,15,0)</f>
        <v>#N/A</v>
      </c>
      <c r="S95" s="169"/>
      <c r="T95" s="169" t="e">
        <f>VLOOKUP($B95&amp;$D95&amp;$F95&amp;$G95,'CIP Details'!$A$10:$V$363,15,0)</f>
        <v>#N/A</v>
      </c>
    </row>
    <row r="96" spans="1:20" x14ac:dyDescent="0.25">
      <c r="A96" s="114" t="str">
        <f t="shared" si="14"/>
        <v>SchoolsSchoolsLavatory Upgrades (Griswold, Hubbard, Willard)GF</v>
      </c>
      <c r="B96" s="11" t="s">
        <v>1</v>
      </c>
      <c r="C96" s="11">
        <v>61</v>
      </c>
      <c r="D96" s="11" t="s">
        <v>1</v>
      </c>
      <c r="F96" s="200" t="s">
        <v>932</v>
      </c>
      <c r="G96" s="123" t="s">
        <v>16</v>
      </c>
      <c r="K96" s="172"/>
      <c r="L96" s="169">
        <v>25000</v>
      </c>
      <c r="M96" s="169"/>
      <c r="N96" s="169">
        <v>0</v>
      </c>
      <c r="O96" s="169"/>
      <c r="P96" s="169" t="e">
        <f>VLOOKUP($B96&amp;$D96&amp;$F96&amp;$G96,'CIP Details'!$A$10:$V$363,15,0)</f>
        <v>#N/A</v>
      </c>
      <c r="Q96" s="169"/>
      <c r="R96" s="169" t="e">
        <f>VLOOKUP($B96&amp;$D96&amp;$F96&amp;$G96,'CIP Details'!$A$10:$V$363,15,0)</f>
        <v>#N/A</v>
      </c>
      <c r="S96" s="169"/>
      <c r="T96" s="169" t="e">
        <f>VLOOKUP($B96&amp;$D96&amp;$F96&amp;$G96,'CIP Details'!$A$10:$V$363,15,0)</f>
        <v>#N/A</v>
      </c>
    </row>
    <row r="97" spans="3:20" x14ac:dyDescent="0.25">
      <c r="C97" s="220"/>
      <c r="D97" s="220"/>
      <c r="E97" s="221"/>
      <c r="F97" s="203"/>
      <c r="G97" s="220"/>
      <c r="H97" s="220"/>
      <c r="I97" s="220"/>
      <c r="J97" s="221"/>
      <c r="K97" s="223"/>
      <c r="L97" s="220"/>
      <c r="M97" s="222"/>
      <c r="N97" s="220"/>
      <c r="O97" s="222"/>
      <c r="P97" s="220"/>
      <c r="Q97" s="222"/>
      <c r="R97" s="220"/>
      <c r="S97" s="222"/>
      <c r="T97" s="220"/>
    </row>
    <row r="98" spans="3:20" ht="15.75" thickBot="1" x14ac:dyDescent="0.3">
      <c r="E98" s="121"/>
      <c r="G98" s="117" t="s">
        <v>479</v>
      </c>
      <c r="H98" s="117"/>
      <c r="I98" s="117"/>
      <c r="J98" s="121"/>
      <c r="K98" s="173"/>
      <c r="L98" s="122">
        <f>SUM(L9:L96)</f>
        <v>21345965</v>
      </c>
      <c r="M98" s="282"/>
      <c r="N98" s="122">
        <f>SUM(N9:N96)</f>
        <v>13654400</v>
      </c>
      <c r="O98" s="282"/>
      <c r="P98" s="122" t="e">
        <f>SUM(P9:P96)</f>
        <v>#N/A</v>
      </c>
      <c r="Q98" s="282"/>
      <c r="R98" s="122" t="e">
        <f>SUM(R9:R96)</f>
        <v>#N/A</v>
      </c>
      <c r="S98" s="282"/>
      <c r="T98" s="122" t="e">
        <f>SUM(T9:T96)</f>
        <v>#N/A</v>
      </c>
    </row>
    <row r="99" spans="3:20" ht="15.75" thickTop="1" x14ac:dyDescent="0.25">
      <c r="K99" s="172"/>
      <c r="L99" s="115"/>
      <c r="M99" s="169"/>
      <c r="N99" s="115"/>
      <c r="O99" s="169"/>
      <c r="P99" s="115"/>
      <c r="Q99" s="169"/>
      <c r="R99" s="115"/>
      <c r="S99" s="169"/>
      <c r="T99" s="115"/>
    </row>
    <row r="100" spans="3:20" x14ac:dyDescent="0.25">
      <c r="D100" s="123"/>
      <c r="E100" s="124"/>
      <c r="F100" s="128"/>
      <c r="G100" s="85"/>
      <c r="H100" s="128"/>
      <c r="I100" s="85"/>
      <c r="J100" s="128"/>
      <c r="K100" s="225"/>
      <c r="L100" s="224" t="str">
        <f>L8</f>
        <v>Requested</v>
      </c>
      <c r="M100" s="283"/>
      <c r="N100" s="224" t="str">
        <f>N8</f>
        <v>Committee</v>
      </c>
      <c r="O100" s="283"/>
      <c r="P100" s="224" t="str">
        <f>P8</f>
        <v>Town Mgr</v>
      </c>
      <c r="Q100" s="283"/>
      <c r="R100" s="224" t="str">
        <f>R8</f>
        <v>BOF</v>
      </c>
      <c r="S100" s="283"/>
      <c r="T100" s="224" t="str">
        <f>T8</f>
        <v>TC</v>
      </c>
    </row>
    <row r="101" spans="3:20" x14ac:dyDescent="0.25">
      <c r="D101" s="123"/>
      <c r="E101" s="124"/>
      <c r="F101" s="128" t="s">
        <v>16</v>
      </c>
      <c r="G101" s="85"/>
      <c r="H101" s="128" t="s">
        <v>16</v>
      </c>
      <c r="I101" s="85"/>
      <c r="J101" s="128"/>
      <c r="K101" s="172"/>
      <c r="L101" s="226">
        <f>SUMIF($G$9:$G$96,$H101,L$9:L$96)+L68+L88+L89+L53+L95+L85</f>
        <v>6976965</v>
      </c>
      <c r="M101" s="169"/>
      <c r="N101" s="226">
        <f t="shared" ref="N101:N109" si="15">SUMIF($G$9:$G$96,$H101,N$9:N$96)</f>
        <v>2235400</v>
      </c>
      <c r="O101" s="169"/>
      <c r="P101" s="226" t="e">
        <f t="shared" ref="P101:P109" si="16">SUMIF($G$9:$G$96,$H101,P$9:P$96)</f>
        <v>#N/A</v>
      </c>
      <c r="Q101" s="169"/>
      <c r="R101" s="226" t="e">
        <f t="shared" ref="R101:R109" si="17">SUMIF($G$9:$G$96,$H101,R$9:R$96)</f>
        <v>#N/A</v>
      </c>
      <c r="S101" s="169"/>
      <c r="T101" s="226" t="e">
        <f t="shared" ref="T101:T109" si="18">SUMIF($G$9:$G$96,$H101,T$9:T$96)</f>
        <v>#N/A</v>
      </c>
    </row>
    <row r="102" spans="3:20" x14ac:dyDescent="0.25">
      <c r="D102" s="123"/>
      <c r="E102" s="124"/>
      <c r="F102" s="128" t="s">
        <v>1036</v>
      </c>
      <c r="G102" s="85"/>
      <c r="H102" s="128" t="s">
        <v>1036</v>
      </c>
      <c r="I102" s="85"/>
      <c r="J102" s="128"/>
      <c r="K102" s="172"/>
      <c r="L102" s="226">
        <f>SUMIF($G$9:$G$96,$H102,L$9:L$96)-L68</f>
        <v>0</v>
      </c>
      <c r="M102" s="169"/>
      <c r="N102" s="226">
        <f t="shared" si="15"/>
        <v>495000</v>
      </c>
      <c r="O102" s="169"/>
      <c r="P102" s="226" t="e">
        <f t="shared" si="16"/>
        <v>#N/A</v>
      </c>
      <c r="Q102" s="169"/>
      <c r="R102" s="226" t="e">
        <f t="shared" si="17"/>
        <v>#N/A</v>
      </c>
      <c r="S102" s="169"/>
      <c r="T102" s="226" t="e">
        <f t="shared" si="18"/>
        <v>#N/A</v>
      </c>
    </row>
    <row r="103" spans="3:20" x14ac:dyDescent="0.25">
      <c r="D103" s="123"/>
      <c r="E103" s="124"/>
      <c r="F103" s="128" t="s">
        <v>37</v>
      </c>
      <c r="G103" s="85"/>
      <c r="H103" s="128" t="s">
        <v>37</v>
      </c>
      <c r="I103" s="85"/>
      <c r="J103" s="128"/>
      <c r="K103" s="172"/>
      <c r="L103" s="226">
        <f>SUMIF($G$9:$G$96,$H103,L$9:L$96)</f>
        <v>0</v>
      </c>
      <c r="M103" s="169"/>
      <c r="N103" s="226">
        <f t="shared" si="15"/>
        <v>200000</v>
      </c>
      <c r="O103" s="169"/>
      <c r="P103" s="226">
        <f t="shared" si="16"/>
        <v>0</v>
      </c>
      <c r="Q103" s="169"/>
      <c r="R103" s="226">
        <f t="shared" si="17"/>
        <v>0</v>
      </c>
      <c r="S103" s="169"/>
      <c r="T103" s="226">
        <f t="shared" si="18"/>
        <v>0</v>
      </c>
    </row>
    <row r="104" spans="3:20" x14ac:dyDescent="0.25">
      <c r="D104" s="123"/>
      <c r="E104" s="124"/>
      <c r="F104" s="128" t="s">
        <v>858</v>
      </c>
      <c r="G104" s="85"/>
      <c r="H104" s="128" t="s">
        <v>858</v>
      </c>
      <c r="I104" s="85"/>
      <c r="J104" s="128"/>
      <c r="K104" s="172"/>
      <c r="L104" s="226">
        <f>SUMIF($G$9:$G$96,$H104,L$9:L$96)</f>
        <v>185000</v>
      </c>
      <c r="M104" s="169"/>
      <c r="N104" s="226">
        <f t="shared" si="15"/>
        <v>185000</v>
      </c>
      <c r="O104" s="169"/>
      <c r="P104" s="226">
        <f t="shared" si="16"/>
        <v>130000</v>
      </c>
      <c r="Q104" s="169"/>
      <c r="R104" s="226">
        <f t="shared" si="17"/>
        <v>130000</v>
      </c>
      <c r="S104" s="169"/>
      <c r="T104" s="226">
        <f t="shared" si="18"/>
        <v>130000</v>
      </c>
    </row>
    <row r="105" spans="3:20" x14ac:dyDescent="0.25">
      <c r="D105" s="123"/>
      <c r="E105" s="124"/>
      <c r="F105" s="128" t="s">
        <v>38</v>
      </c>
      <c r="G105" s="85"/>
      <c r="H105" s="128" t="s">
        <v>38</v>
      </c>
      <c r="I105" s="85"/>
      <c r="J105" s="128"/>
      <c r="K105" s="172"/>
      <c r="L105" s="226">
        <f>SUMIF($G$9:$G$96,$H105,L$9:L$96)-L88-L89-L95-L85</f>
        <v>5151200</v>
      </c>
      <c r="M105" s="169"/>
      <c r="N105" s="226">
        <f t="shared" si="15"/>
        <v>5276200</v>
      </c>
      <c r="O105" s="169"/>
      <c r="P105" s="226">
        <f t="shared" si="16"/>
        <v>4531600</v>
      </c>
      <c r="Q105" s="169"/>
      <c r="R105" s="226" t="e">
        <f t="shared" si="17"/>
        <v>#N/A</v>
      </c>
      <c r="S105" s="169"/>
      <c r="T105" s="226" t="e">
        <f t="shared" si="18"/>
        <v>#N/A</v>
      </c>
    </row>
    <row r="106" spans="3:20" x14ac:dyDescent="0.25">
      <c r="D106" s="123"/>
      <c r="E106" s="124"/>
      <c r="F106" s="128" t="s">
        <v>19</v>
      </c>
      <c r="G106" s="85"/>
      <c r="H106" s="128" t="s">
        <v>19</v>
      </c>
      <c r="I106" s="85"/>
      <c r="J106" s="128"/>
      <c r="K106" s="172"/>
      <c r="L106" s="226">
        <f>SUMIF($G$9:$G$96,$H106,L$9:L$96)</f>
        <v>8570000</v>
      </c>
      <c r="M106" s="169"/>
      <c r="N106" s="226">
        <f t="shared" si="15"/>
        <v>4700000</v>
      </c>
      <c r="O106" s="169"/>
      <c r="P106" s="226" t="e">
        <f t="shared" si="16"/>
        <v>#N/A</v>
      </c>
      <c r="Q106" s="169"/>
      <c r="R106" s="226" t="e">
        <f t="shared" si="17"/>
        <v>#N/A</v>
      </c>
      <c r="S106" s="169"/>
      <c r="T106" s="226" t="e">
        <f t="shared" si="18"/>
        <v>#N/A</v>
      </c>
    </row>
    <row r="107" spans="3:20" x14ac:dyDescent="0.25">
      <c r="D107" s="123"/>
      <c r="E107" s="124"/>
      <c r="F107" s="128" t="s">
        <v>243</v>
      </c>
      <c r="G107" s="85"/>
      <c r="H107" s="128" t="s">
        <v>243</v>
      </c>
      <c r="I107" s="85"/>
      <c r="J107" s="128"/>
      <c r="K107" s="172"/>
      <c r="L107" s="226">
        <f>SUMIF($G$9:$G$96,$H107,L$9:L$96)-L53</f>
        <v>450000</v>
      </c>
      <c r="M107" s="169"/>
      <c r="N107" s="226">
        <f t="shared" si="15"/>
        <v>550000</v>
      </c>
      <c r="O107" s="169"/>
      <c r="P107" s="226">
        <f t="shared" si="16"/>
        <v>495000</v>
      </c>
      <c r="Q107" s="169"/>
      <c r="R107" s="226">
        <f t="shared" si="17"/>
        <v>495000</v>
      </c>
      <c r="S107" s="169"/>
      <c r="T107" s="226">
        <f t="shared" si="18"/>
        <v>495000</v>
      </c>
    </row>
    <row r="108" spans="3:20" x14ac:dyDescent="0.25">
      <c r="D108" s="123"/>
      <c r="E108" s="124"/>
      <c r="F108" s="128" t="s">
        <v>13</v>
      </c>
      <c r="G108" s="85"/>
      <c r="H108" s="128" t="s">
        <v>13</v>
      </c>
      <c r="I108" s="85"/>
      <c r="J108" s="128"/>
      <c r="K108" s="172"/>
      <c r="L108" s="226">
        <f>SUMIF($G$9:$G$96,$H108,L$9:L$96)</f>
        <v>0</v>
      </c>
      <c r="M108" s="169"/>
      <c r="N108" s="226">
        <f t="shared" si="15"/>
        <v>0</v>
      </c>
      <c r="O108" s="169"/>
      <c r="P108" s="226">
        <f t="shared" si="16"/>
        <v>0</v>
      </c>
      <c r="Q108" s="169"/>
      <c r="R108" s="226">
        <f t="shared" si="17"/>
        <v>0</v>
      </c>
      <c r="S108" s="169"/>
      <c r="T108" s="226">
        <f t="shared" si="18"/>
        <v>0</v>
      </c>
    </row>
    <row r="109" spans="3:20" x14ac:dyDescent="0.25">
      <c r="D109" s="123"/>
      <c r="E109" s="124"/>
      <c r="F109" s="128" t="s">
        <v>533</v>
      </c>
      <c r="G109" s="85"/>
      <c r="H109" s="128" t="s">
        <v>533</v>
      </c>
      <c r="I109" s="85"/>
      <c r="J109" s="128"/>
      <c r="K109" s="172"/>
      <c r="L109" s="226">
        <f>SUMIF($G$9:$G$96,$H109,L$9:L$96)</f>
        <v>12800</v>
      </c>
      <c r="M109" s="169"/>
      <c r="N109" s="226">
        <f t="shared" si="15"/>
        <v>12800</v>
      </c>
      <c r="O109" s="169"/>
      <c r="P109" s="226">
        <f t="shared" si="16"/>
        <v>15201</v>
      </c>
      <c r="Q109" s="169"/>
      <c r="R109" s="226">
        <f t="shared" si="17"/>
        <v>15201</v>
      </c>
      <c r="S109" s="169"/>
      <c r="T109" s="226">
        <f t="shared" si="18"/>
        <v>15201</v>
      </c>
    </row>
    <row r="110" spans="3:20" ht="15.75" thickBot="1" x14ac:dyDescent="0.3">
      <c r="D110" s="123"/>
      <c r="E110" s="124"/>
      <c r="F110" s="128"/>
      <c r="G110" s="85"/>
      <c r="H110" s="128"/>
      <c r="I110" s="85"/>
      <c r="J110" s="128"/>
      <c r="K110" s="171"/>
      <c r="L110" s="227">
        <f t="shared" ref="L110:N110" si="19">SUM(L101:L109)</f>
        <v>21345965</v>
      </c>
      <c r="M110" s="218"/>
      <c r="N110" s="227">
        <f t="shared" si="19"/>
        <v>13654400</v>
      </c>
      <c r="O110" s="218"/>
      <c r="P110" s="227" t="e">
        <f t="shared" ref="P110" si="20">SUM(P101:P109)</f>
        <v>#N/A</v>
      </c>
      <c r="Q110" s="218"/>
      <c r="R110" s="227" t="e">
        <f t="shared" ref="R110" si="21">SUM(R101:R109)</f>
        <v>#N/A</v>
      </c>
      <c r="S110" s="218"/>
      <c r="T110" s="227" t="e">
        <f t="shared" ref="T110" si="22">SUM(T101:T109)</f>
        <v>#N/A</v>
      </c>
    </row>
    <row r="111" spans="3:20" ht="15.75" thickTop="1" x14ac:dyDescent="0.25">
      <c r="D111" s="123"/>
      <c r="E111" s="124"/>
      <c r="F111" s="114"/>
      <c r="G111" s="123"/>
      <c r="H111" s="114"/>
      <c r="K111" s="174"/>
      <c r="L111" s="117" t="str">
        <f t="shared" ref="L111:N111" si="23">IF(L110=L98,"","ERROR")</f>
        <v/>
      </c>
      <c r="M111" s="284"/>
      <c r="N111" s="117" t="str">
        <f t="shared" si="23"/>
        <v/>
      </c>
      <c r="O111" s="284"/>
      <c r="P111" s="117" t="e">
        <f t="shared" ref="P111" si="24">IF(P110=P98,"","ERROR")</f>
        <v>#N/A</v>
      </c>
      <c r="Q111" s="284"/>
      <c r="R111" s="117" t="e">
        <f t="shared" ref="R111" si="25">IF(R110=R98,"","ERROR")</f>
        <v>#N/A</v>
      </c>
      <c r="S111" s="284"/>
      <c r="T111" s="117" t="e">
        <f t="shared" ref="T111" si="26">IF(T110=T98,"","ERROR")</f>
        <v>#N/A</v>
      </c>
    </row>
    <row r="112" spans="3:20" x14ac:dyDescent="0.25">
      <c r="D112" s="123"/>
      <c r="E112" s="124"/>
      <c r="F112" s="137" t="s">
        <v>542</v>
      </c>
      <c r="G112" s="277"/>
      <c r="H112" s="137" t="s">
        <v>542</v>
      </c>
      <c r="I112" s="138"/>
      <c r="J112" s="137"/>
      <c r="K112" s="175"/>
      <c r="L112" s="136">
        <f t="shared" ref="L112:N112" si="27">L101/L110</f>
        <v>0.32685170241776373</v>
      </c>
      <c r="M112" s="285"/>
      <c r="N112" s="136">
        <f t="shared" si="27"/>
        <v>0.16371279587532225</v>
      </c>
      <c r="O112" s="285"/>
      <c r="P112" s="136" t="e">
        <f t="shared" ref="P112" si="28">P101/P110</f>
        <v>#N/A</v>
      </c>
      <c r="Q112" s="285"/>
      <c r="R112" s="136" t="e">
        <f t="shared" ref="R112" si="29">R101/R110</f>
        <v>#N/A</v>
      </c>
      <c r="S112" s="285"/>
      <c r="T112" s="136" t="e">
        <f t="shared" ref="T112" si="30">T101/T110</f>
        <v>#N/A</v>
      </c>
    </row>
    <row r="113" spans="4:20" x14ac:dyDescent="0.25">
      <c r="D113" s="123"/>
      <c r="E113" s="124"/>
      <c r="F113" s="114"/>
      <c r="G113" s="123"/>
      <c r="H113" s="114"/>
      <c r="K113" s="172"/>
      <c r="M113" s="124"/>
      <c r="O113" s="124"/>
      <c r="Q113" s="124"/>
      <c r="S113" s="124"/>
    </row>
    <row r="114" spans="4:20" x14ac:dyDescent="0.25">
      <c r="D114" s="123"/>
      <c r="E114" s="124"/>
      <c r="F114" s="119"/>
      <c r="G114" s="118"/>
      <c r="H114" s="119"/>
      <c r="I114" s="118"/>
      <c r="J114" s="119"/>
      <c r="K114" s="225"/>
      <c r="L114" s="228" t="str">
        <f t="shared" ref="L114:N114" si="31">L100</f>
        <v>Requested</v>
      </c>
      <c r="M114" s="283"/>
      <c r="N114" s="228" t="str">
        <f t="shared" si="31"/>
        <v>Committee</v>
      </c>
      <c r="O114" s="283"/>
      <c r="P114" s="228" t="str">
        <f t="shared" ref="P114" si="32">P100</f>
        <v>Town Mgr</v>
      </c>
      <c r="Q114" s="283"/>
      <c r="R114" s="228" t="str">
        <f t="shared" ref="R114" si="33">R100</f>
        <v>BOF</v>
      </c>
      <c r="S114" s="283"/>
      <c r="T114" s="228" t="str">
        <f t="shared" ref="T114" si="34">T100</f>
        <v>TC</v>
      </c>
    </row>
    <row r="115" spans="4:20" x14ac:dyDescent="0.25">
      <c r="D115" s="123"/>
      <c r="E115" s="124"/>
      <c r="F115" s="229" t="s">
        <v>314</v>
      </c>
      <c r="G115" s="229"/>
      <c r="H115" s="229" t="s">
        <v>314</v>
      </c>
      <c r="I115" s="229"/>
      <c r="J115" s="119"/>
      <c r="K115" s="172"/>
      <c r="L115" s="230">
        <f t="shared" ref="L115:L121" si="35">SUMIF($B$9:$B$96,$H115,L$9:L$96)</f>
        <v>0</v>
      </c>
      <c r="M115" s="169"/>
      <c r="N115" s="230">
        <f t="shared" ref="N115:N121" si="36">SUMIF($B$9:$B$96,$H115,N$9:N$96)</f>
        <v>0</v>
      </c>
      <c r="O115" s="169"/>
      <c r="P115" s="230">
        <f t="shared" ref="P115:P121" si="37">SUMIF($B$9:$B$96,$H115,P$9:P$96)</f>
        <v>0</v>
      </c>
      <c r="Q115" s="169"/>
      <c r="R115" s="230">
        <f t="shared" ref="R115:R121" si="38">SUMIF($B$9:$B$96,$H115,R$9:R$96)</f>
        <v>0</v>
      </c>
      <c r="S115" s="169"/>
      <c r="T115" s="230">
        <f t="shared" ref="T115:T121" si="39">SUMIF($B$9:$B$96,$H115,T$9:T$96)</f>
        <v>0</v>
      </c>
    </row>
    <row r="116" spans="4:20" x14ac:dyDescent="0.25">
      <c r="D116" s="123"/>
      <c r="E116" s="124"/>
      <c r="F116" s="229" t="s">
        <v>316</v>
      </c>
      <c r="G116" s="229"/>
      <c r="H116" s="229" t="s">
        <v>316</v>
      </c>
      <c r="I116" s="229"/>
      <c r="J116" s="119"/>
      <c r="K116" s="172"/>
      <c r="L116" s="230">
        <f t="shared" si="35"/>
        <v>700000</v>
      </c>
      <c r="M116" s="169"/>
      <c r="N116" s="230">
        <f t="shared" si="36"/>
        <v>0</v>
      </c>
      <c r="O116" s="169"/>
      <c r="P116" s="230">
        <f t="shared" si="37"/>
        <v>0</v>
      </c>
      <c r="Q116" s="169"/>
      <c r="R116" s="230">
        <f t="shared" si="38"/>
        <v>0</v>
      </c>
      <c r="S116" s="169"/>
      <c r="T116" s="230">
        <f t="shared" si="39"/>
        <v>0</v>
      </c>
    </row>
    <row r="117" spans="4:20" x14ac:dyDescent="0.25">
      <c r="D117" s="123"/>
      <c r="E117" s="124"/>
      <c r="F117" s="229" t="s">
        <v>315</v>
      </c>
      <c r="G117" s="229"/>
      <c r="H117" s="229" t="s">
        <v>315</v>
      </c>
      <c r="I117" s="229"/>
      <c r="J117" s="119"/>
      <c r="K117" s="172"/>
      <c r="L117" s="230">
        <f t="shared" si="35"/>
        <v>2191000</v>
      </c>
      <c r="M117" s="169"/>
      <c r="N117" s="230">
        <f t="shared" si="36"/>
        <v>1011000</v>
      </c>
      <c r="O117" s="169"/>
      <c r="P117" s="230" t="e">
        <f t="shared" si="37"/>
        <v>#N/A</v>
      </c>
      <c r="Q117" s="169"/>
      <c r="R117" s="230" t="e">
        <f t="shared" si="38"/>
        <v>#N/A</v>
      </c>
      <c r="S117" s="169"/>
      <c r="T117" s="230" t="e">
        <f t="shared" si="39"/>
        <v>#N/A</v>
      </c>
    </row>
    <row r="118" spans="4:20" x14ac:dyDescent="0.25">
      <c r="D118" s="123"/>
      <c r="E118" s="124"/>
      <c r="F118" s="229" t="s">
        <v>365</v>
      </c>
      <c r="G118" s="229"/>
      <c r="H118" s="229" t="s">
        <v>365</v>
      </c>
      <c r="I118" s="229"/>
      <c r="J118" s="119"/>
      <c r="K118" s="172"/>
      <c r="L118" s="230">
        <f t="shared" si="35"/>
        <v>11094400</v>
      </c>
      <c r="M118" s="169"/>
      <c r="N118" s="230">
        <f t="shared" si="36"/>
        <v>8508400</v>
      </c>
      <c r="O118" s="169"/>
      <c r="P118" s="230" t="e">
        <f t="shared" si="37"/>
        <v>#N/A</v>
      </c>
      <c r="Q118" s="169"/>
      <c r="R118" s="230" t="e">
        <f t="shared" si="38"/>
        <v>#N/A</v>
      </c>
      <c r="S118" s="169"/>
      <c r="T118" s="230" t="e">
        <f t="shared" si="39"/>
        <v>#N/A</v>
      </c>
    </row>
    <row r="119" spans="4:20" x14ac:dyDescent="0.25">
      <c r="D119" s="123"/>
      <c r="E119" s="124"/>
      <c r="F119" s="229" t="s">
        <v>366</v>
      </c>
      <c r="G119" s="229"/>
      <c r="H119" s="229" t="s">
        <v>366</v>
      </c>
      <c r="I119" s="229"/>
      <c r="J119" s="119"/>
      <c r="K119" s="172"/>
      <c r="L119" s="230">
        <f t="shared" si="35"/>
        <v>1308565</v>
      </c>
      <c r="M119" s="169"/>
      <c r="N119" s="230">
        <f t="shared" si="36"/>
        <v>815000</v>
      </c>
      <c r="O119" s="169"/>
      <c r="P119" s="230" t="e">
        <f t="shared" si="37"/>
        <v>#N/A</v>
      </c>
      <c r="Q119" s="169"/>
      <c r="R119" s="230" t="e">
        <f t="shared" si="38"/>
        <v>#N/A</v>
      </c>
      <c r="S119" s="169"/>
      <c r="T119" s="230" t="e">
        <f t="shared" si="39"/>
        <v>#N/A</v>
      </c>
    </row>
    <row r="120" spans="4:20" x14ac:dyDescent="0.25">
      <c r="D120" s="123"/>
      <c r="E120" s="124"/>
      <c r="F120" s="229" t="s">
        <v>367</v>
      </c>
      <c r="G120" s="229"/>
      <c r="H120" s="229" t="s">
        <v>367</v>
      </c>
      <c r="I120" s="229"/>
      <c r="J120" s="119"/>
      <c r="K120" s="172"/>
      <c r="L120" s="230">
        <f t="shared" si="35"/>
        <v>0</v>
      </c>
      <c r="M120" s="169"/>
      <c r="N120" s="230">
        <f t="shared" si="36"/>
        <v>0</v>
      </c>
      <c r="O120" s="169"/>
      <c r="P120" s="230">
        <f t="shared" si="37"/>
        <v>0</v>
      </c>
      <c r="Q120" s="169"/>
      <c r="R120" s="230">
        <f t="shared" si="38"/>
        <v>0</v>
      </c>
      <c r="S120" s="169"/>
      <c r="T120" s="230">
        <f t="shared" si="39"/>
        <v>0</v>
      </c>
    </row>
    <row r="121" spans="4:20" x14ac:dyDescent="0.25">
      <c r="D121" s="123"/>
      <c r="E121" s="124"/>
      <c r="F121" s="229" t="s">
        <v>1</v>
      </c>
      <c r="G121" s="229"/>
      <c r="H121" s="229" t="s">
        <v>1</v>
      </c>
      <c r="I121" s="229"/>
      <c r="J121" s="119"/>
      <c r="K121" s="172"/>
      <c r="L121" s="230">
        <f t="shared" si="35"/>
        <v>6052000</v>
      </c>
      <c r="M121" s="169"/>
      <c r="N121" s="230">
        <f t="shared" si="36"/>
        <v>3320000</v>
      </c>
      <c r="O121" s="169"/>
      <c r="P121" s="230" t="e">
        <f t="shared" si="37"/>
        <v>#N/A</v>
      </c>
      <c r="Q121" s="169"/>
      <c r="R121" s="230" t="e">
        <f t="shared" si="38"/>
        <v>#N/A</v>
      </c>
      <c r="S121" s="169"/>
      <c r="T121" s="230" t="e">
        <f t="shared" si="39"/>
        <v>#N/A</v>
      </c>
    </row>
    <row r="122" spans="4:20" ht="15.75" thickBot="1" x14ac:dyDescent="0.3">
      <c r="D122" s="123"/>
      <c r="E122" s="124"/>
      <c r="F122" s="119"/>
      <c r="G122" s="118"/>
      <c r="H122" s="119"/>
      <c r="I122" s="118"/>
      <c r="J122" s="119"/>
      <c r="K122" s="171"/>
      <c r="L122" s="120">
        <f t="shared" ref="L122:N122" si="40">SUM(L115:L121)</f>
        <v>21345965</v>
      </c>
      <c r="M122" s="218"/>
      <c r="N122" s="120">
        <f t="shared" si="40"/>
        <v>13654400</v>
      </c>
      <c r="O122" s="218"/>
      <c r="P122" s="120" t="e">
        <f t="shared" ref="P122" si="41">SUM(P115:P121)</f>
        <v>#N/A</v>
      </c>
      <c r="Q122" s="218"/>
      <c r="R122" s="120" t="e">
        <f t="shared" ref="R122" si="42">SUM(R115:R121)</f>
        <v>#N/A</v>
      </c>
      <c r="S122" s="218"/>
      <c r="T122" s="120" t="e">
        <f t="shared" ref="T122" si="43">SUM(T115:T121)</f>
        <v>#N/A</v>
      </c>
    </row>
    <row r="123" spans="4:20" ht="15.75" thickTop="1" x14ac:dyDescent="0.25">
      <c r="G123" s="123"/>
      <c r="K123" s="225"/>
      <c r="L123" s="117" t="str">
        <f t="shared" ref="L123:N123" si="44">IF(L122=L98,"","ERROR")</f>
        <v/>
      </c>
      <c r="M123" s="284"/>
      <c r="N123" s="117" t="str">
        <f t="shared" si="44"/>
        <v/>
      </c>
      <c r="O123" s="284"/>
      <c r="P123" s="117" t="e">
        <f t="shared" ref="P123" si="45">IF(P122=P98,"","ERROR")</f>
        <v>#N/A</v>
      </c>
      <c r="Q123" s="284"/>
      <c r="R123" s="117" t="e">
        <f t="shared" ref="R123" si="46">IF(R122=R98,"","ERROR")</f>
        <v>#N/A</v>
      </c>
      <c r="S123" s="284"/>
      <c r="T123" s="117" t="e">
        <f t="shared" ref="T123" si="47">IF(T122=T98,"","ERROR")</f>
        <v>#N/A</v>
      </c>
    </row>
    <row r="124" spans="4:20" x14ac:dyDescent="0.25">
      <c r="F124" s="229" t="s">
        <v>314</v>
      </c>
      <c r="G124" s="118"/>
      <c r="H124" s="118"/>
      <c r="I124" s="118"/>
      <c r="J124" s="119"/>
      <c r="K124" s="225"/>
      <c r="L124" s="278">
        <f t="shared" ref="L124:L130" si="48">L115/$L$122</f>
        <v>0</v>
      </c>
      <c r="M124" s="286"/>
      <c r="N124" s="278">
        <f t="shared" ref="N124:N130" si="49">N115/$L$122</f>
        <v>0</v>
      </c>
      <c r="O124" s="286"/>
      <c r="P124" s="278">
        <f t="shared" ref="P124:P130" si="50">P115/$L$122</f>
        <v>0</v>
      </c>
      <c r="Q124" s="286"/>
      <c r="R124" s="278">
        <f t="shared" ref="R124:R130" si="51">R115/$L$122</f>
        <v>0</v>
      </c>
      <c r="S124" s="286"/>
      <c r="T124" s="278">
        <f t="shared" ref="T124:T130" si="52">T115/$L$122</f>
        <v>0</v>
      </c>
    </row>
    <row r="125" spans="4:20" x14ac:dyDescent="0.25">
      <c r="F125" s="229" t="s">
        <v>316</v>
      </c>
      <c r="G125" s="118"/>
      <c r="H125" s="118"/>
      <c r="I125" s="118"/>
      <c r="J125" s="119"/>
      <c r="K125" s="225"/>
      <c r="L125" s="278">
        <f t="shared" si="48"/>
        <v>3.2793082908174918E-2</v>
      </c>
      <c r="M125" s="286"/>
      <c r="N125" s="278">
        <f t="shared" si="49"/>
        <v>0</v>
      </c>
      <c r="O125" s="286"/>
      <c r="P125" s="278">
        <f t="shared" si="50"/>
        <v>0</v>
      </c>
      <c r="Q125" s="286"/>
      <c r="R125" s="278">
        <f t="shared" si="51"/>
        <v>0</v>
      </c>
      <c r="S125" s="286"/>
      <c r="T125" s="278">
        <f t="shared" si="52"/>
        <v>0</v>
      </c>
    </row>
    <row r="126" spans="4:20" x14ac:dyDescent="0.25">
      <c r="F126" s="229" t="s">
        <v>315</v>
      </c>
      <c r="G126" s="118"/>
      <c r="H126" s="118"/>
      <c r="I126" s="118"/>
      <c r="J126" s="119"/>
      <c r="K126" s="225"/>
      <c r="L126" s="278">
        <f t="shared" si="48"/>
        <v>0.10264234950258749</v>
      </c>
      <c r="M126" s="286"/>
      <c r="N126" s="278">
        <f t="shared" si="49"/>
        <v>4.7362581171664059E-2</v>
      </c>
      <c r="O126" s="286"/>
      <c r="P126" s="278" t="e">
        <f t="shared" si="50"/>
        <v>#N/A</v>
      </c>
      <c r="Q126" s="286"/>
      <c r="R126" s="278" t="e">
        <f t="shared" si="51"/>
        <v>#N/A</v>
      </c>
      <c r="S126" s="286"/>
      <c r="T126" s="278" t="e">
        <f t="shared" si="52"/>
        <v>#N/A</v>
      </c>
    </row>
    <row r="127" spans="4:20" x14ac:dyDescent="0.25">
      <c r="F127" s="229" t="s">
        <v>365</v>
      </c>
      <c r="G127" s="118"/>
      <c r="H127" s="118"/>
      <c r="I127" s="118"/>
      <c r="J127" s="119"/>
      <c r="K127" s="225"/>
      <c r="L127" s="278">
        <f t="shared" si="48"/>
        <v>0.51974225573779398</v>
      </c>
      <c r="M127" s="286"/>
      <c r="N127" s="278">
        <f t="shared" si="49"/>
        <v>0.39859523802273639</v>
      </c>
      <c r="O127" s="286"/>
      <c r="P127" s="278" t="e">
        <f t="shared" si="50"/>
        <v>#N/A</v>
      </c>
      <c r="Q127" s="286"/>
      <c r="R127" s="278" t="e">
        <f t="shared" si="51"/>
        <v>#N/A</v>
      </c>
      <c r="S127" s="286"/>
      <c r="T127" s="278" t="e">
        <f t="shared" si="52"/>
        <v>#N/A</v>
      </c>
    </row>
    <row r="128" spans="4:20" x14ac:dyDescent="0.25">
      <c r="F128" s="229" t="s">
        <v>366</v>
      </c>
      <c r="G128" s="118"/>
      <c r="H128" s="118"/>
      <c r="I128" s="118"/>
      <c r="J128" s="119"/>
      <c r="K128" s="225"/>
      <c r="L128" s="278">
        <f t="shared" si="48"/>
        <v>6.1302686479622732E-2</v>
      </c>
      <c r="M128" s="286"/>
      <c r="N128" s="278">
        <f t="shared" si="49"/>
        <v>3.8180517957375079E-2</v>
      </c>
      <c r="O128" s="286"/>
      <c r="P128" s="278" t="e">
        <f t="shared" si="50"/>
        <v>#N/A</v>
      </c>
      <c r="Q128" s="286"/>
      <c r="R128" s="278" t="e">
        <f t="shared" si="51"/>
        <v>#N/A</v>
      </c>
      <c r="S128" s="286"/>
      <c r="T128" s="278" t="e">
        <f t="shared" si="52"/>
        <v>#N/A</v>
      </c>
    </row>
    <row r="129" spans="4:20" x14ac:dyDescent="0.25">
      <c r="F129" s="229" t="s">
        <v>367</v>
      </c>
      <c r="G129" s="118"/>
      <c r="H129" s="118"/>
      <c r="I129" s="118"/>
      <c r="J129" s="119"/>
      <c r="K129" s="225"/>
      <c r="L129" s="278">
        <f t="shared" si="48"/>
        <v>0</v>
      </c>
      <c r="M129" s="286"/>
      <c r="N129" s="278">
        <f t="shared" si="49"/>
        <v>0</v>
      </c>
      <c r="O129" s="286"/>
      <c r="P129" s="278">
        <f t="shared" si="50"/>
        <v>0</v>
      </c>
      <c r="Q129" s="286"/>
      <c r="R129" s="278">
        <f t="shared" si="51"/>
        <v>0</v>
      </c>
      <c r="S129" s="286"/>
      <c r="T129" s="278">
        <f t="shared" si="52"/>
        <v>0</v>
      </c>
    </row>
    <row r="130" spans="4:20" x14ac:dyDescent="0.25">
      <c r="F130" s="229" t="s">
        <v>1</v>
      </c>
      <c r="G130" s="118"/>
      <c r="H130" s="118"/>
      <c r="I130" s="118"/>
      <c r="J130" s="119"/>
      <c r="K130" s="225"/>
      <c r="L130" s="278">
        <f t="shared" si="48"/>
        <v>0.28351962537182085</v>
      </c>
      <c r="M130" s="286"/>
      <c r="N130" s="278">
        <f t="shared" si="49"/>
        <v>0.15553290750734389</v>
      </c>
      <c r="O130" s="286"/>
      <c r="P130" s="278" t="e">
        <f t="shared" si="50"/>
        <v>#N/A</v>
      </c>
      <c r="Q130" s="286"/>
      <c r="R130" s="278" t="e">
        <f t="shared" si="51"/>
        <v>#N/A</v>
      </c>
      <c r="S130" s="286"/>
      <c r="T130" s="278" t="e">
        <f t="shared" si="52"/>
        <v>#N/A</v>
      </c>
    </row>
    <row r="131" spans="4:20" x14ac:dyDescent="0.25">
      <c r="M131" s="124"/>
      <c r="O131" s="124"/>
      <c r="Q131" s="124"/>
      <c r="S131" s="124"/>
    </row>
    <row r="132" spans="4:20" hidden="1" outlineLevel="1" x14ac:dyDescent="0.25">
      <c r="D132" s="287" t="s">
        <v>740</v>
      </c>
      <c r="F132" s="288" t="s">
        <v>16</v>
      </c>
      <c r="G132" s="287"/>
      <c r="H132" s="287"/>
      <c r="I132" s="287"/>
      <c r="J132" s="289"/>
      <c r="K132" s="290"/>
      <c r="L132" s="291"/>
      <c r="M132" s="124"/>
      <c r="N132" s="291"/>
      <c r="O132" s="124"/>
      <c r="P132" s="291" t="e">
        <f>P101-'CIP Details'!$O370</f>
        <v>#N/A</v>
      </c>
      <c r="Q132" s="124"/>
      <c r="R132" s="291" t="e">
        <f>R101-'CIP Details'!$O370</f>
        <v>#N/A</v>
      </c>
      <c r="S132" s="124"/>
      <c r="T132" s="291" t="e">
        <f>T101-'CIP Details'!$O370</f>
        <v>#N/A</v>
      </c>
    </row>
    <row r="133" spans="4:20" hidden="1" outlineLevel="1" x14ac:dyDescent="0.25">
      <c r="F133" s="288" t="s">
        <v>37</v>
      </c>
      <c r="G133" s="287"/>
      <c r="H133" s="287"/>
      <c r="I133" s="287"/>
      <c r="J133" s="289"/>
      <c r="K133" s="290"/>
      <c r="L133" s="291"/>
      <c r="M133" s="124"/>
      <c r="N133" s="291"/>
      <c r="O133" s="124"/>
      <c r="P133" s="291">
        <f>P103-'CIP Details'!$O372</f>
        <v>0</v>
      </c>
      <c r="Q133" s="124"/>
      <c r="R133" s="291">
        <f>R103-'CIP Details'!$O372</f>
        <v>0</v>
      </c>
      <c r="S133" s="124"/>
      <c r="T133" s="291">
        <f>T103-'CIP Details'!$O372</f>
        <v>0</v>
      </c>
    </row>
    <row r="134" spans="4:20" hidden="1" outlineLevel="1" x14ac:dyDescent="0.25">
      <c r="F134" s="288" t="s">
        <v>858</v>
      </c>
      <c r="G134" s="287"/>
      <c r="H134" s="287"/>
      <c r="I134" s="287"/>
      <c r="J134" s="289"/>
      <c r="K134" s="290"/>
      <c r="L134" s="291"/>
      <c r="M134" s="124"/>
      <c r="N134" s="291"/>
      <c r="O134" s="124"/>
      <c r="P134" s="291">
        <f>P104-'CIP Details'!$O373</f>
        <v>0</v>
      </c>
      <c r="Q134" s="124"/>
      <c r="R134" s="291">
        <f>R104-'CIP Details'!$O373</f>
        <v>0</v>
      </c>
      <c r="S134" s="124"/>
      <c r="T134" s="291">
        <f>T104-'CIP Details'!$O373</f>
        <v>0</v>
      </c>
    </row>
    <row r="135" spans="4:20" hidden="1" outlineLevel="1" x14ac:dyDescent="0.25">
      <c r="F135" s="288" t="s">
        <v>38</v>
      </c>
      <c r="G135" s="287"/>
      <c r="H135" s="287"/>
      <c r="I135" s="287"/>
      <c r="J135" s="289"/>
      <c r="K135" s="290"/>
      <c r="L135" s="291"/>
      <c r="M135" s="124"/>
      <c r="N135" s="291"/>
      <c r="O135" s="124"/>
      <c r="P135" s="291">
        <f>P105-'CIP Details'!$O374</f>
        <v>0</v>
      </c>
      <c r="Q135" s="124"/>
      <c r="R135" s="291" t="e">
        <f>R105-'CIP Details'!$O374</f>
        <v>#N/A</v>
      </c>
      <c r="S135" s="124"/>
      <c r="T135" s="291" t="e">
        <f>T105-'CIP Details'!$O374</f>
        <v>#N/A</v>
      </c>
    </row>
    <row r="136" spans="4:20" hidden="1" outlineLevel="1" x14ac:dyDescent="0.25">
      <c r="F136" s="288" t="s">
        <v>19</v>
      </c>
      <c r="G136" s="287"/>
      <c r="H136" s="287"/>
      <c r="I136" s="287"/>
      <c r="J136" s="289"/>
      <c r="K136" s="290"/>
      <c r="L136" s="291"/>
      <c r="M136" s="124"/>
      <c r="N136" s="291"/>
      <c r="O136" s="124"/>
      <c r="P136" s="291" t="e">
        <f>P106-'CIP Details'!$O375</f>
        <v>#N/A</v>
      </c>
      <c r="Q136" s="124"/>
      <c r="R136" s="291" t="e">
        <f>R106-'CIP Details'!$O375</f>
        <v>#N/A</v>
      </c>
      <c r="S136" s="124"/>
      <c r="T136" s="291" t="e">
        <f>T106-'CIP Details'!$O375</f>
        <v>#N/A</v>
      </c>
    </row>
    <row r="137" spans="4:20" hidden="1" outlineLevel="1" x14ac:dyDescent="0.25">
      <c r="F137" s="288" t="s">
        <v>243</v>
      </c>
      <c r="G137" s="287"/>
      <c r="H137" s="287"/>
      <c r="I137" s="287"/>
      <c r="J137" s="289"/>
      <c r="K137" s="290"/>
      <c r="L137" s="291"/>
      <c r="M137" s="124"/>
      <c r="N137" s="291"/>
      <c r="O137" s="124"/>
      <c r="P137" s="291">
        <f>P107-'CIP Details'!$O376</f>
        <v>0</v>
      </c>
      <c r="Q137" s="124"/>
      <c r="R137" s="291">
        <f>R107-'CIP Details'!$O376</f>
        <v>0</v>
      </c>
      <c r="S137" s="124"/>
      <c r="T137" s="291">
        <f>T107-'CIP Details'!$O376</f>
        <v>0</v>
      </c>
    </row>
    <row r="138" spans="4:20" hidden="1" outlineLevel="1" x14ac:dyDescent="0.25">
      <c r="F138" s="288" t="s">
        <v>13</v>
      </c>
      <c r="G138" s="287"/>
      <c r="H138" s="287"/>
      <c r="I138" s="287"/>
      <c r="J138" s="289"/>
      <c r="K138" s="290"/>
      <c r="L138" s="291"/>
      <c r="M138" s="124"/>
      <c r="N138" s="291"/>
      <c r="O138" s="124"/>
      <c r="P138" s="291">
        <f>P108-'CIP Details'!$O377</f>
        <v>0</v>
      </c>
      <c r="Q138" s="124"/>
      <c r="R138" s="291">
        <f>R108-'CIP Details'!$O377</f>
        <v>0</v>
      </c>
      <c r="S138" s="124"/>
      <c r="T138" s="291">
        <f>T108-'CIP Details'!$O377</f>
        <v>0</v>
      </c>
    </row>
    <row r="139" spans="4:20" hidden="1" outlineLevel="1" x14ac:dyDescent="0.25">
      <c r="F139" s="288" t="s">
        <v>533</v>
      </c>
      <c r="G139" s="287"/>
      <c r="H139" s="287"/>
      <c r="I139" s="287"/>
      <c r="J139" s="289"/>
      <c r="K139" s="290"/>
      <c r="L139" s="291"/>
      <c r="M139" s="124"/>
      <c r="N139" s="291"/>
      <c r="O139" s="124"/>
      <c r="P139" s="291">
        <f>P109-'CIP Details'!$O378</f>
        <v>-440400</v>
      </c>
      <c r="Q139" s="124"/>
      <c r="R139" s="291">
        <f>R109-'CIP Details'!$O378</f>
        <v>-440400</v>
      </c>
      <c r="S139" s="124"/>
      <c r="T139" s="291">
        <f>T109-'CIP Details'!$O378</f>
        <v>-440400</v>
      </c>
    </row>
    <row r="140" spans="4:20" collapsed="1" x14ac:dyDescent="0.25">
      <c r="M140" s="124"/>
      <c r="O140" s="124"/>
      <c r="Q140" s="124"/>
      <c r="S140" s="124"/>
    </row>
    <row r="141" spans="4:20" x14ac:dyDescent="0.25">
      <c r="M141" s="124"/>
      <c r="O141" s="124"/>
      <c r="Q141" s="124"/>
      <c r="S141" s="124"/>
    </row>
    <row r="142" spans="4:20" x14ac:dyDescent="0.25">
      <c r="M142" s="124"/>
      <c r="O142" s="124"/>
      <c r="Q142" s="124"/>
      <c r="S142" s="124"/>
    </row>
    <row r="143" spans="4:20" x14ac:dyDescent="0.25">
      <c r="M143" s="124"/>
      <c r="O143" s="124"/>
      <c r="Q143" s="124"/>
      <c r="S143" s="124"/>
    </row>
    <row r="144" spans="4:20" x14ac:dyDescent="0.25">
      <c r="M144" s="124"/>
      <c r="O144" s="124"/>
      <c r="Q144" s="124"/>
      <c r="S144" s="124"/>
    </row>
    <row r="145" spans="13:19" x14ac:dyDescent="0.25">
      <c r="M145" s="124"/>
      <c r="O145" s="124"/>
      <c r="Q145" s="124"/>
      <c r="S145" s="124"/>
    </row>
    <row r="146" spans="13:19" x14ac:dyDescent="0.25">
      <c r="M146" s="124"/>
      <c r="O146" s="124"/>
      <c r="Q146" s="124"/>
      <c r="S146" s="124"/>
    </row>
    <row r="147" spans="13:19" x14ac:dyDescent="0.25">
      <c r="M147" s="124"/>
      <c r="O147" s="124"/>
      <c r="Q147" s="124"/>
      <c r="S147" s="124"/>
    </row>
    <row r="148" spans="13:19" x14ac:dyDescent="0.25">
      <c r="M148" s="124"/>
      <c r="O148" s="124"/>
      <c r="Q148" s="124"/>
      <c r="S148" s="124"/>
    </row>
    <row r="149" spans="13:19" x14ac:dyDescent="0.25">
      <c r="M149" s="124"/>
      <c r="O149" s="124"/>
      <c r="Q149" s="124"/>
      <c r="S149" s="124"/>
    </row>
    <row r="150" spans="13:19" x14ac:dyDescent="0.25">
      <c r="M150" s="124"/>
      <c r="O150" s="124"/>
      <c r="Q150" s="124"/>
      <c r="S150" s="124"/>
    </row>
    <row r="151" spans="13:19" x14ac:dyDescent="0.25">
      <c r="M151" s="124"/>
      <c r="O151" s="124"/>
      <c r="Q151" s="124"/>
      <c r="S151" s="124"/>
    </row>
    <row r="152" spans="13:19" x14ac:dyDescent="0.25">
      <c r="M152" s="124"/>
      <c r="O152" s="124"/>
      <c r="Q152" s="124"/>
      <c r="S152" s="124"/>
    </row>
    <row r="153" spans="13:19" x14ac:dyDescent="0.25">
      <c r="M153" s="124"/>
      <c r="O153" s="124"/>
      <c r="Q153" s="124"/>
      <c r="S153" s="124"/>
    </row>
    <row r="154" spans="13:19" x14ac:dyDescent="0.25">
      <c r="M154" s="124"/>
      <c r="O154" s="124"/>
      <c r="Q154" s="124"/>
      <c r="S154" s="124"/>
    </row>
    <row r="155" spans="13:19" x14ac:dyDescent="0.25">
      <c r="M155" s="124"/>
      <c r="O155" s="124"/>
      <c r="Q155" s="124"/>
      <c r="S155" s="124"/>
    </row>
    <row r="156" spans="13:19" x14ac:dyDescent="0.25">
      <c r="M156" s="124"/>
      <c r="O156" s="124"/>
      <c r="Q156" s="124"/>
      <c r="S156" s="124"/>
    </row>
    <row r="157" spans="13:19" x14ac:dyDescent="0.25">
      <c r="M157" s="124"/>
      <c r="O157" s="124"/>
      <c r="Q157" s="124"/>
      <c r="S157" s="124"/>
    </row>
    <row r="158" spans="13:19" x14ac:dyDescent="0.25">
      <c r="M158" s="124"/>
      <c r="O158" s="124"/>
      <c r="Q158" s="124"/>
      <c r="S158" s="124"/>
    </row>
    <row r="159" spans="13:19" x14ac:dyDescent="0.25">
      <c r="M159" s="124"/>
      <c r="O159" s="124"/>
      <c r="Q159" s="124"/>
      <c r="S159" s="124"/>
    </row>
    <row r="160" spans="13:19" x14ac:dyDescent="0.25">
      <c r="M160" s="124"/>
      <c r="O160" s="124"/>
      <c r="Q160" s="124"/>
      <c r="S160" s="124"/>
    </row>
    <row r="161" spans="13:19" x14ac:dyDescent="0.25">
      <c r="M161" s="124"/>
      <c r="O161" s="124"/>
      <c r="Q161" s="124"/>
      <c r="S161" s="124"/>
    </row>
  </sheetData>
  <pageMargins left="0.4" right="0.4" top="0.4" bottom="0.4" header="0" footer="0"/>
  <pageSetup scale="68" fitToHeight="0" orientation="landscape" r:id="rId1"/>
  <headerFooter>
    <oddFooter>&amp;R&amp;D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U91"/>
  <sheetViews>
    <sheetView showGridLines="0" zoomScale="120" zoomScaleNormal="120" workbookViewId="0">
      <pane xSplit="9" ySplit="9" topLeftCell="J10" activePane="bottomRight" state="frozen"/>
      <selection activeCell="J10" sqref="J10"/>
      <selection pane="topRight" activeCell="J10" sqref="J10"/>
      <selection pane="bottomLeft" activeCell="J10" sqref="J10"/>
      <selection pane="bottomRight" activeCell="J10" sqref="J10"/>
    </sheetView>
  </sheetViews>
  <sheetFormatPr defaultColWidth="9.140625" defaultRowHeight="15" outlineLevelCol="2" x14ac:dyDescent="0.25"/>
  <cols>
    <col min="1" max="1" width="9.140625" style="114" hidden="1" customWidth="1" outlineLevel="1"/>
    <col min="2" max="2" width="35.5703125" style="11" hidden="1" customWidth="1" outlineLevel="1"/>
    <col min="3" max="3" width="8.7109375" style="114" customWidth="1" collapsed="1"/>
    <col min="4" max="4" width="22.42578125" style="11" bestFit="1" customWidth="1"/>
    <col min="5" max="5" width="2.7109375" style="114" customWidth="1"/>
    <col min="6" max="6" width="75.5703125" style="276" customWidth="1"/>
    <col min="7" max="7" width="13.7109375" style="11" bestFit="1" customWidth="1"/>
    <col min="8" max="9" width="16" style="11" hidden="1" customWidth="1" outlineLevel="2"/>
    <col min="10" max="10" width="2.7109375" style="114" customWidth="1" collapsed="1"/>
    <col min="11" max="11" width="3.7109375" style="164" customWidth="1"/>
    <col min="12" max="12" width="12.7109375" style="114" customWidth="1"/>
    <col min="13" max="13" width="2.28515625" style="124" customWidth="1"/>
    <col min="14" max="14" width="14.140625" style="114" bestFit="1" customWidth="1"/>
    <col min="15" max="15" width="2.28515625" style="114" customWidth="1"/>
    <col min="16" max="16" width="12.7109375" style="114" bestFit="1" customWidth="1"/>
    <col min="17" max="17" width="2.28515625" style="114" hidden="1" customWidth="1" outlineLevel="1"/>
    <col min="18" max="18" width="12.7109375" style="114" hidden="1" customWidth="1" outlineLevel="1"/>
    <col min="19" max="19" width="2.28515625" style="114" hidden="1" customWidth="1" outlineLevel="1"/>
    <col min="20" max="20" width="12.7109375" style="114" hidden="1" customWidth="1" outlineLevel="1"/>
    <col min="21" max="21" width="9.140625" style="114" collapsed="1"/>
    <col min="22" max="16384" width="9.140625" style="114"/>
  </cols>
  <sheetData>
    <row r="1" spans="1:20" ht="18.75" x14ac:dyDescent="0.25">
      <c r="C1" s="205" t="s">
        <v>62</v>
      </c>
      <c r="D1" s="206"/>
      <c r="E1" s="207"/>
      <c r="F1" s="198"/>
      <c r="G1" s="206"/>
      <c r="H1" s="206"/>
      <c r="I1" s="206"/>
      <c r="J1" s="207"/>
      <c r="K1" s="209"/>
      <c r="L1" s="209"/>
      <c r="M1" s="279"/>
      <c r="O1" s="209"/>
      <c r="Q1" s="209"/>
      <c r="S1" s="209"/>
    </row>
    <row r="2" spans="1:20" ht="18.75" x14ac:dyDescent="0.25">
      <c r="C2" s="205" t="s">
        <v>964</v>
      </c>
      <c r="D2" s="206"/>
      <c r="E2" s="207"/>
      <c r="F2" s="198"/>
      <c r="G2" s="206"/>
      <c r="H2" s="206"/>
      <c r="I2" s="206"/>
      <c r="J2" s="207"/>
      <c r="K2" s="209"/>
      <c r="L2" s="208"/>
      <c r="M2" s="280"/>
      <c r="O2" s="208"/>
      <c r="Q2" s="208"/>
      <c r="S2" s="208"/>
    </row>
    <row r="3" spans="1:20" ht="18.75" x14ac:dyDescent="0.25">
      <c r="C3" s="205" t="s">
        <v>965</v>
      </c>
      <c r="D3" s="206"/>
      <c r="E3" s="207"/>
      <c r="F3" s="198"/>
      <c r="G3" s="206"/>
      <c r="H3" s="206"/>
      <c r="I3" s="206"/>
      <c r="J3" s="207"/>
      <c r="K3" s="211"/>
      <c r="L3" s="210"/>
      <c r="M3" s="210"/>
      <c r="O3" s="210"/>
      <c r="Q3" s="210"/>
      <c r="S3" s="210"/>
    </row>
    <row r="4" spans="1:20" ht="18.75" x14ac:dyDescent="0.25">
      <c r="C4" s="212" t="s">
        <v>478</v>
      </c>
      <c r="D4" s="206"/>
      <c r="E4" s="207"/>
      <c r="F4" s="198"/>
      <c r="G4" s="206"/>
      <c r="H4" s="206"/>
      <c r="I4" s="206"/>
      <c r="J4" s="207"/>
      <c r="K4" s="207"/>
      <c r="L4" s="207"/>
      <c r="M4" s="210"/>
      <c r="O4" s="207"/>
      <c r="Q4" s="207"/>
      <c r="S4" s="207"/>
    </row>
    <row r="5" spans="1:20" ht="18.75" x14ac:dyDescent="0.25">
      <c r="C5" s="212"/>
      <c r="D5" s="206"/>
      <c r="E5" s="207"/>
      <c r="F5" s="198"/>
      <c r="G5" s="206"/>
      <c r="H5" s="206"/>
      <c r="I5" s="206"/>
      <c r="J5" s="207"/>
      <c r="K5" s="207"/>
      <c r="L5" s="207"/>
      <c r="M5" s="210"/>
      <c r="O5" s="207"/>
      <c r="Q5" s="207"/>
      <c r="S5" s="207"/>
    </row>
    <row r="6" spans="1:20" ht="18.75" x14ac:dyDescent="0.25">
      <c r="C6" s="212"/>
      <c r="D6" s="206"/>
      <c r="E6" s="207"/>
      <c r="F6" s="198"/>
      <c r="G6" s="206"/>
      <c r="H6" s="206"/>
      <c r="I6" s="206"/>
      <c r="J6" s="207"/>
      <c r="K6" s="207"/>
      <c r="L6" s="207"/>
      <c r="M6" s="210"/>
      <c r="O6" s="207"/>
      <c r="Q6" s="207"/>
      <c r="S6" s="207"/>
    </row>
    <row r="7" spans="1:20" ht="18.75" x14ac:dyDescent="0.25">
      <c r="C7" s="207"/>
      <c r="D7" s="206"/>
      <c r="E7" s="207"/>
      <c r="F7" s="198"/>
      <c r="G7" s="206"/>
      <c r="J7" s="207"/>
      <c r="K7" s="207"/>
      <c r="L7" s="207"/>
      <c r="M7" s="210"/>
      <c r="N7" s="213"/>
      <c r="O7" s="207"/>
      <c r="P7" s="213"/>
      <c r="Q7" s="207"/>
      <c r="R7" s="213"/>
      <c r="S7" s="207"/>
      <c r="T7" s="213"/>
    </row>
    <row r="8" spans="1:20" ht="18.75" x14ac:dyDescent="0.25">
      <c r="B8" s="165" t="s">
        <v>433</v>
      </c>
      <c r="C8" s="213" t="s">
        <v>502</v>
      </c>
      <c r="D8" s="213" t="s">
        <v>206</v>
      </c>
      <c r="E8" s="207"/>
      <c r="F8" s="199" t="s">
        <v>434</v>
      </c>
      <c r="G8" s="213" t="s">
        <v>270</v>
      </c>
      <c r="H8" s="214" t="s">
        <v>530</v>
      </c>
      <c r="I8" s="214" t="s">
        <v>536</v>
      </c>
      <c r="J8" s="207"/>
      <c r="K8" s="215"/>
      <c r="L8" s="213" t="s">
        <v>959</v>
      </c>
      <c r="M8" s="281"/>
      <c r="N8" s="213" t="s">
        <v>960</v>
      </c>
      <c r="O8" s="213"/>
      <c r="P8" s="213" t="s">
        <v>961</v>
      </c>
      <c r="Q8" s="213"/>
      <c r="R8" s="213" t="s">
        <v>962</v>
      </c>
      <c r="S8" s="213"/>
      <c r="T8" s="213" t="s">
        <v>963</v>
      </c>
    </row>
    <row r="9" spans="1:20" x14ac:dyDescent="0.25">
      <c r="C9" s="11"/>
      <c r="K9" s="172"/>
      <c r="L9" s="115"/>
      <c r="M9" s="169"/>
      <c r="O9" s="115"/>
      <c r="Q9" s="115"/>
      <c r="S9" s="115"/>
    </row>
    <row r="10" spans="1:20" x14ac:dyDescent="0.25">
      <c r="A10" s="114" t="str">
        <f t="shared" ref="A10" si="0">B10&amp;D10&amp;F10&amp;G10</f>
        <v>Community DevelopmentEconomic DevelopmentBoulevard to Train Station (supplement STEAP grant)GF</v>
      </c>
      <c r="B10" s="11" t="s">
        <v>316</v>
      </c>
      <c r="C10" s="11">
        <v>17</v>
      </c>
      <c r="D10" s="11" t="s">
        <v>440</v>
      </c>
      <c r="F10" s="276" t="s">
        <v>890</v>
      </c>
      <c r="G10" s="11" t="s">
        <v>16</v>
      </c>
      <c r="H10" s="11" t="s">
        <v>531</v>
      </c>
      <c r="K10" s="172"/>
      <c r="L10" s="169">
        <v>700000</v>
      </c>
      <c r="M10" s="169"/>
      <c r="N10" s="169">
        <v>0</v>
      </c>
      <c r="O10" s="169"/>
      <c r="P10" s="169">
        <f>VLOOKUP($B10&amp;$D10&amp;$F10&amp;$G10,'CIP Details'!$A$10:$V$363,15,0)</f>
        <v>0</v>
      </c>
      <c r="Q10" s="169"/>
      <c r="R10" s="169">
        <f>VLOOKUP($B10&amp;$D10&amp;$F10&amp;$G10,'CIP Details'!$A$10:$V$363,15,0)</f>
        <v>0</v>
      </c>
      <c r="S10" s="169"/>
      <c r="T10" s="169">
        <f>VLOOKUP($B10&amp;$D10&amp;$F10&amp;$G10,'CIP Details'!$A$10:$V$363,15,0)</f>
        <v>0</v>
      </c>
    </row>
    <row r="11" spans="1:20" x14ac:dyDescent="0.25">
      <c r="C11" s="11"/>
      <c r="K11" s="172"/>
      <c r="L11" s="169"/>
      <c r="M11" s="169"/>
      <c r="N11" s="169"/>
      <c r="O11" s="169"/>
      <c r="P11" s="169"/>
      <c r="Q11" s="169"/>
      <c r="R11" s="169"/>
      <c r="S11" s="169"/>
      <c r="T11" s="169"/>
    </row>
    <row r="12" spans="1:20" x14ac:dyDescent="0.25">
      <c r="A12" s="114" t="str">
        <f t="shared" ref="A12" si="1">B12&amp;D12&amp;F12&amp;G12</f>
        <v>Public SafetyFire DepartmentTraining TowerGF</v>
      </c>
      <c r="B12" s="11" t="s">
        <v>315</v>
      </c>
      <c r="C12" s="11">
        <v>31</v>
      </c>
      <c r="D12" s="11" t="s">
        <v>248</v>
      </c>
      <c r="F12" s="276" t="s">
        <v>152</v>
      </c>
      <c r="G12" s="11" t="s">
        <v>16</v>
      </c>
      <c r="H12" s="11" t="s">
        <v>531</v>
      </c>
      <c r="K12" s="172"/>
      <c r="L12" s="169">
        <v>300000</v>
      </c>
      <c r="M12" s="169"/>
      <c r="N12" s="169">
        <v>0</v>
      </c>
      <c r="O12" s="169"/>
      <c r="P12" s="169">
        <f>VLOOKUP($B12&amp;$D12&amp;$F12&amp;$G12,'CIP Details'!$A$10:$V$363,15,0)</f>
        <v>0</v>
      </c>
      <c r="Q12" s="169"/>
      <c r="R12" s="169">
        <f>VLOOKUP($B12&amp;$D12&amp;$F12&amp;$G12,'CIP Details'!$A$10:$V$363,15,0)</f>
        <v>0</v>
      </c>
      <c r="S12" s="169"/>
      <c r="T12" s="169">
        <f>VLOOKUP($B12&amp;$D12&amp;$F12&amp;$G12,'CIP Details'!$A$10:$V$363,15,0)</f>
        <v>0</v>
      </c>
    </row>
    <row r="13" spans="1:20" x14ac:dyDescent="0.25">
      <c r="C13" s="11"/>
      <c r="K13" s="217"/>
      <c r="L13" s="169"/>
      <c r="M13" s="169"/>
      <c r="N13" s="169"/>
      <c r="O13" s="169"/>
      <c r="P13" s="169"/>
      <c r="Q13" s="169"/>
      <c r="R13" s="169"/>
      <c r="S13" s="169"/>
      <c r="T13" s="169"/>
    </row>
    <row r="14" spans="1:20" x14ac:dyDescent="0.25">
      <c r="A14" s="114" t="str">
        <f t="shared" ref="A14:A16" si="2">B14&amp;D14&amp;F14&amp;G14</f>
        <v>Public SafetyPolice DepartmentVehicle - Patrol Units - ($50k/car w/equip; 5% incr. in out yrs)GF</v>
      </c>
      <c r="B14" s="11" t="s">
        <v>315</v>
      </c>
      <c r="C14" s="11">
        <v>32</v>
      </c>
      <c r="D14" s="11" t="s">
        <v>249</v>
      </c>
      <c r="F14" s="388" t="s">
        <v>1108</v>
      </c>
      <c r="G14" s="11" t="s">
        <v>16</v>
      </c>
      <c r="H14" s="11" t="s">
        <v>522</v>
      </c>
      <c r="I14" s="11" t="s">
        <v>640</v>
      </c>
      <c r="K14" s="172"/>
      <c r="L14" s="169">
        <v>186000</v>
      </c>
      <c r="M14" s="169"/>
      <c r="N14" s="169">
        <v>186000</v>
      </c>
      <c r="O14" s="169"/>
      <c r="P14" s="169">
        <f>VLOOKUP($B14&amp;$D14&amp;$F14&amp;$G14,'CIP Details'!$A$10:$V$363,15,0)</f>
        <v>0</v>
      </c>
      <c r="Q14" s="169"/>
      <c r="R14" s="169">
        <f>VLOOKUP($B14&amp;$D14&amp;$F14&amp;$G14,'CIP Details'!$A$10:$V$363,15,0)</f>
        <v>0</v>
      </c>
      <c r="S14" s="169"/>
      <c r="T14" s="169">
        <f>VLOOKUP($B14&amp;$D14&amp;$F14&amp;$G14,'CIP Details'!$A$10:$V$363,15,0)</f>
        <v>0</v>
      </c>
    </row>
    <row r="15" spans="1:20" x14ac:dyDescent="0.25">
      <c r="A15" s="114" t="str">
        <f t="shared" si="2"/>
        <v>Public SafetyPolice DepartmentVehicle - Unmarked/AdminGF</v>
      </c>
      <c r="B15" s="11" t="s">
        <v>315</v>
      </c>
      <c r="C15" s="11">
        <v>32</v>
      </c>
      <c r="D15" s="11" t="s">
        <v>249</v>
      </c>
      <c r="F15" s="276" t="s">
        <v>514</v>
      </c>
      <c r="G15" s="11" t="s">
        <v>16</v>
      </c>
      <c r="H15" s="11" t="s">
        <v>522</v>
      </c>
      <c r="K15" s="172"/>
      <c r="L15" s="169">
        <v>35000</v>
      </c>
      <c r="M15" s="169"/>
      <c r="N15" s="169">
        <v>0</v>
      </c>
      <c r="O15" s="169"/>
      <c r="P15" s="169" t="e">
        <f>VLOOKUP($B15&amp;$D15&amp;$F15&amp;$G15,'CIP Details'!$A$10:$V$363,15,0)</f>
        <v>#N/A</v>
      </c>
      <c r="Q15" s="169"/>
      <c r="R15" s="169" t="e">
        <f>VLOOKUP($B15&amp;$D15&amp;$F15&amp;$G15,'CIP Details'!$A$10:$V$363,15,0)</f>
        <v>#N/A</v>
      </c>
      <c r="S15" s="169"/>
      <c r="T15" s="169" t="e">
        <f>VLOOKUP($B15&amp;$D15&amp;$F15&amp;$G15,'CIP Details'!$A$10:$V$363,15,0)</f>
        <v>#N/A</v>
      </c>
    </row>
    <row r="16" spans="1:20" x14ac:dyDescent="0.25">
      <c r="A16" s="114" t="str">
        <f t="shared" si="2"/>
        <v>Public SafetyPolice DepartmentAED (Automatic External Defibrillator) replacementGF</v>
      </c>
      <c r="B16" s="11" t="s">
        <v>315</v>
      </c>
      <c r="C16" s="11">
        <v>32</v>
      </c>
      <c r="D16" s="11" t="s">
        <v>249</v>
      </c>
      <c r="F16" s="276" t="s">
        <v>891</v>
      </c>
      <c r="G16" s="11" t="s">
        <v>16</v>
      </c>
      <c r="K16" s="172"/>
      <c r="L16" s="169">
        <v>25000</v>
      </c>
      <c r="M16" s="169"/>
      <c r="N16" s="169">
        <v>25000</v>
      </c>
      <c r="O16" s="169"/>
      <c r="P16" s="169" t="e">
        <f>VLOOKUP($B16&amp;$D16&amp;$F16&amp;$G16,'CIP Details'!$A$10:$V$363,15,0)</f>
        <v>#N/A</v>
      </c>
      <c r="Q16" s="169"/>
      <c r="R16" s="169" t="e">
        <f>VLOOKUP($B16&amp;$D16&amp;$F16&amp;$G16,'CIP Details'!$A$10:$V$363,15,0)</f>
        <v>#N/A</v>
      </c>
      <c r="S16" s="169"/>
      <c r="T16" s="169" t="e">
        <f>VLOOKUP($B16&amp;$D16&amp;$F16&amp;$G16,'CIP Details'!$A$10:$V$363,15,0)</f>
        <v>#N/A</v>
      </c>
    </row>
    <row r="17" spans="1:20" x14ac:dyDescent="0.25">
      <c r="C17" s="11"/>
      <c r="K17" s="219"/>
      <c r="L17" s="218"/>
      <c r="M17" s="218"/>
      <c r="N17" s="218"/>
      <c r="O17" s="218"/>
      <c r="P17" s="218"/>
      <c r="Q17" s="218"/>
      <c r="R17" s="218"/>
      <c r="S17" s="218"/>
      <c r="T17" s="218"/>
    </row>
    <row r="18" spans="1:20" x14ac:dyDescent="0.25">
      <c r="A18" s="114" t="str">
        <f>B18&amp;D18&amp;F18&amp;G18</f>
        <v>Public SafetyAnimal ControlAnimal Control VanGF</v>
      </c>
      <c r="B18" s="11" t="s">
        <v>315</v>
      </c>
      <c r="C18" s="11">
        <v>30</v>
      </c>
      <c r="D18" s="11" t="s">
        <v>694</v>
      </c>
      <c r="F18" s="276" t="s">
        <v>695</v>
      </c>
      <c r="G18" s="11" t="s">
        <v>16</v>
      </c>
      <c r="H18" s="11" t="s">
        <v>531</v>
      </c>
      <c r="K18" s="172"/>
      <c r="L18" s="169">
        <v>45000</v>
      </c>
      <c r="M18" s="169"/>
      <c r="N18" s="169">
        <v>0</v>
      </c>
      <c r="O18" s="169"/>
      <c r="P18" s="169">
        <f>VLOOKUP($B18&amp;$D18&amp;$F18&amp;$G18,'CIP Details'!$A$10:$V$363,15,0)</f>
        <v>0</v>
      </c>
      <c r="Q18" s="169"/>
      <c r="R18" s="169">
        <f>VLOOKUP($B18&amp;$D18&amp;$F18&amp;$G18,'CIP Details'!$A$10:$V$363,15,0)</f>
        <v>0</v>
      </c>
      <c r="S18" s="169"/>
      <c r="T18" s="169">
        <f>VLOOKUP($B18&amp;$D18&amp;$F18&amp;$G18,'CIP Details'!$A$10:$V$363,15,0)</f>
        <v>0</v>
      </c>
    </row>
    <row r="19" spans="1:20" x14ac:dyDescent="0.25">
      <c r="C19" s="11"/>
      <c r="K19" s="172"/>
      <c r="L19" s="169"/>
      <c r="M19" s="169"/>
      <c r="N19" s="169"/>
      <c r="O19" s="169"/>
      <c r="P19" s="169"/>
      <c r="Q19" s="169"/>
      <c r="R19" s="169"/>
      <c r="S19" s="169"/>
      <c r="T19" s="169"/>
    </row>
    <row r="20" spans="1:20" x14ac:dyDescent="0.25">
      <c r="A20" s="114" t="str">
        <f t="shared" ref="A20:A21" si="3">B20&amp;D20&amp;F20&amp;G20</f>
        <v>Physical ServicesMunicipal GarageGantry CraneGF</v>
      </c>
      <c r="B20" s="11" t="s">
        <v>365</v>
      </c>
      <c r="C20" s="123">
        <v>35</v>
      </c>
      <c r="D20" s="11" t="s">
        <v>436</v>
      </c>
      <c r="E20" s="124"/>
      <c r="F20" s="200" t="s">
        <v>318</v>
      </c>
      <c r="G20" s="123" t="s">
        <v>16</v>
      </c>
      <c r="H20" s="11" t="s">
        <v>531</v>
      </c>
      <c r="I20" s="11" t="s">
        <v>651</v>
      </c>
      <c r="J20" s="124"/>
      <c r="K20" s="172"/>
      <c r="L20" s="169">
        <v>100000</v>
      </c>
      <c r="M20" s="169"/>
      <c r="N20" s="169">
        <v>0</v>
      </c>
      <c r="O20" s="169"/>
      <c r="P20" s="169">
        <f>VLOOKUP($B20&amp;$D20&amp;$F20&amp;$G20,'CIP Details'!$A$10:$V$363,15,0)</f>
        <v>0</v>
      </c>
      <c r="Q20" s="169"/>
      <c r="R20" s="169">
        <f>VLOOKUP($B20&amp;$D20&amp;$F20&amp;$G20,'CIP Details'!$A$10:$V$363,15,0)</f>
        <v>0</v>
      </c>
      <c r="S20" s="169"/>
      <c r="T20" s="169">
        <f>VLOOKUP($B20&amp;$D20&amp;$F20&amp;$G20,'CIP Details'!$A$10:$V$363,15,0)</f>
        <v>0</v>
      </c>
    </row>
    <row r="21" spans="1:20" x14ac:dyDescent="0.25">
      <c r="A21" s="114" t="str">
        <f t="shared" si="3"/>
        <v>Physical ServicesMunicipal Garage4 Post Vehicle LiftGF</v>
      </c>
      <c r="B21" s="11" t="s">
        <v>365</v>
      </c>
      <c r="C21" s="123">
        <v>35</v>
      </c>
      <c r="D21" s="11" t="s">
        <v>436</v>
      </c>
      <c r="E21" s="124"/>
      <c r="F21" s="200" t="s">
        <v>319</v>
      </c>
      <c r="G21" s="123" t="s">
        <v>16</v>
      </c>
      <c r="H21" s="11" t="s">
        <v>531</v>
      </c>
      <c r="I21" s="11" t="s">
        <v>651</v>
      </c>
      <c r="J21" s="124"/>
      <c r="K21" s="172"/>
      <c r="L21" s="169">
        <v>45000</v>
      </c>
      <c r="M21" s="169"/>
      <c r="N21" s="169">
        <v>0</v>
      </c>
      <c r="O21" s="169"/>
      <c r="P21" s="169" t="e">
        <f>VLOOKUP($B21&amp;$D21&amp;$F21&amp;$G21,'CIP Details'!$A$10:$V$363,15,0)</f>
        <v>#N/A</v>
      </c>
      <c r="Q21" s="169"/>
      <c r="R21" s="169" t="e">
        <f>VLOOKUP($B21&amp;$D21&amp;$F21&amp;$G21,'CIP Details'!$A$10:$V$363,15,0)</f>
        <v>#N/A</v>
      </c>
      <c r="S21" s="169"/>
      <c r="T21" s="169" t="e">
        <f>VLOOKUP($B21&amp;$D21&amp;$F21&amp;$G21,'CIP Details'!$A$10:$V$363,15,0)</f>
        <v>#N/A</v>
      </c>
    </row>
    <row r="22" spans="1:20" x14ac:dyDescent="0.25">
      <c r="C22" s="11"/>
      <c r="F22" s="296"/>
      <c r="K22" s="172"/>
      <c r="L22" s="169"/>
      <c r="M22" s="169"/>
      <c r="N22" s="169"/>
      <c r="O22" s="169"/>
      <c r="P22" s="169"/>
      <c r="Q22" s="169"/>
      <c r="R22" s="169"/>
      <c r="S22" s="169"/>
      <c r="T22" s="169"/>
    </row>
    <row r="23" spans="1:20" x14ac:dyDescent="0.25">
      <c r="A23" s="114" t="str">
        <f t="shared" ref="A23:A26" si="4">B23&amp;D23&amp;F23&amp;G23</f>
        <v>Physical ServicesPublic WorksKensington Road BridgeGF</v>
      </c>
      <c r="B23" s="11" t="s">
        <v>365</v>
      </c>
      <c r="C23" s="11">
        <v>36</v>
      </c>
      <c r="D23" s="11" t="s">
        <v>250</v>
      </c>
      <c r="F23" s="276" t="s">
        <v>632</v>
      </c>
      <c r="G23" s="11" t="s">
        <v>16</v>
      </c>
      <c r="H23" s="11" t="s">
        <v>531</v>
      </c>
      <c r="K23" s="172"/>
      <c r="L23" s="169">
        <v>440400</v>
      </c>
      <c r="M23" s="169"/>
      <c r="N23" s="169">
        <v>440400</v>
      </c>
      <c r="O23" s="169"/>
      <c r="P23" s="169">
        <v>0</v>
      </c>
      <c r="Q23" s="169"/>
      <c r="R23" s="169">
        <v>0</v>
      </c>
      <c r="S23" s="169"/>
      <c r="T23" s="169">
        <v>0</v>
      </c>
    </row>
    <row r="24" spans="1:20" x14ac:dyDescent="0.25">
      <c r="A24" s="114" t="str">
        <f t="shared" si="4"/>
        <v>Physical ServicesPublic WorksGlen Street Bridge - Option 1GF</v>
      </c>
      <c r="B24" s="11" t="s">
        <v>365</v>
      </c>
      <c r="C24" s="11">
        <v>36</v>
      </c>
      <c r="D24" s="11" t="s">
        <v>250</v>
      </c>
      <c r="F24" s="276" t="s">
        <v>920</v>
      </c>
      <c r="G24" s="11" t="s">
        <v>16</v>
      </c>
      <c r="H24" s="11" t="s">
        <v>531</v>
      </c>
      <c r="K24" s="172"/>
      <c r="L24" s="169">
        <v>500000</v>
      </c>
      <c r="M24" s="169"/>
      <c r="N24" s="169">
        <v>500000</v>
      </c>
      <c r="O24" s="169"/>
      <c r="P24" s="169">
        <v>0</v>
      </c>
      <c r="Q24" s="169"/>
      <c r="R24" s="169">
        <v>0</v>
      </c>
      <c r="S24" s="169"/>
      <c r="T24" s="169">
        <v>0</v>
      </c>
    </row>
    <row r="25" spans="1:20" x14ac:dyDescent="0.25">
      <c r="A25" s="114" t="str">
        <f t="shared" si="4"/>
        <v>Physical ServicesPublic WorksSage Park Parking LotGF</v>
      </c>
      <c r="B25" s="11" t="s">
        <v>365</v>
      </c>
      <c r="C25" s="11">
        <v>36</v>
      </c>
      <c r="D25" s="11" t="s">
        <v>250</v>
      </c>
      <c r="F25" s="276" t="s">
        <v>656</v>
      </c>
      <c r="G25" s="11" t="s">
        <v>16</v>
      </c>
      <c r="H25" s="11" t="s">
        <v>531</v>
      </c>
      <c r="I25" s="11" t="s">
        <v>645</v>
      </c>
      <c r="K25" s="172"/>
      <c r="L25" s="169">
        <v>250000</v>
      </c>
      <c r="M25" s="169"/>
      <c r="N25" s="169">
        <v>0</v>
      </c>
      <c r="O25" s="169"/>
      <c r="P25" s="169">
        <f>VLOOKUP($B25&amp;$D25&amp;$F25&amp;$G25,'CIP Details'!$A$10:$V$363,15,0)</f>
        <v>0</v>
      </c>
      <c r="Q25" s="169"/>
      <c r="R25" s="169">
        <f>VLOOKUP($B25&amp;$D25&amp;$F25&amp;$G25,'CIP Details'!$A$10:$V$363,15,0)</f>
        <v>0</v>
      </c>
      <c r="S25" s="169"/>
      <c r="T25" s="169">
        <f>VLOOKUP($B25&amp;$D25&amp;$F25&amp;$G25,'CIP Details'!$A$10:$V$363,15,0)</f>
        <v>0</v>
      </c>
    </row>
    <row r="26" spans="1:20" x14ac:dyDescent="0.25">
      <c r="A26" s="114" t="str">
        <f t="shared" si="4"/>
        <v>Physical ServicesPublic WorksTown Hall Parking LotGF</v>
      </c>
      <c r="B26" s="11" t="s">
        <v>365</v>
      </c>
      <c r="C26" s="11">
        <v>36</v>
      </c>
      <c r="D26" s="11" t="s">
        <v>250</v>
      </c>
      <c r="F26" s="276" t="s">
        <v>658</v>
      </c>
      <c r="G26" s="11" t="s">
        <v>16</v>
      </c>
      <c r="H26" s="11" t="s">
        <v>531</v>
      </c>
      <c r="I26" s="11" t="s">
        <v>645</v>
      </c>
      <c r="K26" s="172"/>
      <c r="L26" s="169">
        <v>150000</v>
      </c>
      <c r="M26" s="169"/>
      <c r="N26" s="169">
        <v>0</v>
      </c>
      <c r="O26" s="169"/>
      <c r="P26" s="169">
        <f>VLOOKUP($B26&amp;$D26&amp;$F26&amp;$G26,'CIP Details'!$A$10:$V$363,15,0)</f>
        <v>0</v>
      </c>
      <c r="Q26" s="169"/>
      <c r="R26" s="169">
        <f>VLOOKUP($B26&amp;$D26&amp;$F26&amp;$G26,'CIP Details'!$A$10:$V$363,15,0)</f>
        <v>0</v>
      </c>
      <c r="S26" s="169"/>
      <c r="T26" s="169">
        <f>VLOOKUP($B26&amp;$D26&amp;$F26&amp;$G26,'CIP Details'!$A$10:$V$363,15,0)</f>
        <v>0</v>
      </c>
    </row>
    <row r="27" spans="1:20" s="124" customFormat="1" x14ac:dyDescent="0.25">
      <c r="B27" s="123"/>
      <c r="C27" s="123"/>
      <c r="D27" s="123"/>
      <c r="F27" s="200"/>
      <c r="G27" s="123"/>
      <c r="H27" s="123"/>
      <c r="I27" s="123"/>
      <c r="K27" s="172"/>
      <c r="L27" s="169"/>
      <c r="M27" s="169"/>
      <c r="N27" s="169"/>
      <c r="O27" s="169"/>
      <c r="P27" s="169"/>
      <c r="Q27" s="169"/>
      <c r="R27" s="169"/>
      <c r="S27" s="169"/>
      <c r="T27" s="169"/>
    </row>
    <row r="28" spans="1:20" x14ac:dyDescent="0.25">
      <c r="A28" s="114" t="str">
        <f>B28&amp;D28&amp;F28&amp;G28</f>
        <v>Physical ServicesHighwayRoadsGF</v>
      </c>
      <c r="B28" s="11" t="s">
        <v>365</v>
      </c>
      <c r="C28" s="11">
        <v>37</v>
      </c>
      <c r="D28" s="11" t="s">
        <v>461</v>
      </c>
      <c r="F28" s="276" t="s">
        <v>52</v>
      </c>
      <c r="G28" s="11" t="s">
        <v>16</v>
      </c>
      <c r="H28" s="11" t="s">
        <v>522</v>
      </c>
      <c r="K28" s="166"/>
      <c r="L28" s="169">
        <v>414000</v>
      </c>
      <c r="M28" s="169"/>
      <c r="N28" s="169">
        <v>414000</v>
      </c>
      <c r="O28" s="169"/>
      <c r="P28" s="169">
        <f>VLOOKUP($B28&amp;$D28&amp;$F28&amp;$G28,'CIP Details'!$A$10:$V$363,15,0)</f>
        <v>0</v>
      </c>
      <c r="Q28" s="169"/>
      <c r="R28" s="169">
        <f>VLOOKUP($B28&amp;$D28&amp;$F28&amp;$G28,'CIP Details'!$A$10:$V$363,15,0)</f>
        <v>0</v>
      </c>
      <c r="S28" s="169"/>
      <c r="T28" s="169">
        <f>VLOOKUP($B28&amp;$D28&amp;$F28&amp;$G28,'CIP Details'!$A$10:$V$363,15,0)</f>
        <v>0</v>
      </c>
    </row>
    <row r="29" spans="1:20" x14ac:dyDescent="0.25">
      <c r="A29" s="114" t="str">
        <f t="shared" ref="A29:A32" si="5">B29&amp;D29&amp;F29&amp;G29</f>
        <v>Physical ServicesHighwayRe-build Front End LoaderGF</v>
      </c>
      <c r="B29" s="11" t="s">
        <v>365</v>
      </c>
      <c r="C29" s="11">
        <v>37</v>
      </c>
      <c r="D29" s="11" t="s">
        <v>461</v>
      </c>
      <c r="F29" s="276" t="s">
        <v>921</v>
      </c>
      <c r="G29" s="11" t="s">
        <v>16</v>
      </c>
      <c r="H29" s="11" t="s">
        <v>531</v>
      </c>
      <c r="I29" s="11" t="s">
        <v>651</v>
      </c>
      <c r="K29" s="172"/>
      <c r="L29" s="169">
        <v>50000</v>
      </c>
      <c r="M29" s="169"/>
      <c r="N29" s="169">
        <v>50000</v>
      </c>
      <c r="O29" s="169"/>
      <c r="P29" s="169" t="e">
        <f>VLOOKUP($B29&amp;$D29&amp;$F29&amp;$G29,'CIP Details'!$A$10:$V$363,15,0)</f>
        <v>#N/A</v>
      </c>
      <c r="Q29" s="169"/>
      <c r="R29" s="169" t="e">
        <f>VLOOKUP($B29&amp;$D29&amp;$F29&amp;$G29,'CIP Details'!$A$10:$V$363,15,0)</f>
        <v>#N/A</v>
      </c>
      <c r="S29" s="169"/>
      <c r="T29" s="169" t="e">
        <f>VLOOKUP($B29&amp;$D29&amp;$F29&amp;$G29,'CIP Details'!$A$10:$V$363,15,0)</f>
        <v>#N/A</v>
      </c>
    </row>
    <row r="30" spans="1:20" x14ac:dyDescent="0.25">
      <c r="A30" s="114" t="str">
        <f t="shared" si="5"/>
        <v>Physical ServicesHighwayWood ChipperGF</v>
      </c>
      <c r="B30" s="11" t="s">
        <v>365</v>
      </c>
      <c r="C30" s="11">
        <v>37</v>
      </c>
      <c r="D30" s="11" t="s">
        <v>461</v>
      </c>
      <c r="F30" s="276" t="s">
        <v>520</v>
      </c>
      <c r="G30" s="11" t="s">
        <v>16</v>
      </c>
      <c r="H30" s="11" t="s">
        <v>531</v>
      </c>
      <c r="I30" s="11" t="s">
        <v>645</v>
      </c>
      <c r="K30" s="166"/>
      <c r="L30" s="169">
        <v>75000</v>
      </c>
      <c r="M30" s="169"/>
      <c r="N30" s="169">
        <v>75000</v>
      </c>
      <c r="O30" s="169"/>
      <c r="P30" s="169" t="e">
        <f>VLOOKUP($B30&amp;$D30&amp;$F30&amp;$G30,'CIP Details'!$A$10:$V$363,15,0)</f>
        <v>#N/A</v>
      </c>
      <c r="Q30" s="169"/>
      <c r="R30" s="169" t="e">
        <f>VLOOKUP($B30&amp;$D30&amp;$F30&amp;$G30,'CIP Details'!$A$10:$V$363,15,0)</f>
        <v>#N/A</v>
      </c>
      <c r="S30" s="169"/>
      <c r="T30" s="169" t="e">
        <f>VLOOKUP($B30&amp;$D30&amp;$F30&amp;$G30,'CIP Details'!$A$10:$V$363,15,0)</f>
        <v>#N/A</v>
      </c>
    </row>
    <row r="31" spans="1:20" x14ac:dyDescent="0.25">
      <c r="A31" s="114" t="str">
        <f t="shared" si="5"/>
        <v>Physical ServicesHighwayExcavatorGF</v>
      </c>
      <c r="B31" s="11" t="s">
        <v>365</v>
      </c>
      <c r="C31" s="11">
        <v>37</v>
      </c>
      <c r="D31" s="11" t="s">
        <v>461</v>
      </c>
      <c r="F31" s="276" t="s">
        <v>922</v>
      </c>
      <c r="G31" s="11" t="s">
        <v>16</v>
      </c>
      <c r="K31" s="172"/>
      <c r="L31" s="169">
        <v>110000</v>
      </c>
      <c r="M31" s="169"/>
      <c r="N31" s="169">
        <v>0</v>
      </c>
      <c r="O31" s="169"/>
      <c r="P31" s="169" t="e">
        <f>VLOOKUP($B31&amp;$D31&amp;$F31&amp;$G31,'CIP Details'!$A$10:$V$363,15,0)</f>
        <v>#N/A</v>
      </c>
      <c r="Q31" s="169"/>
      <c r="R31" s="169" t="e">
        <f>VLOOKUP($B31&amp;$D31&amp;$F31&amp;$G31,'CIP Details'!$A$10:$V$363,15,0)</f>
        <v>#N/A</v>
      </c>
      <c r="S31" s="169"/>
      <c r="T31" s="169" t="e">
        <f>VLOOKUP($B31&amp;$D31&amp;$F31&amp;$G31,'CIP Details'!$A$10:$V$363,15,0)</f>
        <v>#N/A</v>
      </c>
    </row>
    <row r="32" spans="1:20" x14ac:dyDescent="0.25">
      <c r="A32" s="114" t="str">
        <f t="shared" si="5"/>
        <v>Physical ServicesHighwayFifteen Ton Tag TrailerGF</v>
      </c>
      <c r="B32" s="11" t="s">
        <v>365</v>
      </c>
      <c r="C32" s="11">
        <v>37</v>
      </c>
      <c r="D32" s="11" t="s">
        <v>461</v>
      </c>
      <c r="F32" s="276" t="s">
        <v>923</v>
      </c>
      <c r="G32" s="11" t="s">
        <v>16</v>
      </c>
      <c r="K32" s="172"/>
      <c r="L32" s="169">
        <v>25000</v>
      </c>
      <c r="M32" s="169"/>
      <c r="N32" s="169">
        <v>0</v>
      </c>
      <c r="O32" s="169"/>
      <c r="P32" s="169" t="e">
        <f>VLOOKUP($B32&amp;$D32&amp;$F32&amp;$G32,'CIP Details'!$A$10:$V$363,15,0)</f>
        <v>#N/A</v>
      </c>
      <c r="Q32" s="169"/>
      <c r="R32" s="169" t="e">
        <f>VLOOKUP($B32&amp;$D32&amp;$F32&amp;$G32,'CIP Details'!$A$10:$V$363,15,0)</f>
        <v>#N/A</v>
      </c>
      <c r="S32" s="169"/>
      <c r="T32" s="169" t="e">
        <f>VLOOKUP($B32&amp;$D32&amp;$F32&amp;$G32,'CIP Details'!$A$10:$V$363,15,0)</f>
        <v>#N/A</v>
      </c>
    </row>
    <row r="33" spans="1:20" x14ac:dyDescent="0.25">
      <c r="C33" s="11"/>
      <c r="K33" s="172"/>
      <c r="L33" s="169"/>
      <c r="M33" s="169"/>
      <c r="N33" s="169"/>
      <c r="O33" s="169"/>
      <c r="P33" s="169"/>
      <c r="Q33" s="169"/>
      <c r="R33" s="169"/>
      <c r="S33" s="169"/>
      <c r="T33" s="169"/>
    </row>
    <row r="34" spans="1:20" x14ac:dyDescent="0.25">
      <c r="A34" s="114" t="str">
        <f t="shared" ref="A34:A41" si="6">B34&amp;D34&amp;F34&amp;G34</f>
        <v>Physical ServicesPublic BuildingsADA upgrades (townwide)GF</v>
      </c>
      <c r="B34" s="11" t="s">
        <v>365</v>
      </c>
      <c r="C34" s="148">
        <v>38</v>
      </c>
      <c r="D34" s="11" t="s">
        <v>47</v>
      </c>
      <c r="F34" s="276" t="s">
        <v>942</v>
      </c>
      <c r="G34" s="11" t="s">
        <v>16</v>
      </c>
      <c r="H34" s="11" t="s">
        <v>531</v>
      </c>
      <c r="I34" s="11" t="s">
        <v>537</v>
      </c>
      <c r="K34" s="172"/>
      <c r="L34" s="169">
        <v>50000</v>
      </c>
      <c r="M34" s="169"/>
      <c r="N34" s="169">
        <v>0</v>
      </c>
      <c r="O34" s="169"/>
      <c r="P34" s="169">
        <f>VLOOKUP($B34&amp;$D34&amp;$F34&amp;$G34,'CIP Details'!$A$10:$V$363,15,0)</f>
        <v>0</v>
      </c>
      <c r="Q34" s="169"/>
      <c r="R34" s="169">
        <f>VLOOKUP($B34&amp;$D34&amp;$F34&amp;$G34,'CIP Details'!$A$10:$V$363,15,0)</f>
        <v>0</v>
      </c>
      <c r="S34" s="169"/>
      <c r="T34" s="169">
        <f>VLOOKUP($B34&amp;$D34&amp;$F34&amp;$G34,'CIP Details'!$A$10:$V$363,15,0)</f>
        <v>0</v>
      </c>
    </row>
    <row r="35" spans="1:20" x14ac:dyDescent="0.25">
      <c r="A35" s="114" t="str">
        <f t="shared" si="6"/>
        <v>Physical ServicesPublic BuildingsFire &amp; Security Upgrades (various buildings)GF</v>
      </c>
      <c r="B35" s="11" t="s">
        <v>365</v>
      </c>
      <c r="C35" s="148">
        <v>38</v>
      </c>
      <c r="D35" s="11" t="s">
        <v>47</v>
      </c>
      <c r="F35" s="276" t="s">
        <v>943</v>
      </c>
      <c r="G35" s="11" t="s">
        <v>16</v>
      </c>
      <c r="H35" s="11" t="s">
        <v>531</v>
      </c>
      <c r="I35" s="11" t="s">
        <v>537</v>
      </c>
      <c r="K35" s="172"/>
      <c r="L35" s="169">
        <v>100000</v>
      </c>
      <c r="M35" s="169"/>
      <c r="N35" s="169">
        <v>0</v>
      </c>
      <c r="O35" s="169"/>
      <c r="P35" s="169">
        <f>VLOOKUP($B35&amp;$D35&amp;$F35&amp;$G35,'CIP Details'!$A$10:$V$363,15,0)</f>
        <v>0</v>
      </c>
      <c r="Q35" s="169"/>
      <c r="R35" s="169">
        <f>VLOOKUP($B35&amp;$D35&amp;$F35&amp;$G35,'CIP Details'!$A$10:$V$363,15,0)</f>
        <v>0</v>
      </c>
      <c r="S35" s="169"/>
      <c r="T35" s="169">
        <f>VLOOKUP($B35&amp;$D35&amp;$F35&amp;$G35,'CIP Details'!$A$10:$V$363,15,0)</f>
        <v>0</v>
      </c>
    </row>
    <row r="36" spans="1:20" x14ac:dyDescent="0.25">
      <c r="A36" s="114" t="str">
        <f t="shared" si="6"/>
        <v>Physical ServicesPublic BuildingsOverhead Door Replacement (Highway Garages)GF</v>
      </c>
      <c r="B36" s="11" t="s">
        <v>365</v>
      </c>
      <c r="C36" s="148">
        <v>38</v>
      </c>
      <c r="D36" s="11" t="s">
        <v>47</v>
      </c>
      <c r="F36" s="276" t="s">
        <v>944</v>
      </c>
      <c r="G36" s="11" t="s">
        <v>16</v>
      </c>
      <c r="H36" s="11" t="s">
        <v>531</v>
      </c>
      <c r="I36" s="11" t="s">
        <v>537</v>
      </c>
      <c r="K36" s="172"/>
      <c r="L36" s="169">
        <v>75000</v>
      </c>
      <c r="M36" s="169"/>
      <c r="N36" s="169">
        <v>0</v>
      </c>
      <c r="O36" s="169"/>
      <c r="P36" s="169">
        <f>VLOOKUP($B36&amp;$D36&amp;$F36&amp;$G36,'CIP Details'!$A$10:$V$363,15,0)</f>
        <v>0</v>
      </c>
      <c r="Q36" s="169"/>
      <c r="R36" s="169">
        <f>VLOOKUP($B36&amp;$D36&amp;$F36&amp;$G36,'CIP Details'!$A$10:$V$363,15,0)</f>
        <v>0</v>
      </c>
      <c r="S36" s="169"/>
      <c r="T36" s="169">
        <f>VLOOKUP($B36&amp;$D36&amp;$F36&amp;$G36,'CIP Details'!$A$10:$V$363,15,0)</f>
        <v>0</v>
      </c>
    </row>
    <row r="37" spans="1:20" x14ac:dyDescent="0.25">
      <c r="A37" s="114" t="str">
        <f t="shared" si="6"/>
        <v>Physical ServicesPublic BuildingsGutters, Roof Trace and Masonry Repairs (Town Hall)GF</v>
      </c>
      <c r="B37" s="11" t="s">
        <v>365</v>
      </c>
      <c r="C37" s="11">
        <v>38</v>
      </c>
      <c r="D37" s="11" t="s">
        <v>47</v>
      </c>
      <c r="F37" s="201" t="s">
        <v>664</v>
      </c>
      <c r="G37" s="11" t="s">
        <v>16</v>
      </c>
      <c r="H37" s="11" t="s">
        <v>531</v>
      </c>
      <c r="K37" s="172"/>
      <c r="L37" s="169">
        <v>100000</v>
      </c>
      <c r="M37" s="169"/>
      <c r="N37" s="169">
        <v>0</v>
      </c>
      <c r="O37" s="169"/>
      <c r="P37" s="169">
        <f>VLOOKUP($B37&amp;$D37&amp;$F37&amp;$G37,'CIP Details'!$A$10:$V$363,15,0)</f>
        <v>0</v>
      </c>
      <c r="Q37" s="169"/>
      <c r="R37" s="169">
        <f>VLOOKUP($B37&amp;$D37&amp;$F37&amp;$G37,'CIP Details'!$A$10:$V$363,15,0)</f>
        <v>0</v>
      </c>
      <c r="S37" s="169"/>
      <c r="T37" s="169">
        <f>VLOOKUP($B37&amp;$D37&amp;$F37&amp;$G37,'CIP Details'!$A$10:$V$363,15,0)</f>
        <v>0</v>
      </c>
    </row>
    <row r="38" spans="1:20" x14ac:dyDescent="0.25">
      <c r="A38" s="114" t="str">
        <f>B38&amp;D38&amp;F38&amp;G38</f>
        <v>Physical ServicesPublic BuildingsDeming Road House (Mobile Home caretakers house)GF</v>
      </c>
      <c r="B38" s="11" t="s">
        <v>365</v>
      </c>
      <c r="C38" s="11">
        <v>38</v>
      </c>
      <c r="D38" s="11" t="s">
        <v>47</v>
      </c>
      <c r="F38" s="200" t="s">
        <v>442</v>
      </c>
      <c r="G38" s="123" t="s">
        <v>16</v>
      </c>
      <c r="H38" s="11" t="s">
        <v>531</v>
      </c>
      <c r="K38" s="172"/>
      <c r="L38" s="169">
        <v>50000</v>
      </c>
      <c r="M38" s="169"/>
      <c r="N38" s="169">
        <v>0</v>
      </c>
      <c r="O38" s="169"/>
      <c r="P38" s="169" t="e">
        <f>VLOOKUP($B38&amp;$D38&amp;$F38&amp;$G38,'CIP Details'!$A$10:$V$363,15,0)</f>
        <v>#N/A</v>
      </c>
      <c r="Q38" s="169"/>
      <c r="R38" s="169" t="e">
        <f>VLOOKUP($B38&amp;$D38&amp;$F38&amp;$G38,'CIP Details'!$A$10:$V$363,15,0)</f>
        <v>#N/A</v>
      </c>
      <c r="S38" s="169"/>
      <c r="T38" s="169" t="e">
        <f>VLOOKUP($B38&amp;$D38&amp;$F38&amp;$G38,'CIP Details'!$A$10:$V$363,15,0)</f>
        <v>#N/A</v>
      </c>
    </row>
    <row r="39" spans="1:20" x14ac:dyDescent="0.25">
      <c r="A39" s="114" t="str">
        <f t="shared" si="6"/>
        <v>Physical ServicesPublic BuildingsTown Hall Bathroom RenovationsGF</v>
      </c>
      <c r="B39" s="11" t="s">
        <v>365</v>
      </c>
      <c r="C39" s="11">
        <v>38</v>
      </c>
      <c r="D39" s="11" t="s">
        <v>47</v>
      </c>
      <c r="F39" s="200" t="s">
        <v>668</v>
      </c>
      <c r="G39" s="123" t="s">
        <v>16</v>
      </c>
      <c r="H39" s="11" t="s">
        <v>531</v>
      </c>
      <c r="K39" s="172"/>
      <c r="L39" s="169">
        <v>80000</v>
      </c>
      <c r="M39" s="169"/>
      <c r="N39" s="169">
        <v>0</v>
      </c>
      <c r="O39" s="169"/>
      <c r="P39" s="169">
        <f>VLOOKUP($B39&amp;$D39&amp;$F39&amp;$G39,'CIP Details'!$A$10:$V$363,15,0)</f>
        <v>0</v>
      </c>
      <c r="Q39" s="169"/>
      <c r="R39" s="169">
        <f>VLOOKUP($B39&amp;$D39&amp;$F39&amp;$G39,'CIP Details'!$A$10:$V$363,15,0)</f>
        <v>0</v>
      </c>
      <c r="S39" s="169"/>
      <c r="T39" s="169">
        <f>VLOOKUP($B39&amp;$D39&amp;$F39&amp;$G39,'CIP Details'!$A$10:$V$363,15,0)</f>
        <v>0</v>
      </c>
    </row>
    <row r="40" spans="1:20" x14ac:dyDescent="0.25">
      <c r="A40" s="114" t="str">
        <f t="shared" si="6"/>
        <v>Physical ServicesPublic BuildingsUpgrade &amp; repairs of Sage Park restrooms (Scalise Turf funds)GF</v>
      </c>
      <c r="B40" s="11" t="s">
        <v>365</v>
      </c>
      <c r="C40" s="11">
        <v>38</v>
      </c>
      <c r="D40" s="11" t="s">
        <v>47</v>
      </c>
      <c r="F40" s="200" t="s">
        <v>1037</v>
      </c>
      <c r="G40" s="123" t="s">
        <v>16</v>
      </c>
      <c r="H40" s="11" t="s">
        <v>531</v>
      </c>
      <c r="K40" s="172"/>
      <c r="L40" s="169">
        <v>100000</v>
      </c>
      <c r="M40" s="169"/>
      <c r="N40" s="169">
        <v>0</v>
      </c>
      <c r="O40" s="169"/>
      <c r="P40" s="169">
        <v>0</v>
      </c>
      <c r="Q40" s="169"/>
      <c r="R40" s="169">
        <v>0</v>
      </c>
      <c r="S40" s="169"/>
      <c r="T40" s="169">
        <v>0</v>
      </c>
    </row>
    <row r="41" spans="1:20" x14ac:dyDescent="0.25">
      <c r="A41" s="114" t="str">
        <f t="shared" si="6"/>
        <v>Physical ServicesPublic BuildingsWindows &amp; Doors replacement (Timberlin)GF</v>
      </c>
      <c r="B41" s="11" t="s">
        <v>365</v>
      </c>
      <c r="C41" s="11">
        <v>38</v>
      </c>
      <c r="D41" s="11" t="s">
        <v>47</v>
      </c>
      <c r="F41" s="202" t="s">
        <v>672</v>
      </c>
      <c r="G41" s="11" t="s">
        <v>16</v>
      </c>
      <c r="H41" s="11" t="s">
        <v>531</v>
      </c>
      <c r="K41" s="172"/>
      <c r="L41" s="169">
        <v>175000</v>
      </c>
      <c r="M41" s="169"/>
      <c r="N41" s="169">
        <v>0</v>
      </c>
      <c r="O41" s="169"/>
      <c r="P41" s="169">
        <f>VLOOKUP($B41&amp;$D41&amp;$F41&amp;$G41,'CIP Details'!$A$10:$V$363,15,0)</f>
        <v>0</v>
      </c>
      <c r="Q41" s="169"/>
      <c r="R41" s="169">
        <f>VLOOKUP($B41&amp;$D41&amp;$F41&amp;$G41,'CIP Details'!$A$10:$V$363,15,0)</f>
        <v>0</v>
      </c>
      <c r="S41" s="169"/>
      <c r="T41" s="169">
        <f>VLOOKUP($B41&amp;$D41&amp;$F41&amp;$G41,'CIP Details'!$A$10:$V$363,15,0)</f>
        <v>0</v>
      </c>
    </row>
    <row r="42" spans="1:20" x14ac:dyDescent="0.25">
      <c r="A42" s="114" t="str">
        <f>B42&amp;D42&amp;F42&amp;G42</f>
        <v>Physical ServicesPublic BuildingsTimberlin Maintenance Shop ExteriorGF</v>
      </c>
      <c r="B42" s="11" t="s">
        <v>365</v>
      </c>
      <c r="C42" s="11">
        <v>38</v>
      </c>
      <c r="D42" s="11" t="s">
        <v>47</v>
      </c>
      <c r="F42" s="202" t="s">
        <v>999</v>
      </c>
      <c r="G42" s="11" t="s">
        <v>16</v>
      </c>
      <c r="H42" s="11" t="s">
        <v>531</v>
      </c>
      <c r="K42" s="172"/>
      <c r="L42" s="169">
        <v>50000</v>
      </c>
      <c r="M42" s="169"/>
      <c r="N42" s="169">
        <v>50000</v>
      </c>
      <c r="O42" s="169"/>
      <c r="P42" s="169">
        <f>VLOOKUP($B42&amp;$D42&amp;$F42&amp;$G42,'CIP Details'!$A$10:$V$363,15,0)</f>
        <v>0</v>
      </c>
      <c r="Q42" s="169"/>
      <c r="R42" s="169">
        <f>VLOOKUP($B42&amp;$D42&amp;$F42&amp;$G42,'CIP Details'!$A$10:$V$363,15,0)</f>
        <v>0</v>
      </c>
      <c r="S42" s="169"/>
      <c r="T42" s="169">
        <f>VLOOKUP($B42&amp;$D42&amp;$F42&amp;$G42,'CIP Details'!$A$10:$V$363,15,0)</f>
        <v>0</v>
      </c>
    </row>
    <row r="43" spans="1:20" x14ac:dyDescent="0.25">
      <c r="A43" s="114" t="str">
        <f>B43&amp;D43&amp;F43&amp;G43</f>
        <v>Physical ServicesPublic BuildingsFacilities - VanGF</v>
      </c>
      <c r="B43" s="11" t="s">
        <v>365</v>
      </c>
      <c r="C43" s="11">
        <v>38</v>
      </c>
      <c r="D43" s="11" t="s">
        <v>47</v>
      </c>
      <c r="F43" s="276" t="s">
        <v>938</v>
      </c>
      <c r="G43" s="11" t="s">
        <v>16</v>
      </c>
      <c r="K43" s="172"/>
      <c r="L43" s="169">
        <v>38000</v>
      </c>
      <c r="M43" s="169"/>
      <c r="N43" s="169">
        <v>0</v>
      </c>
      <c r="O43" s="169"/>
      <c r="P43" s="169" t="e">
        <f>VLOOKUP($B43&amp;$D43&amp;$F43&amp;$G43,'CIP Details'!$A$10:$V$363,15,0)</f>
        <v>#N/A</v>
      </c>
      <c r="Q43" s="169"/>
      <c r="R43" s="169" t="e">
        <f>VLOOKUP($B43&amp;$D43&amp;$F43&amp;$G43,'CIP Details'!$A$10:$V$363,15,0)</f>
        <v>#N/A</v>
      </c>
      <c r="S43" s="169"/>
      <c r="T43" s="169" t="e">
        <f>VLOOKUP($B43&amp;$D43&amp;$F43&amp;$G43,'CIP Details'!$A$10:$V$363,15,0)</f>
        <v>#N/A</v>
      </c>
    </row>
    <row r="44" spans="1:20" x14ac:dyDescent="0.25">
      <c r="A44" s="114" t="str">
        <f>B44&amp;D44&amp;F44&amp;G44</f>
        <v>Physical ServicesPublic BuildingsFacilities - Supervisor's VehicleGF</v>
      </c>
      <c r="B44" s="11" t="s">
        <v>365</v>
      </c>
      <c r="C44" s="11">
        <v>38</v>
      </c>
      <c r="D44" s="11" t="s">
        <v>47</v>
      </c>
      <c r="F44" s="276" t="s">
        <v>939</v>
      </c>
      <c r="G44" s="11" t="s">
        <v>16</v>
      </c>
      <c r="K44" s="172"/>
      <c r="L44" s="169">
        <v>38000</v>
      </c>
      <c r="M44" s="169"/>
      <c r="N44" s="169">
        <v>0</v>
      </c>
      <c r="O44" s="169"/>
      <c r="P44" s="169">
        <f>VLOOKUP($B44&amp;$D44&amp;$F44&amp;$G44,'CIP Details'!$A$10:$V$363,15,0)</f>
        <v>0</v>
      </c>
      <c r="Q44" s="169"/>
      <c r="R44" s="169">
        <f>VLOOKUP($B44&amp;$D44&amp;$F44&amp;$G44,'CIP Details'!$A$10:$V$363,15,0)</f>
        <v>0</v>
      </c>
      <c r="S44" s="169"/>
      <c r="T44" s="169">
        <f>VLOOKUP($B44&amp;$D44&amp;$F44&amp;$G44,'CIP Details'!$A$10:$V$363,15,0)</f>
        <v>0</v>
      </c>
    </row>
    <row r="45" spans="1:20" x14ac:dyDescent="0.25">
      <c r="C45" s="11"/>
      <c r="F45" s="201"/>
      <c r="K45" s="172"/>
      <c r="L45" s="169"/>
      <c r="M45" s="169"/>
      <c r="N45" s="169"/>
      <c r="O45" s="169"/>
      <c r="P45" s="169"/>
      <c r="Q45" s="169"/>
      <c r="R45" s="169"/>
      <c r="S45" s="169"/>
      <c r="T45" s="169"/>
    </row>
    <row r="46" spans="1:20" x14ac:dyDescent="0.25">
      <c r="A46" s="114" t="str">
        <f t="shared" ref="A46" si="7">B46&amp;D46&amp;F46&amp;G46</f>
        <v>Parks, Recreation &amp; LibrariesGolf CourseUsed pickup truckGF</v>
      </c>
      <c r="B46" s="11" t="s">
        <v>366</v>
      </c>
      <c r="C46" s="11">
        <v>43</v>
      </c>
      <c r="D46" s="11" t="s">
        <v>438</v>
      </c>
      <c r="F46" s="313" t="s">
        <v>473</v>
      </c>
      <c r="G46" s="11" t="s">
        <v>16</v>
      </c>
      <c r="K46" s="172"/>
      <c r="L46" s="169">
        <v>0</v>
      </c>
      <c r="M46" s="169"/>
      <c r="N46" s="169">
        <v>0</v>
      </c>
      <c r="O46" s="169"/>
      <c r="P46" s="169" t="e">
        <f>VLOOKUP($B46&amp;$D46&amp;$F46&amp;$G46,'CIP Details'!$A$10:$V$363,15,0)</f>
        <v>#N/A</v>
      </c>
      <c r="Q46" s="169"/>
      <c r="R46" s="169" t="e">
        <f>VLOOKUP($B46&amp;$D46&amp;$F46&amp;$G46,'CIP Details'!$A$10:$V$363,15,0)</f>
        <v>#N/A</v>
      </c>
      <c r="S46" s="169"/>
      <c r="T46" s="169" t="e">
        <f>VLOOKUP($B46&amp;$D46&amp;$F46&amp;$G46,'CIP Details'!$A$10:$V$363,15,0)</f>
        <v>#N/A</v>
      </c>
    </row>
    <row r="47" spans="1:20" x14ac:dyDescent="0.25">
      <c r="A47" s="114" t="str">
        <f t="shared" ref="A47:A49" si="8">B47&amp;D47&amp;F47&amp;G47</f>
        <v>Parks, Recreation &amp; LibrariesGolf CourseSmall dump truckGF</v>
      </c>
      <c r="B47" s="11" t="s">
        <v>366</v>
      </c>
      <c r="C47" s="11">
        <v>43</v>
      </c>
      <c r="D47" s="11" t="s">
        <v>438</v>
      </c>
      <c r="F47" s="276" t="s">
        <v>464</v>
      </c>
      <c r="G47" s="11" t="s">
        <v>16</v>
      </c>
      <c r="H47" s="11" t="s">
        <v>531</v>
      </c>
      <c r="K47" s="172"/>
      <c r="L47" s="169">
        <v>25000</v>
      </c>
      <c r="M47" s="169"/>
      <c r="N47" s="169">
        <v>0</v>
      </c>
      <c r="O47" s="169"/>
      <c r="P47" s="169">
        <f>VLOOKUP($B47&amp;$D47&amp;$F47&amp;$G47,'CIP Details'!$A$10:$V$363,15,0)</f>
        <v>0</v>
      </c>
      <c r="Q47" s="169"/>
      <c r="R47" s="169">
        <f>VLOOKUP($B47&amp;$D47&amp;$F47&amp;$G47,'CIP Details'!$A$10:$V$363,15,0)</f>
        <v>0</v>
      </c>
      <c r="S47" s="169"/>
      <c r="T47" s="169">
        <f>VLOOKUP($B47&amp;$D47&amp;$F47&amp;$G47,'CIP Details'!$A$10:$V$363,15,0)</f>
        <v>0</v>
      </c>
    </row>
    <row r="48" spans="1:20" x14ac:dyDescent="0.25">
      <c r="A48" s="114" t="str">
        <f t="shared" si="8"/>
        <v>Parks, Recreation &amp; LibrariesGolf CourseBackhoe (New/Used)GF</v>
      </c>
      <c r="B48" s="11" t="s">
        <v>366</v>
      </c>
      <c r="C48" s="11">
        <v>43</v>
      </c>
      <c r="D48" s="11" t="s">
        <v>438</v>
      </c>
      <c r="F48" s="276" t="s">
        <v>940</v>
      </c>
      <c r="G48" s="11" t="s">
        <v>16</v>
      </c>
      <c r="H48" s="11" t="s">
        <v>531</v>
      </c>
      <c r="K48" s="172"/>
      <c r="L48" s="169">
        <v>75000</v>
      </c>
      <c r="M48" s="169"/>
      <c r="N48" s="169">
        <v>0</v>
      </c>
      <c r="O48" s="169"/>
      <c r="P48" s="169" t="e">
        <f>VLOOKUP($B48&amp;$D48&amp;$F48&amp;$G48,'CIP Details'!$A$10:$V$363,15,0)</f>
        <v>#N/A</v>
      </c>
      <c r="Q48" s="169"/>
      <c r="R48" s="169" t="e">
        <f>VLOOKUP($B48&amp;$D48&amp;$F48&amp;$G48,'CIP Details'!$A$10:$V$363,15,0)</f>
        <v>#N/A</v>
      </c>
      <c r="S48" s="169"/>
      <c r="T48" s="169" t="e">
        <f>VLOOKUP($B48&amp;$D48&amp;$F48&amp;$G48,'CIP Details'!$A$10:$V$363,15,0)</f>
        <v>#N/A</v>
      </c>
    </row>
    <row r="49" spans="1:20" x14ac:dyDescent="0.25">
      <c r="A49" s="114" t="str">
        <f t="shared" si="8"/>
        <v>Parks, Recreation &amp; LibrariesGolf CourseLarge Utility VehicleGF</v>
      </c>
      <c r="B49" s="11" t="s">
        <v>366</v>
      </c>
      <c r="C49" s="11">
        <v>43</v>
      </c>
      <c r="D49" s="11" t="s">
        <v>438</v>
      </c>
      <c r="F49" s="276" t="s">
        <v>893</v>
      </c>
      <c r="G49" s="11" t="s">
        <v>16</v>
      </c>
      <c r="K49" s="172"/>
      <c r="L49" s="169">
        <v>26565</v>
      </c>
      <c r="M49" s="169"/>
      <c r="N49" s="169">
        <v>0</v>
      </c>
      <c r="O49" s="169"/>
      <c r="P49" s="169">
        <f>VLOOKUP($B49&amp;$D49&amp;$F49&amp;$G49,'CIP Details'!$A$10:$V$363,15,0)</f>
        <v>0</v>
      </c>
      <c r="Q49" s="169"/>
      <c r="R49" s="169">
        <f>VLOOKUP($B49&amp;$D49&amp;$F49&amp;$G49,'CIP Details'!$A$10:$V$363,15,0)</f>
        <v>0</v>
      </c>
      <c r="S49" s="169"/>
      <c r="T49" s="169">
        <f>VLOOKUP($B49&amp;$D49&amp;$F49&amp;$G49,'CIP Details'!$A$10:$V$363,15,0)</f>
        <v>0</v>
      </c>
    </row>
    <row r="50" spans="1:20" x14ac:dyDescent="0.25">
      <c r="C50" s="11"/>
      <c r="K50" s="172"/>
      <c r="L50" s="169"/>
      <c r="M50" s="169"/>
      <c r="N50" s="169"/>
      <c r="O50" s="169"/>
      <c r="P50" s="169"/>
      <c r="Q50" s="169"/>
      <c r="R50" s="169"/>
      <c r="S50" s="169"/>
      <c r="T50" s="169"/>
    </row>
    <row r="51" spans="1:20" x14ac:dyDescent="0.25">
      <c r="A51" s="114" t="str">
        <f>B51&amp;D51&amp;F51&amp;G51</f>
        <v>Parks, Recreation &amp; LibrariesLibraryGlass Enclosure for digital media lab/makerspaceGF</v>
      </c>
      <c r="B51" s="11" t="s">
        <v>366</v>
      </c>
      <c r="C51" s="11">
        <v>44</v>
      </c>
      <c r="D51" s="11" t="s">
        <v>435</v>
      </c>
      <c r="F51" s="276" t="s">
        <v>947</v>
      </c>
      <c r="G51" s="11" t="s">
        <v>16</v>
      </c>
      <c r="H51" s="11" t="s">
        <v>531</v>
      </c>
      <c r="K51" s="172"/>
      <c r="L51" s="169">
        <v>50000</v>
      </c>
      <c r="M51" s="169"/>
      <c r="N51" s="169">
        <v>0</v>
      </c>
      <c r="O51" s="169"/>
      <c r="P51" s="169">
        <f>VLOOKUP($B51&amp;$D51&amp;$F51&amp;$G51,'CIP Details'!$A$10:$V$363,15,0)</f>
        <v>0</v>
      </c>
      <c r="Q51" s="169"/>
      <c r="R51" s="169">
        <f>VLOOKUP($B51&amp;$D51&amp;$F51&amp;$G51,'CIP Details'!$A$10:$V$363,15,0)</f>
        <v>0</v>
      </c>
      <c r="S51" s="169"/>
      <c r="T51" s="169">
        <f>VLOOKUP($B51&amp;$D51&amp;$F51&amp;$G51,'CIP Details'!$A$10:$V$363,15,0)</f>
        <v>0</v>
      </c>
    </row>
    <row r="52" spans="1:20" x14ac:dyDescent="0.25">
      <c r="C52" s="11"/>
      <c r="K52" s="172"/>
      <c r="L52" s="169"/>
      <c r="M52" s="169"/>
      <c r="N52" s="169"/>
      <c r="O52" s="169"/>
      <c r="P52" s="169"/>
      <c r="Q52" s="169"/>
      <c r="R52" s="169"/>
      <c r="S52" s="169"/>
      <c r="T52" s="169"/>
    </row>
    <row r="53" spans="1:20" x14ac:dyDescent="0.25">
      <c r="A53" s="114" t="str">
        <f t="shared" ref="A53:A55" si="9">B53&amp;D53&amp;F53&amp;G53</f>
        <v>Parks, Recreation &amp; LibrariesPublic GroundsField Improvements - Percival FieldGF</v>
      </c>
      <c r="B53" s="11" t="s">
        <v>366</v>
      </c>
      <c r="C53" s="11">
        <v>45</v>
      </c>
      <c r="D53" s="11" t="s">
        <v>46</v>
      </c>
      <c r="F53" s="276" t="s">
        <v>903</v>
      </c>
      <c r="G53" s="11" t="s">
        <v>16</v>
      </c>
      <c r="K53" s="172"/>
      <c r="L53" s="169">
        <v>275000</v>
      </c>
      <c r="M53" s="169"/>
      <c r="N53" s="169">
        <v>0</v>
      </c>
      <c r="O53" s="169"/>
      <c r="P53" s="169" t="e">
        <f>VLOOKUP($B53&amp;$D53&amp;$F53&amp;$G53,'CIP Details'!$A$10:$V$363,15,0)</f>
        <v>#N/A</v>
      </c>
      <c r="Q53" s="169"/>
      <c r="R53" s="169" t="e">
        <f>VLOOKUP($B53&amp;$D53&amp;$F53&amp;$G53,'CIP Details'!$A$10:$V$363,15,0)</f>
        <v>#N/A</v>
      </c>
      <c r="S53" s="169"/>
      <c r="T53" s="169" t="e">
        <f>VLOOKUP($B53&amp;$D53&amp;$F53&amp;$G53,'CIP Details'!$A$10:$V$363,15,0)</f>
        <v>#N/A</v>
      </c>
    </row>
    <row r="54" spans="1:20" x14ac:dyDescent="0.25">
      <c r="A54" s="114" t="str">
        <f t="shared" si="9"/>
        <v>Parks, Recreation &amp; LibrariesPublic GroundsSage 1 Field Improvements (incl lights expensed in 38) - using surplusGF</v>
      </c>
      <c r="B54" s="11" t="s">
        <v>366</v>
      </c>
      <c r="C54" s="11">
        <v>45</v>
      </c>
      <c r="D54" s="11" t="s">
        <v>46</v>
      </c>
      <c r="F54" s="276" t="s">
        <v>1038</v>
      </c>
      <c r="G54" s="11" t="s">
        <v>16</v>
      </c>
      <c r="H54" s="11" t="s">
        <v>531</v>
      </c>
      <c r="K54" s="172"/>
      <c r="L54" s="169">
        <v>495000</v>
      </c>
      <c r="M54" s="169"/>
      <c r="N54" s="169">
        <v>0</v>
      </c>
      <c r="O54" s="169"/>
      <c r="P54" s="169">
        <v>0</v>
      </c>
      <c r="Q54" s="169"/>
      <c r="R54" s="169">
        <v>0</v>
      </c>
      <c r="S54" s="169"/>
      <c r="T54" s="169">
        <v>0</v>
      </c>
    </row>
    <row r="55" spans="1:20" x14ac:dyDescent="0.25">
      <c r="A55" s="114" t="str">
        <f t="shared" si="9"/>
        <v>Parks, Recreation &amp; LibrariesPublic GroundsPick UpsGF</v>
      </c>
      <c r="B55" s="11" t="s">
        <v>366</v>
      </c>
      <c r="C55" s="11">
        <v>45</v>
      </c>
      <c r="D55" s="11" t="s">
        <v>46</v>
      </c>
      <c r="F55" s="276" t="s">
        <v>476</v>
      </c>
      <c r="G55" s="11" t="s">
        <v>16</v>
      </c>
      <c r="H55" s="11" t="s">
        <v>531</v>
      </c>
      <c r="K55" s="172"/>
      <c r="L55" s="169">
        <v>42000</v>
      </c>
      <c r="M55" s="169"/>
      <c r="N55" s="169">
        <v>0</v>
      </c>
      <c r="O55" s="169"/>
      <c r="P55" s="169">
        <f>VLOOKUP($B55&amp;$D55&amp;$F55&amp;$G55,'CIP Details'!$A$10:$V$363,15,0)</f>
        <v>0</v>
      </c>
      <c r="Q55" s="169"/>
      <c r="R55" s="169">
        <f>VLOOKUP($B55&amp;$D55&amp;$F55&amp;$G55,'CIP Details'!$A$10:$V$363,15,0)</f>
        <v>0</v>
      </c>
      <c r="S55" s="169"/>
      <c r="T55" s="169">
        <f>VLOOKUP($B55&amp;$D55&amp;$F55&amp;$G55,'CIP Details'!$A$10:$V$363,15,0)</f>
        <v>0</v>
      </c>
    </row>
    <row r="56" spans="1:20" x14ac:dyDescent="0.25">
      <c r="C56" s="11"/>
      <c r="K56" s="172"/>
      <c r="L56" s="169"/>
      <c r="M56" s="169"/>
      <c r="N56" s="169"/>
      <c r="O56" s="169"/>
      <c r="P56" s="169"/>
      <c r="Q56" s="169"/>
      <c r="R56" s="169"/>
      <c r="S56" s="169"/>
      <c r="T56" s="169"/>
    </row>
    <row r="57" spans="1:20" x14ac:dyDescent="0.25">
      <c r="A57" s="114" t="str">
        <f t="shared" ref="A57:A75" si="10">B57&amp;D57&amp;F57&amp;G57</f>
        <v>SchoolsSchoolsSidewalks - WillardGF</v>
      </c>
      <c r="B57" s="11" t="s">
        <v>1</v>
      </c>
      <c r="C57" s="11">
        <v>61</v>
      </c>
      <c r="D57" s="11" t="s">
        <v>1</v>
      </c>
      <c r="F57" s="276" t="s">
        <v>729</v>
      </c>
      <c r="G57" s="11" t="s">
        <v>16</v>
      </c>
      <c r="H57" s="11" t="s">
        <v>531</v>
      </c>
      <c r="I57" s="11" t="s">
        <v>537</v>
      </c>
      <c r="K57" s="172"/>
      <c r="L57" s="169">
        <v>150000</v>
      </c>
      <c r="M57" s="169"/>
      <c r="N57" s="169">
        <v>0</v>
      </c>
      <c r="O57" s="169"/>
      <c r="P57" s="169">
        <f>VLOOKUP($B57&amp;$D57&amp;$F57&amp;$G57,'CIP Details'!$A$10:$V$363,15,0)</f>
        <v>0</v>
      </c>
      <c r="Q57" s="169"/>
      <c r="R57" s="169">
        <f>VLOOKUP($B57&amp;$D57&amp;$F57&amp;$G57,'CIP Details'!$A$10:$V$363,15,0)</f>
        <v>0</v>
      </c>
      <c r="S57" s="169"/>
      <c r="T57" s="169">
        <f>VLOOKUP($B57&amp;$D57&amp;$F57&amp;$G57,'CIP Details'!$A$10:$V$363,15,0)</f>
        <v>0</v>
      </c>
    </row>
    <row r="58" spans="1:20" x14ac:dyDescent="0.25">
      <c r="A58" s="114" t="str">
        <f t="shared" si="10"/>
        <v>SchoolsSchoolsMasonry Repointing - WillardGF</v>
      </c>
      <c r="B58" s="11" t="s">
        <v>1</v>
      </c>
      <c r="C58" s="11">
        <v>61</v>
      </c>
      <c r="D58" s="11" t="s">
        <v>1</v>
      </c>
      <c r="F58" s="276" t="s">
        <v>718</v>
      </c>
      <c r="G58" s="11" t="s">
        <v>16</v>
      </c>
      <c r="H58" s="11" t="s">
        <v>531</v>
      </c>
      <c r="I58" s="11" t="s">
        <v>537</v>
      </c>
      <c r="K58" s="172"/>
      <c r="L58" s="169">
        <v>50000</v>
      </c>
      <c r="M58" s="169"/>
      <c r="N58" s="169">
        <v>0</v>
      </c>
      <c r="O58" s="169"/>
      <c r="P58" s="169">
        <f>VLOOKUP($B58&amp;$D58&amp;$F58&amp;$G58,'CIP Details'!$A$10:$V$363,15,0)</f>
        <v>0</v>
      </c>
      <c r="Q58" s="169"/>
      <c r="R58" s="169">
        <f>VLOOKUP($B58&amp;$D58&amp;$F58&amp;$G58,'CIP Details'!$A$10:$V$363,15,0)</f>
        <v>0</v>
      </c>
      <c r="S58" s="169"/>
      <c r="T58" s="169">
        <f>VLOOKUP($B58&amp;$D58&amp;$F58&amp;$G58,'CIP Details'!$A$10:$V$363,15,0)</f>
        <v>0</v>
      </c>
    </row>
    <row r="59" spans="1:20" x14ac:dyDescent="0.25">
      <c r="A59" s="114" t="str">
        <f t="shared" si="10"/>
        <v>SchoolsSchoolsFire Alarm Upgrades - HubbardGF</v>
      </c>
      <c r="B59" s="11" t="s">
        <v>1</v>
      </c>
      <c r="C59" s="11">
        <v>61</v>
      </c>
      <c r="D59" s="11" t="s">
        <v>1</v>
      </c>
      <c r="F59" s="200" t="s">
        <v>201</v>
      </c>
      <c r="G59" s="123" t="s">
        <v>16</v>
      </c>
      <c r="H59" s="11" t="s">
        <v>531</v>
      </c>
      <c r="I59" s="220" t="s">
        <v>537</v>
      </c>
      <c r="K59" s="172"/>
      <c r="L59" s="169">
        <v>150000</v>
      </c>
      <c r="M59" s="169"/>
      <c r="N59" s="169">
        <v>150000</v>
      </c>
      <c r="O59" s="169"/>
      <c r="P59" s="169" t="e">
        <f>VLOOKUP($B59&amp;$D59&amp;$F59&amp;$G59,'CIP Details'!$A$10:$V$363,15,0)</f>
        <v>#N/A</v>
      </c>
      <c r="Q59" s="169"/>
      <c r="R59" s="169" t="e">
        <f>VLOOKUP($B59&amp;$D59&amp;$F59&amp;$G59,'CIP Details'!$A$10:$V$363,15,0)</f>
        <v>#N/A</v>
      </c>
      <c r="S59" s="169"/>
      <c r="T59" s="169" t="e">
        <f>VLOOKUP($B59&amp;$D59&amp;$F59&amp;$G59,'CIP Details'!$A$10:$V$363,15,0)</f>
        <v>#N/A</v>
      </c>
    </row>
    <row r="60" spans="1:20" x14ac:dyDescent="0.25">
      <c r="A60" s="114" t="str">
        <f t="shared" si="10"/>
        <v>SchoolsSchoolsVans - capitalGF</v>
      </c>
      <c r="B60" s="11" t="s">
        <v>1</v>
      </c>
      <c r="C60" s="11">
        <v>61</v>
      </c>
      <c r="D60" s="11" t="s">
        <v>1</v>
      </c>
      <c r="F60" s="276" t="s">
        <v>506</v>
      </c>
      <c r="G60" s="11" t="s">
        <v>16</v>
      </c>
      <c r="H60" s="11" t="s">
        <v>522</v>
      </c>
      <c r="K60" s="172"/>
      <c r="L60" s="169">
        <v>110000</v>
      </c>
      <c r="M60" s="169"/>
      <c r="N60" s="169">
        <v>110000</v>
      </c>
      <c r="O60" s="169"/>
      <c r="P60" s="169">
        <f>VLOOKUP($B60&amp;$D60&amp;$F60&amp;$G60,'CIP Details'!$A$10:$V$363,15,0)</f>
        <v>0</v>
      </c>
      <c r="Q60" s="169"/>
      <c r="R60" s="169">
        <f>VLOOKUP($B60&amp;$D60&amp;$F60&amp;$G60,'CIP Details'!$A$10:$V$363,15,0)</f>
        <v>0</v>
      </c>
      <c r="S60" s="169"/>
      <c r="T60" s="169">
        <f>VLOOKUP($B60&amp;$D60&amp;$F60&amp;$G60,'CIP Details'!$A$10:$V$363,15,0)</f>
        <v>0</v>
      </c>
    </row>
    <row r="61" spans="1:20" x14ac:dyDescent="0.25">
      <c r="A61" s="114" t="str">
        <f t="shared" si="10"/>
        <v>SchoolsSchoolsSecurity VehicleGF</v>
      </c>
      <c r="B61" s="11" t="s">
        <v>1</v>
      </c>
      <c r="C61" s="11">
        <v>61</v>
      </c>
      <c r="D61" s="11" t="s">
        <v>1</v>
      </c>
      <c r="F61" s="276" t="s">
        <v>925</v>
      </c>
      <c r="G61" s="11" t="s">
        <v>16</v>
      </c>
      <c r="K61" s="172"/>
      <c r="L61" s="169">
        <v>50000</v>
      </c>
      <c r="M61" s="169"/>
      <c r="N61" s="169">
        <v>10000</v>
      </c>
      <c r="O61" s="169"/>
      <c r="P61" s="169">
        <f>VLOOKUP($B61&amp;$D61&amp;$F61&amp;$G61,'CIP Details'!$A$10:$V$363,15,0)</f>
        <v>0</v>
      </c>
      <c r="Q61" s="169"/>
      <c r="R61" s="169">
        <f>VLOOKUP($B61&amp;$D61&amp;$F61&amp;$G61,'CIP Details'!$A$10:$V$363,15,0)</f>
        <v>0</v>
      </c>
      <c r="S61" s="169"/>
      <c r="T61" s="169">
        <f>VLOOKUP($B61&amp;$D61&amp;$F61&amp;$G61,'CIP Details'!$A$10:$V$363,15,0)</f>
        <v>0</v>
      </c>
    </row>
    <row r="62" spans="1:20" x14ac:dyDescent="0.25">
      <c r="A62" s="114" t="str">
        <f t="shared" si="10"/>
        <v>SchoolsSchoolsField Improvements - Garrity &amp; Pulcini Fields @ GriswoldGF</v>
      </c>
      <c r="B62" s="11" t="s">
        <v>1</v>
      </c>
      <c r="C62" s="11">
        <v>61</v>
      </c>
      <c r="D62" s="11" t="s">
        <v>1</v>
      </c>
      <c r="F62" s="276" t="s">
        <v>915</v>
      </c>
      <c r="G62" s="11" t="s">
        <v>16</v>
      </c>
      <c r="K62" s="172"/>
      <c r="L62" s="169">
        <v>88000</v>
      </c>
      <c r="M62" s="169"/>
      <c r="N62" s="169">
        <v>0</v>
      </c>
      <c r="O62" s="169"/>
      <c r="P62" s="169">
        <f>VLOOKUP($B62&amp;$D62&amp;$F62&amp;$G62,'CIP Details'!$A$10:$V$363,15,0)</f>
        <v>0</v>
      </c>
      <c r="Q62" s="169"/>
      <c r="R62" s="169">
        <f>VLOOKUP($B62&amp;$D62&amp;$F62&amp;$G62,'CIP Details'!$A$10:$V$363,15,0)</f>
        <v>0</v>
      </c>
      <c r="S62" s="169"/>
      <c r="T62" s="169">
        <f>VLOOKUP($B62&amp;$D62&amp;$F62&amp;$G62,'CIP Details'!$A$10:$V$363,15,0)</f>
        <v>0</v>
      </c>
    </row>
    <row r="63" spans="1:20" x14ac:dyDescent="0.25">
      <c r="A63" s="114" t="str">
        <f t="shared" si="10"/>
        <v>SchoolsSchoolsWillard Renovations - site &amp; buildingGF</v>
      </c>
      <c r="B63" s="11" t="s">
        <v>1</v>
      </c>
      <c r="C63" s="11">
        <v>61</v>
      </c>
      <c r="D63" s="11" t="s">
        <v>1</v>
      </c>
      <c r="F63" s="200" t="s">
        <v>509</v>
      </c>
      <c r="G63" s="123" t="s">
        <v>16</v>
      </c>
      <c r="H63" s="11" t="s">
        <v>531</v>
      </c>
      <c r="K63" s="172"/>
      <c r="L63" s="169">
        <v>150000</v>
      </c>
      <c r="M63" s="169"/>
      <c r="N63" s="169">
        <v>0</v>
      </c>
      <c r="O63" s="169"/>
      <c r="P63" s="169">
        <f>VLOOKUP($B63&amp;$D63&amp;$F63&amp;$G63,'CIP Details'!$A$10:$V$363,15,0)</f>
        <v>0</v>
      </c>
      <c r="Q63" s="169"/>
      <c r="R63" s="169">
        <f>VLOOKUP($B63&amp;$D63&amp;$F63&amp;$G63,'CIP Details'!$A$10:$V$363,15,0)</f>
        <v>0</v>
      </c>
      <c r="S63" s="169"/>
      <c r="T63" s="169">
        <f>VLOOKUP($B63&amp;$D63&amp;$F63&amp;$G63,'CIP Details'!$A$10:$V$363,15,0)</f>
        <v>0</v>
      </c>
    </row>
    <row r="64" spans="1:20" x14ac:dyDescent="0.25">
      <c r="A64" s="114" t="str">
        <f t="shared" si="10"/>
        <v>SchoolsSchoolsLighting control upgrades - BHSGF</v>
      </c>
      <c r="B64" s="11" t="s">
        <v>1</v>
      </c>
      <c r="C64" s="11">
        <v>61</v>
      </c>
      <c r="D64" s="11" t="s">
        <v>1</v>
      </c>
      <c r="F64" s="200" t="s">
        <v>704</v>
      </c>
      <c r="G64" s="123" t="s">
        <v>16</v>
      </c>
      <c r="H64" s="11" t="s">
        <v>531</v>
      </c>
      <c r="K64" s="172"/>
      <c r="L64" s="169">
        <v>100000</v>
      </c>
      <c r="M64" s="169"/>
      <c r="N64" s="169">
        <v>0</v>
      </c>
      <c r="O64" s="169"/>
      <c r="P64" s="169">
        <v>0</v>
      </c>
      <c r="Q64" s="169"/>
      <c r="R64" s="169">
        <v>0</v>
      </c>
      <c r="S64" s="169"/>
      <c r="T64" s="169">
        <v>0</v>
      </c>
    </row>
    <row r="65" spans="1:20" x14ac:dyDescent="0.25">
      <c r="A65" s="114" t="str">
        <f t="shared" si="10"/>
        <v>SchoolsSchoolsMcGee Rooftop Unit 1GF</v>
      </c>
      <c r="B65" s="11" t="s">
        <v>1</v>
      </c>
      <c r="C65" s="11">
        <v>61</v>
      </c>
      <c r="D65" s="11" t="s">
        <v>1</v>
      </c>
      <c r="F65" s="200" t="s">
        <v>722</v>
      </c>
      <c r="G65" s="123" t="s">
        <v>16</v>
      </c>
      <c r="H65" s="11" t="s">
        <v>531</v>
      </c>
      <c r="K65" s="172"/>
      <c r="L65" s="169">
        <v>225000</v>
      </c>
      <c r="M65" s="169"/>
      <c r="N65" s="169">
        <v>225000</v>
      </c>
      <c r="O65" s="169"/>
      <c r="P65" s="169">
        <f>VLOOKUP($B65&amp;$D65&amp;$F65&amp;$G65,'CIP Details'!$A$10:$V$363,15,0)</f>
        <v>0</v>
      </c>
      <c r="Q65" s="169"/>
      <c r="R65" s="169">
        <f>VLOOKUP($B65&amp;$D65&amp;$F65&amp;$G65,'CIP Details'!$A$10:$V$363,15,0)</f>
        <v>0</v>
      </c>
      <c r="S65" s="169"/>
      <c r="T65" s="169">
        <f>VLOOKUP($B65&amp;$D65&amp;$F65&amp;$G65,'CIP Details'!$A$10:$V$363,15,0)</f>
        <v>0</v>
      </c>
    </row>
    <row r="66" spans="1:20" x14ac:dyDescent="0.25">
      <c r="A66" s="114" t="str">
        <f t="shared" si="10"/>
        <v>SchoolsSchoolsSecurity Cameras (Griswold)GF</v>
      </c>
      <c r="B66" s="11" t="s">
        <v>1</v>
      </c>
      <c r="C66" s="11">
        <v>61</v>
      </c>
      <c r="D66" s="11" t="s">
        <v>1</v>
      </c>
      <c r="F66" s="276" t="s">
        <v>951</v>
      </c>
      <c r="G66" s="11" t="s">
        <v>16</v>
      </c>
      <c r="H66" s="11" t="s">
        <v>531</v>
      </c>
      <c r="K66" s="172"/>
      <c r="L66" s="169">
        <v>110000</v>
      </c>
      <c r="M66" s="169"/>
      <c r="N66" s="169">
        <v>0</v>
      </c>
      <c r="O66" s="169"/>
      <c r="P66" s="169">
        <f>VLOOKUP($B66&amp;$D66&amp;$F66&amp;$G66,'CIP Details'!$A$10:$V$363,15,0)</f>
        <v>0</v>
      </c>
      <c r="Q66" s="169"/>
      <c r="R66" s="169">
        <f>VLOOKUP($B66&amp;$D66&amp;$F66&amp;$G66,'CIP Details'!$A$10:$V$363,15,0)</f>
        <v>0</v>
      </c>
      <c r="S66" s="169"/>
      <c r="T66" s="169">
        <f>VLOOKUP($B66&amp;$D66&amp;$F66&amp;$G66,'CIP Details'!$A$10:$V$363,15,0)</f>
        <v>0</v>
      </c>
    </row>
    <row r="67" spans="1:20" x14ac:dyDescent="0.25">
      <c r="A67" s="114" t="str">
        <f t="shared" si="10"/>
        <v>SchoolsSchoolsEmergency Notification System - using competitive security grantGF</v>
      </c>
      <c r="B67" s="11" t="s">
        <v>1</v>
      </c>
      <c r="C67" s="11">
        <v>61</v>
      </c>
      <c r="D67" s="11" t="s">
        <v>1</v>
      </c>
      <c r="F67" s="276" t="s">
        <v>1039</v>
      </c>
      <c r="G67" s="11" t="s">
        <v>16</v>
      </c>
      <c r="K67" s="172"/>
      <c r="L67" s="169">
        <v>25000</v>
      </c>
      <c r="M67" s="169"/>
      <c r="N67" s="169">
        <v>0</v>
      </c>
      <c r="O67" s="169"/>
      <c r="P67" s="169">
        <v>0</v>
      </c>
      <c r="Q67" s="169"/>
      <c r="R67" s="169">
        <v>0</v>
      </c>
      <c r="S67" s="169"/>
      <c r="T67" s="169">
        <v>0</v>
      </c>
    </row>
    <row r="68" spans="1:20" x14ac:dyDescent="0.25">
      <c r="A68" s="114" t="str">
        <f t="shared" si="10"/>
        <v>SchoolsSchoolsRadio System - district-wide for security guards - using competitive security grantGF</v>
      </c>
      <c r="B68" s="11" t="s">
        <v>1</v>
      </c>
      <c r="C68" s="11">
        <v>61</v>
      </c>
      <c r="D68" s="11" t="s">
        <v>1</v>
      </c>
      <c r="F68" s="276" t="s">
        <v>1040</v>
      </c>
      <c r="G68" s="11" t="s">
        <v>16</v>
      </c>
      <c r="K68" s="172"/>
      <c r="L68" s="169">
        <v>100000</v>
      </c>
      <c r="M68" s="169"/>
      <c r="N68" s="169">
        <v>0</v>
      </c>
      <c r="O68" s="169"/>
      <c r="P68" s="169">
        <v>0</v>
      </c>
      <c r="Q68" s="169"/>
      <c r="R68" s="169">
        <v>0</v>
      </c>
      <c r="S68" s="169"/>
      <c r="T68" s="169">
        <v>0</v>
      </c>
    </row>
    <row r="69" spans="1:20" x14ac:dyDescent="0.25">
      <c r="A69" s="114" t="str">
        <f t="shared" si="10"/>
        <v>SchoolsSchoolsMcGee Library Media Center (Lighting, Carpeting)GF</v>
      </c>
      <c r="B69" s="11" t="s">
        <v>1</v>
      </c>
      <c r="C69" s="11">
        <v>61</v>
      </c>
      <c r="D69" s="11" t="s">
        <v>1</v>
      </c>
      <c r="F69" s="200" t="s">
        <v>926</v>
      </c>
      <c r="G69" s="123" t="s">
        <v>16</v>
      </c>
      <c r="K69" s="172"/>
      <c r="L69" s="169">
        <v>82000</v>
      </c>
      <c r="M69" s="169"/>
      <c r="N69" s="169">
        <v>0</v>
      </c>
      <c r="O69" s="169"/>
      <c r="P69" s="169" t="e">
        <f>VLOOKUP($B69&amp;$D69&amp;$F69&amp;$G69,'CIP Details'!$A$10:$V$363,15,0)</f>
        <v>#N/A</v>
      </c>
      <c r="Q69" s="169"/>
      <c r="R69" s="169" t="e">
        <f>VLOOKUP($B69&amp;$D69&amp;$F69&amp;$G69,'CIP Details'!$A$10:$V$363,15,0)</f>
        <v>#N/A</v>
      </c>
      <c r="S69" s="169"/>
      <c r="T69" s="169" t="e">
        <f>VLOOKUP($B69&amp;$D69&amp;$F69&amp;$G69,'CIP Details'!$A$10:$V$363,15,0)</f>
        <v>#N/A</v>
      </c>
    </row>
    <row r="70" spans="1:20" x14ac:dyDescent="0.25">
      <c r="A70" s="114" t="str">
        <f t="shared" si="10"/>
        <v>SchoolsSchoolsMcGee Middle School (Television Studio)GF</v>
      </c>
      <c r="B70" s="11" t="s">
        <v>1</v>
      </c>
      <c r="C70" s="11">
        <v>61</v>
      </c>
      <c r="D70" s="11" t="s">
        <v>1</v>
      </c>
      <c r="F70" s="200" t="s">
        <v>929</v>
      </c>
      <c r="G70" s="123" t="s">
        <v>16</v>
      </c>
      <c r="K70" s="172"/>
      <c r="L70" s="169">
        <v>25000</v>
      </c>
      <c r="M70" s="169"/>
      <c r="N70" s="169">
        <v>0</v>
      </c>
      <c r="O70" s="169"/>
      <c r="P70" s="169" t="e">
        <f>VLOOKUP($B70&amp;$D70&amp;$F70&amp;$G70,'CIP Details'!$A$10:$V$363,15,0)</f>
        <v>#N/A</v>
      </c>
      <c r="Q70" s="169"/>
      <c r="R70" s="169" t="e">
        <f>VLOOKUP($B70&amp;$D70&amp;$F70&amp;$G70,'CIP Details'!$A$10:$V$363,15,0)</f>
        <v>#N/A</v>
      </c>
      <c r="S70" s="169"/>
      <c r="T70" s="169" t="e">
        <f>VLOOKUP($B70&amp;$D70&amp;$F70&amp;$G70,'CIP Details'!$A$10:$V$363,15,0)</f>
        <v>#N/A</v>
      </c>
    </row>
    <row r="71" spans="1:20" x14ac:dyDescent="0.25">
      <c r="A71" s="114" t="str">
        <f t="shared" si="10"/>
        <v>SchoolsSchoolsHubbard Elementary School (Lighting)GF</v>
      </c>
      <c r="B71" s="11" t="s">
        <v>1</v>
      </c>
      <c r="C71" s="11">
        <v>61</v>
      </c>
      <c r="D71" s="11" t="s">
        <v>1</v>
      </c>
      <c r="F71" s="200" t="s">
        <v>927</v>
      </c>
      <c r="G71" s="123" t="s">
        <v>16</v>
      </c>
      <c r="K71" s="172"/>
      <c r="L71" s="169">
        <v>30000</v>
      </c>
      <c r="M71" s="169"/>
      <c r="N71" s="169">
        <v>0</v>
      </c>
      <c r="O71" s="169"/>
      <c r="P71" s="169" t="e">
        <f>VLOOKUP($B71&amp;$D71&amp;$F71&amp;$G71,'CIP Details'!$A$10:$V$363,15,0)</f>
        <v>#N/A</v>
      </c>
      <c r="Q71" s="169"/>
      <c r="R71" s="169" t="e">
        <f>VLOOKUP($B71&amp;$D71&amp;$F71&amp;$G71,'CIP Details'!$A$10:$V$363,15,0)</f>
        <v>#N/A</v>
      </c>
      <c r="S71" s="169"/>
      <c r="T71" s="169" t="e">
        <f>VLOOKUP($B71&amp;$D71&amp;$F71&amp;$G71,'CIP Details'!$A$10:$V$363,15,0)</f>
        <v>#N/A</v>
      </c>
    </row>
    <row r="72" spans="1:20" x14ac:dyDescent="0.25">
      <c r="A72" s="114" t="str">
        <f t="shared" si="10"/>
        <v>SchoolsSchoolsHubbard Library Media Center (Carpeting, Millwork)GF</v>
      </c>
      <c r="B72" s="11" t="s">
        <v>1</v>
      </c>
      <c r="C72" s="11">
        <v>61</v>
      </c>
      <c r="D72" s="11" t="s">
        <v>1</v>
      </c>
      <c r="F72" s="200" t="s">
        <v>928</v>
      </c>
      <c r="G72" s="123" t="s">
        <v>16</v>
      </c>
      <c r="K72" s="172"/>
      <c r="L72" s="169">
        <v>62000</v>
      </c>
      <c r="M72" s="169"/>
      <c r="N72" s="169">
        <v>0</v>
      </c>
      <c r="O72" s="169"/>
      <c r="P72" s="169" t="e">
        <f>VLOOKUP($B72&amp;$D72&amp;$F72&amp;$G72,'CIP Details'!$A$10:$V$363,15,0)</f>
        <v>#N/A</v>
      </c>
      <c r="Q72" s="169"/>
      <c r="R72" s="169" t="e">
        <f>VLOOKUP($B72&amp;$D72&amp;$F72&amp;$G72,'CIP Details'!$A$10:$V$363,15,0)</f>
        <v>#N/A</v>
      </c>
      <c r="S72" s="169"/>
      <c r="T72" s="169" t="e">
        <f>VLOOKUP($B72&amp;$D72&amp;$F72&amp;$G72,'CIP Details'!$A$10:$V$363,15,0)</f>
        <v>#N/A</v>
      </c>
    </row>
    <row r="73" spans="1:20" x14ac:dyDescent="0.25">
      <c r="A73" s="114" t="str">
        <f t="shared" si="10"/>
        <v>SchoolsSchoolsFloor Tiles (Griswold, Hubbard, Willard)GF</v>
      </c>
      <c r="B73" s="11" t="s">
        <v>1</v>
      </c>
      <c r="C73" s="11">
        <v>61</v>
      </c>
      <c r="D73" s="11" t="s">
        <v>1</v>
      </c>
      <c r="F73" s="200" t="s">
        <v>930</v>
      </c>
      <c r="G73" s="123" t="s">
        <v>16</v>
      </c>
      <c r="K73" s="172"/>
      <c r="L73" s="169">
        <v>75000</v>
      </c>
      <c r="M73" s="169"/>
      <c r="N73" s="169">
        <v>0</v>
      </c>
      <c r="O73" s="169"/>
      <c r="P73" s="169" t="e">
        <f>VLOOKUP($B73&amp;$D73&amp;$F73&amp;$G73,'CIP Details'!$A$10:$V$363,15,0)</f>
        <v>#N/A</v>
      </c>
      <c r="Q73" s="169"/>
      <c r="R73" s="169" t="e">
        <f>VLOOKUP($B73&amp;$D73&amp;$F73&amp;$G73,'CIP Details'!$A$10:$V$363,15,0)</f>
        <v>#N/A</v>
      </c>
      <c r="S73" s="169"/>
      <c r="T73" s="169" t="e">
        <f>VLOOKUP($B73&amp;$D73&amp;$F73&amp;$G73,'CIP Details'!$A$10:$V$363,15,0)</f>
        <v>#N/A</v>
      </c>
    </row>
    <row r="74" spans="1:20" x14ac:dyDescent="0.25">
      <c r="A74" s="114" t="str">
        <f t="shared" si="10"/>
        <v>SchoolsSchoolsOffice Reconfiguration (Griswold, Hubbard, McGee, Willard)GF</v>
      </c>
      <c r="B74" s="11" t="s">
        <v>1</v>
      </c>
      <c r="C74" s="11">
        <v>61</v>
      </c>
      <c r="D74" s="11" t="s">
        <v>1</v>
      </c>
      <c r="F74" s="200" t="s">
        <v>931</v>
      </c>
      <c r="G74" s="123" t="s">
        <v>16</v>
      </c>
      <c r="K74" s="172"/>
      <c r="L74" s="169">
        <v>75000</v>
      </c>
      <c r="M74" s="169"/>
      <c r="N74" s="169">
        <v>0</v>
      </c>
      <c r="O74" s="169"/>
      <c r="P74" s="169">
        <v>0</v>
      </c>
      <c r="Q74" s="169"/>
      <c r="R74" s="169">
        <v>0</v>
      </c>
      <c r="S74" s="169"/>
      <c r="T74" s="169">
        <v>0</v>
      </c>
    </row>
    <row r="75" spans="1:20" x14ac:dyDescent="0.25">
      <c r="A75" s="114" t="str">
        <f t="shared" si="10"/>
        <v>SchoolsSchoolsLavatory Upgrades (Griswold, Hubbard, Willard)GF</v>
      </c>
      <c r="B75" s="11" t="s">
        <v>1</v>
      </c>
      <c r="C75" s="11">
        <v>61</v>
      </c>
      <c r="D75" s="11" t="s">
        <v>1</v>
      </c>
      <c r="F75" s="200" t="s">
        <v>932</v>
      </c>
      <c r="G75" s="123" t="s">
        <v>16</v>
      </c>
      <c r="K75" s="172"/>
      <c r="L75" s="169">
        <v>25000</v>
      </c>
      <c r="M75" s="169"/>
      <c r="N75" s="169">
        <v>0</v>
      </c>
      <c r="O75" s="169"/>
      <c r="P75" s="169" t="e">
        <f>VLOOKUP($B75&amp;$D75&amp;$F75&amp;$G75,'CIP Details'!$A$10:$V$363,15,0)</f>
        <v>#N/A</v>
      </c>
      <c r="Q75" s="169"/>
      <c r="R75" s="169" t="e">
        <f>VLOOKUP($B75&amp;$D75&amp;$F75&amp;$G75,'CIP Details'!$A$10:$V$363,15,0)</f>
        <v>#N/A</v>
      </c>
      <c r="S75" s="169"/>
      <c r="T75" s="169" t="e">
        <f>VLOOKUP($B75&amp;$D75&amp;$F75&amp;$G75,'CIP Details'!$A$10:$V$363,15,0)</f>
        <v>#N/A</v>
      </c>
    </row>
    <row r="76" spans="1:20" x14ac:dyDescent="0.25">
      <c r="C76" s="220"/>
      <c r="D76" s="220"/>
      <c r="E76" s="221"/>
      <c r="F76" s="203"/>
      <c r="G76" s="220"/>
      <c r="H76" s="220"/>
      <c r="I76" s="220"/>
      <c r="J76" s="221"/>
      <c r="K76" s="223"/>
      <c r="L76" s="220"/>
      <c r="M76" s="222"/>
      <c r="N76" s="222"/>
      <c r="O76" s="222"/>
      <c r="P76" s="222"/>
      <c r="Q76" s="222"/>
      <c r="R76" s="222"/>
      <c r="S76" s="222"/>
      <c r="T76" s="222"/>
    </row>
    <row r="77" spans="1:20" ht="15.75" thickBot="1" x14ac:dyDescent="0.3">
      <c r="E77" s="121"/>
      <c r="G77" s="117" t="s">
        <v>479</v>
      </c>
      <c r="H77" s="117"/>
      <c r="I77" s="117"/>
      <c r="J77" s="121"/>
      <c r="K77" s="173"/>
      <c r="L77" s="122">
        <f>SUM(L9:L75)</f>
        <v>6976965</v>
      </c>
      <c r="M77" s="282"/>
      <c r="N77" s="170">
        <f>SUM(N9:N75)</f>
        <v>2235400</v>
      </c>
      <c r="O77" s="282"/>
      <c r="P77" s="170" t="e">
        <f>SUM(P9:P75)</f>
        <v>#N/A</v>
      </c>
      <c r="Q77" s="282"/>
      <c r="R77" s="170" t="e">
        <f>SUM(R9:R75)</f>
        <v>#N/A</v>
      </c>
      <c r="S77" s="282"/>
      <c r="T77" s="170" t="e">
        <f>SUM(T9:T75)</f>
        <v>#N/A</v>
      </c>
    </row>
    <row r="78" spans="1:20" ht="15.75" thickTop="1" x14ac:dyDescent="0.25">
      <c r="G78" s="287" t="s">
        <v>740</v>
      </c>
      <c r="H78" s="287"/>
      <c r="I78" s="287"/>
      <c r="J78" s="289"/>
      <c r="K78" s="292"/>
      <c r="L78" s="294">
        <f>(L77-'CIP Details'!$O$370)*0</f>
        <v>0</v>
      </c>
      <c r="M78" s="293"/>
      <c r="N78" s="295">
        <f>(N77-'CIP Details'!$O$370)*0</f>
        <v>0</v>
      </c>
      <c r="O78" s="293"/>
      <c r="P78" s="295" t="e">
        <f>P77-'CIP Details'!$O$370</f>
        <v>#N/A</v>
      </c>
      <c r="Q78" s="293"/>
      <c r="R78" s="295" t="e">
        <f>R77-'CIP Details'!$O$370</f>
        <v>#N/A</v>
      </c>
      <c r="S78" s="293"/>
      <c r="T78" s="295" t="e">
        <f>T77-'CIP Details'!$O$370</f>
        <v>#N/A</v>
      </c>
    </row>
    <row r="79" spans="1:20" x14ac:dyDescent="0.25">
      <c r="L79" s="115"/>
      <c r="N79" s="124"/>
      <c r="O79" s="124"/>
      <c r="P79" s="124"/>
      <c r="Q79" s="124"/>
      <c r="R79" s="124"/>
      <c r="S79" s="124"/>
      <c r="T79" s="124"/>
    </row>
    <row r="80" spans="1:20" x14ac:dyDescent="0.25">
      <c r="L80" s="115"/>
      <c r="N80" s="124"/>
      <c r="O80" s="124"/>
      <c r="P80" s="124"/>
      <c r="Q80" s="124"/>
      <c r="R80" s="124"/>
      <c r="S80" s="124"/>
      <c r="T80" s="124"/>
    </row>
    <row r="81" spans="14:20" x14ac:dyDescent="0.25">
      <c r="N81" s="124"/>
      <c r="O81" s="124"/>
      <c r="P81" s="124"/>
      <c r="Q81" s="124"/>
      <c r="R81" s="124"/>
      <c r="S81" s="124"/>
      <c r="T81" s="124"/>
    </row>
    <row r="82" spans="14:20" x14ac:dyDescent="0.25">
      <c r="N82" s="124"/>
      <c r="O82" s="124"/>
      <c r="P82" s="124"/>
      <c r="Q82" s="124"/>
      <c r="R82" s="124"/>
      <c r="S82" s="124"/>
      <c r="T82" s="124"/>
    </row>
    <row r="83" spans="14:20" x14ac:dyDescent="0.25">
      <c r="N83" s="124"/>
      <c r="O83" s="124"/>
      <c r="P83" s="124"/>
      <c r="Q83" s="124"/>
      <c r="R83" s="124"/>
      <c r="S83" s="124"/>
      <c r="T83" s="124"/>
    </row>
    <row r="84" spans="14:20" x14ac:dyDescent="0.25">
      <c r="N84" s="124"/>
      <c r="O84" s="124"/>
      <c r="P84" s="124"/>
      <c r="Q84" s="124"/>
      <c r="R84" s="124"/>
      <c r="S84" s="124"/>
      <c r="T84" s="124"/>
    </row>
    <row r="85" spans="14:20" x14ac:dyDescent="0.25">
      <c r="N85" s="124"/>
      <c r="O85" s="124"/>
      <c r="P85" s="124"/>
      <c r="Q85" s="124"/>
      <c r="R85" s="124"/>
      <c r="S85" s="124"/>
      <c r="T85" s="124"/>
    </row>
    <row r="86" spans="14:20" x14ac:dyDescent="0.25">
      <c r="N86" s="124"/>
      <c r="O86" s="124"/>
      <c r="P86" s="124"/>
      <c r="Q86" s="124"/>
      <c r="R86" s="124"/>
      <c r="S86" s="124"/>
      <c r="T86" s="124"/>
    </row>
    <row r="87" spans="14:20" x14ac:dyDescent="0.25">
      <c r="N87" s="124"/>
      <c r="O87" s="124"/>
      <c r="P87" s="124"/>
      <c r="Q87" s="124"/>
      <c r="R87" s="124"/>
      <c r="S87" s="124"/>
      <c r="T87" s="124"/>
    </row>
    <row r="88" spans="14:20" x14ac:dyDescent="0.25">
      <c r="N88" s="124"/>
      <c r="O88" s="124"/>
      <c r="P88" s="124"/>
      <c r="Q88" s="124"/>
      <c r="R88" s="124"/>
      <c r="S88" s="124"/>
      <c r="T88" s="124"/>
    </row>
    <row r="89" spans="14:20" x14ac:dyDescent="0.25">
      <c r="N89" s="124"/>
      <c r="O89" s="124"/>
      <c r="P89" s="124"/>
      <c r="Q89" s="124"/>
      <c r="R89" s="124"/>
      <c r="S89" s="124"/>
      <c r="T89" s="124"/>
    </row>
    <row r="90" spans="14:20" x14ac:dyDescent="0.25">
      <c r="N90" s="124"/>
      <c r="O90" s="124"/>
      <c r="P90" s="124"/>
      <c r="Q90" s="124"/>
      <c r="R90" s="124"/>
      <c r="S90" s="124"/>
      <c r="T90" s="124"/>
    </row>
    <row r="91" spans="14:20" x14ac:dyDescent="0.25">
      <c r="N91" s="124"/>
      <c r="O91" s="124"/>
      <c r="P91" s="124"/>
      <c r="Q91" s="124"/>
      <c r="R91" s="124"/>
      <c r="S91" s="124"/>
      <c r="T91" s="124"/>
    </row>
  </sheetData>
  <pageMargins left="0.4" right="0.4" top="0.4" bottom="0.4" header="0" footer="0"/>
  <pageSetup scale="63" fitToHeight="0" orientation="landscape" r:id="rId1"/>
  <headerFooter>
    <oddFooter>&amp;R&amp;D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5:Y21"/>
  <sheetViews>
    <sheetView topLeftCell="C1" zoomScale="85" zoomScaleNormal="85" workbookViewId="0">
      <selection activeCell="O11" sqref="O11"/>
    </sheetView>
  </sheetViews>
  <sheetFormatPr defaultRowHeight="15" outlineLevelRow="1" outlineLevelCol="1" x14ac:dyDescent="0.25"/>
  <cols>
    <col min="1" max="1" width="77.140625" hidden="1" customWidth="1" outlineLevel="1"/>
    <col min="2" max="2" width="26.7109375" hidden="1" customWidth="1" outlineLevel="1"/>
    <col min="3" max="3" width="8.7109375" bestFit="1" customWidth="1" collapsed="1"/>
    <col min="4" max="4" width="17.85546875" bestFit="1" customWidth="1"/>
    <col min="6" max="6" width="47.5703125" bestFit="1" customWidth="1"/>
    <col min="7" max="7" width="10.28515625" bestFit="1" customWidth="1"/>
    <col min="8" max="8" width="14" bestFit="1" customWidth="1"/>
    <col min="9" max="9" width="7.28515625" bestFit="1" customWidth="1"/>
    <col min="11" max="11" width="7.5703125" bestFit="1" customWidth="1"/>
    <col min="12" max="12" width="8.5703125" bestFit="1" customWidth="1"/>
    <col min="13" max="13" width="11.140625" bestFit="1" customWidth="1"/>
    <col min="14" max="14" width="5.140625" customWidth="1"/>
    <col min="15" max="22" width="8.5703125" bestFit="1" customWidth="1"/>
  </cols>
  <sheetData>
    <row r="5" spans="1:25" ht="18.75" x14ac:dyDescent="0.3">
      <c r="B5" s="3" t="s">
        <v>433</v>
      </c>
      <c r="C5" s="127" t="s">
        <v>502</v>
      </c>
      <c r="D5" s="127" t="s">
        <v>206</v>
      </c>
      <c r="E5" s="126"/>
      <c r="F5" s="127" t="s">
        <v>434</v>
      </c>
      <c r="G5" s="127" t="s">
        <v>270</v>
      </c>
      <c r="H5" s="135" t="s">
        <v>530</v>
      </c>
      <c r="I5" s="135" t="s">
        <v>536</v>
      </c>
      <c r="J5" s="126"/>
      <c r="K5" s="127" t="s">
        <v>2</v>
      </c>
      <c r="L5" s="127" t="s">
        <v>3</v>
      </c>
      <c r="M5" s="127" t="s">
        <v>4</v>
      </c>
      <c r="N5" s="271"/>
      <c r="O5" s="127" t="s">
        <v>5</v>
      </c>
      <c r="P5" s="127" t="s">
        <v>6</v>
      </c>
      <c r="Q5" s="127" t="s">
        <v>7</v>
      </c>
      <c r="R5" s="127" t="s">
        <v>8</v>
      </c>
      <c r="S5" s="127" t="s">
        <v>9</v>
      </c>
      <c r="T5" s="127" t="s">
        <v>10</v>
      </c>
      <c r="U5" s="127" t="s">
        <v>11</v>
      </c>
      <c r="V5" s="127" t="s">
        <v>45</v>
      </c>
      <c r="W5" s="127" t="s">
        <v>622</v>
      </c>
      <c r="X5" s="127" t="s">
        <v>868</v>
      </c>
    </row>
    <row r="6" spans="1:25" x14ac:dyDescent="0.25">
      <c r="N6" s="89"/>
    </row>
    <row r="7" spans="1:25" s="114" customFormat="1" x14ac:dyDescent="0.25">
      <c r="A7" s="114" t="str">
        <f t="shared" ref="A7" si="0">B7&amp;D7&amp;F7&amp;G7</f>
        <v>General GovernmentTown ClerkRecords Management ProgramGF</v>
      </c>
      <c r="B7" s="11" t="s">
        <v>314</v>
      </c>
      <c r="C7" s="11">
        <v>11</v>
      </c>
      <c r="D7" s="11" t="s">
        <v>501</v>
      </c>
      <c r="F7" s="263" t="s">
        <v>847</v>
      </c>
      <c r="G7" s="11" t="s">
        <v>16</v>
      </c>
      <c r="H7" s="11" t="s">
        <v>522</v>
      </c>
      <c r="I7" s="11" t="s">
        <v>848</v>
      </c>
      <c r="K7" s="169">
        <v>2000</v>
      </c>
      <c r="L7" s="169">
        <v>2000</v>
      </c>
      <c r="M7" s="169">
        <f>2000*0</f>
        <v>0</v>
      </c>
      <c r="N7" s="172"/>
      <c r="O7" s="169">
        <v>2000</v>
      </c>
      <c r="P7" s="169">
        <v>2000</v>
      </c>
      <c r="Q7" s="169">
        <v>2000</v>
      </c>
      <c r="R7" s="169">
        <v>2000</v>
      </c>
      <c r="S7" s="169">
        <v>2000</v>
      </c>
      <c r="T7" s="169">
        <v>2000</v>
      </c>
      <c r="U7" s="169">
        <v>2000</v>
      </c>
      <c r="V7" s="169">
        <v>2000</v>
      </c>
      <c r="W7" s="169">
        <v>2000</v>
      </c>
      <c r="X7" s="169">
        <v>2000</v>
      </c>
      <c r="Y7" s="124"/>
    </row>
    <row r="8" spans="1:25" x14ac:dyDescent="0.25">
      <c r="K8" s="26"/>
      <c r="L8" s="26"/>
      <c r="M8" s="26"/>
      <c r="N8" s="89"/>
      <c r="O8" s="26"/>
      <c r="P8" s="26"/>
      <c r="Q8" s="26"/>
      <c r="R8" s="26"/>
      <c r="S8" s="26"/>
      <c r="T8" s="26"/>
      <c r="U8" s="26"/>
      <c r="V8" s="26"/>
      <c r="W8" s="26"/>
      <c r="X8" s="26"/>
      <c r="Y8" s="26"/>
    </row>
    <row r="9" spans="1:25" s="114" customFormat="1" x14ac:dyDescent="0.25">
      <c r="A9" s="114" t="str">
        <f>B9&amp;D9&amp;F9&amp;G9</f>
        <v>Physical ServicesHighwayAsphalt UploaderGF</v>
      </c>
      <c r="B9" s="11" t="s">
        <v>365</v>
      </c>
      <c r="C9" s="11">
        <v>37</v>
      </c>
      <c r="D9" s="11" t="s">
        <v>461</v>
      </c>
      <c r="F9" s="197" t="s">
        <v>465</v>
      </c>
      <c r="G9" s="11" t="s">
        <v>16</v>
      </c>
      <c r="H9" s="11" t="s">
        <v>531</v>
      </c>
      <c r="I9" s="11" t="s">
        <v>645</v>
      </c>
      <c r="K9" s="169"/>
      <c r="L9" s="169"/>
      <c r="M9" s="169">
        <f>15000*0</f>
        <v>0</v>
      </c>
      <c r="N9" s="172"/>
      <c r="O9" s="169"/>
      <c r="P9" s="169">
        <f>15000</f>
        <v>15000</v>
      </c>
      <c r="Q9" s="169"/>
      <c r="R9" s="169"/>
      <c r="S9" s="169"/>
      <c r="T9" s="169"/>
      <c r="U9" s="169"/>
      <c r="V9" s="169"/>
      <c r="W9" s="169"/>
      <c r="X9" s="169"/>
      <c r="Y9" s="169"/>
    </row>
    <row r="10" spans="1:25" x14ac:dyDescent="0.25">
      <c r="K10" s="26"/>
      <c r="L10" s="26"/>
      <c r="M10" s="26"/>
      <c r="N10" s="89"/>
      <c r="O10" s="26"/>
      <c r="P10" s="26"/>
      <c r="Q10" s="26"/>
      <c r="R10" s="26"/>
      <c r="S10" s="26"/>
      <c r="T10" s="26"/>
      <c r="U10" s="26"/>
      <c r="V10" s="26"/>
      <c r="W10" s="26"/>
      <c r="X10" s="26"/>
      <c r="Y10" s="26"/>
    </row>
    <row r="11" spans="1:25" s="114" customFormat="1" ht="45" x14ac:dyDescent="0.25">
      <c r="A11" s="114" t="str">
        <f t="shared" ref="A11" si="1">B11&amp;D11&amp;F11&amp;G11</f>
        <v>Parks, Recreation &amp; LibrariesGolf CourseEquipment Purchase - annual piece of equipment TBD by the Golf Course Director in conjuction with the Golf Commission &amp; Town ManagerGF</v>
      </c>
      <c r="B11" s="11" t="s">
        <v>366</v>
      </c>
      <c r="C11" s="11">
        <v>43</v>
      </c>
      <c r="D11" s="11" t="s">
        <v>438</v>
      </c>
      <c r="F11" s="263" t="s">
        <v>872</v>
      </c>
      <c r="G11" s="11" t="s">
        <v>16</v>
      </c>
      <c r="H11" s="11" t="s">
        <v>522</v>
      </c>
      <c r="I11" s="11"/>
      <c r="K11" s="169"/>
      <c r="L11" s="169">
        <v>17863</v>
      </c>
      <c r="M11" s="169">
        <f>L11*0</f>
        <v>0</v>
      </c>
      <c r="N11" s="172"/>
      <c r="O11" s="169"/>
      <c r="P11" s="169">
        <v>20000</v>
      </c>
      <c r="Q11" s="169">
        <v>20000</v>
      </c>
      <c r="R11" s="169">
        <v>20000</v>
      </c>
      <c r="S11" s="169">
        <v>20000</v>
      </c>
      <c r="T11" s="169">
        <v>20000</v>
      </c>
      <c r="U11" s="169">
        <v>20000</v>
      </c>
      <c r="V11" s="169">
        <v>20000</v>
      </c>
      <c r="W11" s="169">
        <v>20000</v>
      </c>
      <c r="X11" s="169">
        <v>20000</v>
      </c>
      <c r="Y11" s="169"/>
    </row>
    <row r="12" spans="1:25" x14ac:dyDescent="0.25">
      <c r="K12" s="26"/>
      <c r="L12" s="26"/>
      <c r="M12" s="26"/>
      <c r="N12" s="89"/>
      <c r="O12" s="26"/>
      <c r="P12" s="26"/>
      <c r="Q12" s="26"/>
      <c r="R12" s="26"/>
      <c r="S12" s="26"/>
      <c r="T12" s="26"/>
      <c r="U12" s="26"/>
      <c r="V12" s="26"/>
      <c r="W12" s="26"/>
      <c r="X12" s="26"/>
      <c r="Y12" s="26"/>
    </row>
    <row r="13" spans="1:25" s="114" customFormat="1" x14ac:dyDescent="0.25">
      <c r="A13" s="114" t="str">
        <f t="shared" ref="A13:A19" si="2">B13&amp;D13&amp;F13&amp;G13</f>
        <v>Parks, Recreation &amp; LibrariesPublic GroundsZero degree mowerGF</v>
      </c>
      <c r="B13" s="11" t="s">
        <v>366</v>
      </c>
      <c r="C13" s="11">
        <v>45</v>
      </c>
      <c r="D13" s="11" t="s">
        <v>46</v>
      </c>
      <c r="F13" s="263" t="s">
        <v>23</v>
      </c>
      <c r="G13" s="11" t="s">
        <v>16</v>
      </c>
      <c r="H13" s="11" t="s">
        <v>531</v>
      </c>
      <c r="I13" s="11"/>
      <c r="K13" s="169"/>
      <c r="L13" s="169"/>
      <c r="M13" s="169">
        <f>20000*0</f>
        <v>0</v>
      </c>
      <c r="N13" s="172"/>
      <c r="O13" s="169"/>
      <c r="P13" s="169">
        <v>20000</v>
      </c>
      <c r="Q13" s="169">
        <v>20000</v>
      </c>
      <c r="R13" s="169">
        <v>20000</v>
      </c>
      <c r="S13" s="169"/>
      <c r="T13" s="169">
        <v>20000</v>
      </c>
      <c r="U13" s="169"/>
      <c r="V13" s="169">
        <v>20000</v>
      </c>
      <c r="W13" s="169"/>
      <c r="X13" s="169">
        <v>20000</v>
      </c>
      <c r="Y13" s="169"/>
    </row>
    <row r="14" spans="1:25" s="114" customFormat="1" x14ac:dyDescent="0.25">
      <c r="A14" s="114" t="str">
        <f t="shared" si="2"/>
        <v>Parks, Recreation &amp; LibrariesPublic GroundsTrailer (20 ft.) replacementGF</v>
      </c>
      <c r="B14" s="11" t="s">
        <v>366</v>
      </c>
      <c r="C14" s="11">
        <v>45</v>
      </c>
      <c r="D14" s="11" t="s">
        <v>46</v>
      </c>
      <c r="F14" s="263" t="s">
        <v>22</v>
      </c>
      <c r="G14" s="11" t="s">
        <v>16</v>
      </c>
      <c r="H14" s="11" t="s">
        <v>531</v>
      </c>
      <c r="I14" s="11"/>
      <c r="K14" s="169"/>
      <c r="L14" s="169">
        <v>10000</v>
      </c>
      <c r="M14" s="169">
        <f>10000*0</f>
        <v>0</v>
      </c>
      <c r="N14" s="172"/>
      <c r="O14" s="169"/>
      <c r="P14" s="169">
        <f>10000</f>
        <v>10000</v>
      </c>
      <c r="Q14" s="169"/>
      <c r="R14" s="169"/>
      <c r="S14" s="169"/>
      <c r="T14" s="169"/>
      <c r="U14" s="169"/>
      <c r="V14" s="169"/>
      <c r="W14" s="169"/>
      <c r="X14" s="169"/>
      <c r="Y14" s="169"/>
    </row>
    <row r="15" spans="1:25" s="114" customFormat="1" x14ac:dyDescent="0.25">
      <c r="A15" s="114" t="str">
        <f t="shared" si="2"/>
        <v>Parks, Recreation &amp; LibrariesPublic GroundsBall field groomerGF</v>
      </c>
      <c r="B15" s="11" t="s">
        <v>366</v>
      </c>
      <c r="C15" s="11">
        <v>45</v>
      </c>
      <c r="D15" s="11" t="s">
        <v>46</v>
      </c>
      <c r="F15" s="263" t="s">
        <v>21</v>
      </c>
      <c r="G15" s="11" t="s">
        <v>16</v>
      </c>
      <c r="H15" s="11" t="s">
        <v>531</v>
      </c>
      <c r="I15" s="11"/>
      <c r="K15" s="169"/>
      <c r="L15" s="169"/>
      <c r="M15" s="169">
        <f>23500*0</f>
        <v>0</v>
      </c>
      <c r="N15" s="172"/>
      <c r="O15" s="169"/>
      <c r="P15" s="169"/>
      <c r="Q15" s="169"/>
      <c r="R15" s="169">
        <v>23500</v>
      </c>
      <c r="S15" s="169"/>
      <c r="T15" s="169"/>
      <c r="U15" s="169"/>
      <c r="V15" s="169"/>
      <c r="W15" s="169"/>
      <c r="X15" s="169">
        <v>30000</v>
      </c>
      <c r="Y15" s="169"/>
    </row>
    <row r="16" spans="1:25" s="114" customFormat="1" x14ac:dyDescent="0.25">
      <c r="A16" s="114" t="str">
        <f t="shared" si="2"/>
        <v>Parks, Recreation &amp; LibrariesPublic GroundsGoosinatorGF</v>
      </c>
      <c r="B16" s="11" t="s">
        <v>366</v>
      </c>
      <c r="C16" s="11">
        <v>45</v>
      </c>
      <c r="D16" s="11" t="s">
        <v>46</v>
      </c>
      <c r="F16" s="263" t="s">
        <v>353</v>
      </c>
      <c r="G16" s="11" t="s">
        <v>16</v>
      </c>
      <c r="H16" s="11" t="s">
        <v>531</v>
      </c>
      <c r="I16" s="11"/>
      <c r="K16" s="169"/>
      <c r="L16" s="169"/>
      <c r="M16" s="169">
        <f>8000*0</f>
        <v>0</v>
      </c>
      <c r="N16" s="172"/>
      <c r="O16" s="169"/>
      <c r="P16" s="169"/>
      <c r="Q16" s="169"/>
      <c r="R16" s="169"/>
      <c r="S16" s="169"/>
      <c r="T16" s="169"/>
      <c r="U16" s="169"/>
      <c r="V16" s="169"/>
      <c r="W16" s="124"/>
      <c r="X16" s="124"/>
      <c r="Y16" s="124"/>
    </row>
    <row r="17" spans="1:25" s="114" customFormat="1" x14ac:dyDescent="0.25">
      <c r="A17" s="114" t="str">
        <f t="shared" si="2"/>
        <v>Parks, Recreation &amp; LibrariesPublic GroundsTrailersGF</v>
      </c>
      <c r="B17" s="11" t="s">
        <v>366</v>
      </c>
      <c r="C17" s="11">
        <v>45</v>
      </c>
      <c r="D17" s="11" t="s">
        <v>46</v>
      </c>
      <c r="F17" s="263" t="s">
        <v>477</v>
      </c>
      <c r="G17" s="11" t="s">
        <v>16</v>
      </c>
      <c r="H17" s="11" t="s">
        <v>522</v>
      </c>
      <c r="I17" s="11"/>
      <c r="K17" s="169"/>
      <c r="L17" s="169"/>
      <c r="M17" s="169"/>
      <c r="N17" s="172"/>
      <c r="O17" s="169"/>
      <c r="P17" s="169"/>
      <c r="Q17" s="169">
        <v>8000</v>
      </c>
      <c r="R17" s="169"/>
      <c r="S17" s="169">
        <v>8000</v>
      </c>
      <c r="T17" s="169"/>
      <c r="U17" s="169">
        <v>8000</v>
      </c>
      <c r="V17" s="169"/>
      <c r="W17" s="169">
        <v>8000</v>
      </c>
      <c r="X17" s="169"/>
      <c r="Y17" s="169"/>
    </row>
    <row r="18" spans="1:25" s="114" customFormat="1" outlineLevel="1" x14ac:dyDescent="0.25">
      <c r="A18" s="114" t="str">
        <f t="shared" si="2"/>
        <v>Parks, Recreation &amp; LibrariesPublic GroundsLeaf boxGF</v>
      </c>
      <c r="B18" s="11" t="s">
        <v>366</v>
      </c>
      <c r="C18" s="11">
        <v>45</v>
      </c>
      <c r="D18" s="11" t="s">
        <v>46</v>
      </c>
      <c r="F18" s="263" t="s">
        <v>27</v>
      </c>
      <c r="G18" s="11" t="s">
        <v>16</v>
      </c>
      <c r="H18" s="11" t="s">
        <v>531</v>
      </c>
      <c r="I18" s="11"/>
      <c r="K18" s="169"/>
      <c r="L18" s="169"/>
      <c r="M18" s="169"/>
      <c r="N18" s="172"/>
      <c r="O18" s="169"/>
      <c r="P18" s="169">
        <v>6000</v>
      </c>
      <c r="Q18" s="169">
        <v>6000</v>
      </c>
      <c r="R18" s="169"/>
      <c r="S18" s="169"/>
      <c r="T18" s="169"/>
      <c r="U18" s="169"/>
      <c r="V18" s="169"/>
      <c r="W18" s="124"/>
      <c r="X18" s="124"/>
      <c r="Y18" s="124"/>
    </row>
    <row r="19" spans="1:25" s="114" customFormat="1" outlineLevel="1" x14ac:dyDescent="0.25">
      <c r="A19" s="114" t="str">
        <f t="shared" si="2"/>
        <v>Parks, Recreation &amp; LibrariesPublic GroundsRollerGF</v>
      </c>
      <c r="B19" s="11" t="s">
        <v>366</v>
      </c>
      <c r="C19" s="11">
        <v>45</v>
      </c>
      <c r="D19" s="11" t="s">
        <v>46</v>
      </c>
      <c r="F19" s="263" t="s">
        <v>32</v>
      </c>
      <c r="G19" s="11" t="s">
        <v>16</v>
      </c>
      <c r="H19" s="11" t="s">
        <v>531</v>
      </c>
      <c r="I19" s="11"/>
      <c r="K19" s="169"/>
      <c r="L19" s="169"/>
      <c r="M19" s="169"/>
      <c r="N19" s="172"/>
      <c r="O19" s="169"/>
      <c r="P19" s="169"/>
      <c r="Q19" s="169">
        <v>17000</v>
      </c>
      <c r="R19" s="169"/>
      <c r="S19" s="169"/>
      <c r="T19" s="169"/>
      <c r="U19" s="169"/>
      <c r="V19" s="169"/>
      <c r="W19" s="124"/>
      <c r="X19" s="124"/>
      <c r="Y19" s="124"/>
    </row>
    <row r="20" spans="1:25" ht="15.75" thickBot="1" x14ac:dyDescent="0.3">
      <c r="K20" s="7">
        <f t="shared" ref="K20:M20" si="3">SUM(K13:K19)</f>
        <v>0</v>
      </c>
      <c r="L20" s="7">
        <f t="shared" si="3"/>
        <v>10000</v>
      </c>
      <c r="M20" s="7">
        <f t="shared" si="3"/>
        <v>0</v>
      </c>
      <c r="N20" s="89"/>
      <c r="O20" s="7">
        <f>SUM(O13:O19)</f>
        <v>0</v>
      </c>
      <c r="P20" s="7">
        <f>SUM(P13:P19)</f>
        <v>36000</v>
      </c>
      <c r="Q20" s="7">
        <f t="shared" ref="Q20:X20" si="4">SUM(Q13:Q19)</f>
        <v>51000</v>
      </c>
      <c r="R20" s="7">
        <f t="shared" si="4"/>
        <v>43500</v>
      </c>
      <c r="S20" s="7">
        <f t="shared" si="4"/>
        <v>8000</v>
      </c>
      <c r="T20" s="7">
        <f t="shared" si="4"/>
        <v>20000</v>
      </c>
      <c r="U20" s="7">
        <f t="shared" si="4"/>
        <v>8000</v>
      </c>
      <c r="V20" s="7">
        <f t="shared" si="4"/>
        <v>20000</v>
      </c>
      <c r="W20" s="7">
        <f t="shared" si="4"/>
        <v>8000</v>
      </c>
      <c r="X20" s="7">
        <f t="shared" si="4"/>
        <v>50000</v>
      </c>
    </row>
    <row r="21" spans="1:25" ht="15.75" thickTop="1" x14ac:dyDescent="0.25"/>
  </sheetData>
  <customSheetViews>
    <customSheetView guid="{BB410D8C-36DE-400F-AB69-DB51CF9CA663}" scale="85" topLeftCell="A2">
      <selection activeCell="A13" sqref="A13"/>
      <pageMargins left="0.7" right="0.7" top="0.75" bottom="0.75" header="0.3" footer="0.3"/>
      <pageSetup orientation="portrait" horizontalDpi="0" verticalDpi="0" r:id="rId1"/>
    </customSheetView>
  </customSheetViews>
  <pageMargins left="0.7" right="0.7" top="0.75" bottom="0.75" header="0.3" footer="0.3"/>
  <pageSetup orientation="portrait" horizontalDpi="0" verticalDpi="0"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31"/>
  <sheetViews>
    <sheetView workbookViewId="0">
      <pane xSplit="5" ySplit="8" topLeftCell="F60" activePane="bottomRight" state="frozen"/>
      <selection pane="topRight" activeCell="F1" sqref="F1"/>
      <selection pane="bottomLeft" activeCell="A9" sqref="A9"/>
      <selection pane="bottomRight" activeCell="G68" sqref="G68"/>
    </sheetView>
  </sheetViews>
  <sheetFormatPr defaultRowHeight="15" x14ac:dyDescent="0.25"/>
  <cols>
    <col min="1" max="1" width="26.7109375" bestFit="1" customWidth="1"/>
    <col min="2" max="2" width="13.7109375" style="1" customWidth="1"/>
    <col min="3" max="3" width="74" customWidth="1"/>
    <col min="4" max="4" width="8.28515625" style="1" customWidth="1"/>
    <col min="5" max="5" width="2.85546875" customWidth="1"/>
    <col min="6" max="6" width="11.140625" style="6" bestFit="1" customWidth="1"/>
    <col min="7" max="8" width="10.140625" style="6" bestFit="1" customWidth="1"/>
    <col min="9" max="9" width="10.85546875" style="6" customWidth="1"/>
    <col min="10" max="10" width="11.140625" style="6" bestFit="1" customWidth="1"/>
    <col min="11" max="15" width="10.140625" style="6" bestFit="1" customWidth="1"/>
    <col min="16" max="16" width="10.140625" style="6" customWidth="1"/>
    <col min="17" max="17" width="13.28515625" bestFit="1" customWidth="1"/>
  </cols>
  <sheetData>
    <row r="1" spans="1:16" ht="21" x14ac:dyDescent="0.35">
      <c r="A1" s="17" t="s">
        <v>62</v>
      </c>
      <c r="B1"/>
    </row>
    <row r="2" spans="1:16" ht="21" x14ac:dyDescent="0.35">
      <c r="A2" s="17" t="s">
        <v>100</v>
      </c>
      <c r="B2"/>
      <c r="I2" s="19"/>
    </row>
    <row r="3" spans="1:16" ht="21" x14ac:dyDescent="0.35">
      <c r="A3" s="17" t="s">
        <v>64</v>
      </c>
      <c r="B3"/>
      <c r="F3"/>
      <c r="G3"/>
      <c r="H3"/>
      <c r="I3"/>
      <c r="J3"/>
      <c r="K3"/>
      <c r="L3"/>
      <c r="M3"/>
      <c r="N3"/>
      <c r="O3"/>
      <c r="P3"/>
    </row>
    <row r="4" spans="1:16" x14ac:dyDescent="0.25">
      <c r="B4"/>
      <c r="F4"/>
      <c r="G4"/>
      <c r="H4"/>
      <c r="I4"/>
      <c r="J4"/>
      <c r="K4"/>
      <c r="L4"/>
      <c r="M4"/>
      <c r="N4"/>
      <c r="O4"/>
      <c r="P4"/>
    </row>
    <row r="5" spans="1:16" x14ac:dyDescent="0.25">
      <c r="B5"/>
      <c r="F5"/>
      <c r="G5"/>
      <c r="H5"/>
      <c r="I5"/>
      <c r="J5"/>
      <c r="K5"/>
      <c r="L5"/>
      <c r="M5"/>
      <c r="N5"/>
      <c r="O5"/>
      <c r="P5"/>
    </row>
    <row r="6" spans="1:16" x14ac:dyDescent="0.25">
      <c r="B6"/>
    </row>
    <row r="7" spans="1:16" x14ac:dyDescent="0.25">
      <c r="B7"/>
      <c r="F7"/>
      <c r="G7"/>
      <c r="H7"/>
      <c r="I7"/>
      <c r="J7"/>
      <c r="K7"/>
      <c r="L7"/>
      <c r="M7"/>
      <c r="N7"/>
      <c r="O7"/>
      <c r="P7"/>
    </row>
    <row r="8" spans="1:16" x14ac:dyDescent="0.25">
      <c r="A8" s="5" t="s">
        <v>433</v>
      </c>
      <c r="B8" s="3" t="s">
        <v>206</v>
      </c>
      <c r="C8" s="5" t="s">
        <v>0</v>
      </c>
      <c r="D8" s="113" t="s">
        <v>270</v>
      </c>
      <c r="F8" s="3" t="s">
        <v>2</v>
      </c>
      <c r="G8" s="3" t="s">
        <v>3</v>
      </c>
      <c r="H8" s="3" t="s">
        <v>4</v>
      </c>
      <c r="I8" s="3" t="s">
        <v>5</v>
      </c>
      <c r="J8" s="3" t="s">
        <v>6</v>
      </c>
      <c r="K8" s="3" t="s">
        <v>7</v>
      </c>
      <c r="L8" s="3" t="s">
        <v>8</v>
      </c>
      <c r="M8" s="3" t="s">
        <v>9</v>
      </c>
      <c r="N8" s="3" t="s">
        <v>10</v>
      </c>
      <c r="O8" s="3" t="s">
        <v>11</v>
      </c>
      <c r="P8" s="3" t="s">
        <v>45</v>
      </c>
    </row>
    <row r="10" spans="1:16" x14ac:dyDescent="0.25">
      <c r="C10" s="5" t="s">
        <v>392</v>
      </c>
    </row>
    <row r="11" spans="1:16" x14ac:dyDescent="0.25">
      <c r="A11" t="s">
        <v>316</v>
      </c>
      <c r="B11" s="1">
        <v>14</v>
      </c>
      <c r="C11" t="s">
        <v>145</v>
      </c>
      <c r="D11" s="1" t="s">
        <v>16</v>
      </c>
      <c r="G11" s="6">
        <v>25000</v>
      </c>
      <c r="P11"/>
    </row>
    <row r="12" spans="1:16" x14ac:dyDescent="0.25">
      <c r="A12" t="s">
        <v>315</v>
      </c>
      <c r="B12" s="1">
        <v>31</v>
      </c>
      <c r="C12" t="s">
        <v>151</v>
      </c>
      <c r="D12" s="1" t="s">
        <v>16</v>
      </c>
      <c r="H12" s="6">
        <v>42500</v>
      </c>
      <c r="I12" s="6">
        <v>42500</v>
      </c>
      <c r="P12"/>
    </row>
    <row r="13" spans="1:16" x14ac:dyDescent="0.25">
      <c r="A13" t="s">
        <v>315</v>
      </c>
      <c r="B13" s="1">
        <v>31</v>
      </c>
      <c r="C13" t="s">
        <v>153</v>
      </c>
      <c r="D13" t="s">
        <v>243</v>
      </c>
      <c r="G13" s="6">
        <v>32000</v>
      </c>
      <c r="J13" s="6">
        <v>16000</v>
      </c>
      <c r="P13"/>
    </row>
    <row r="14" spans="1:16" x14ac:dyDescent="0.25">
      <c r="A14" t="s">
        <v>315</v>
      </c>
      <c r="B14" s="1">
        <v>31</v>
      </c>
      <c r="C14" t="s">
        <v>313</v>
      </c>
      <c r="D14" s="1" t="s">
        <v>16</v>
      </c>
      <c r="J14" s="6">
        <v>20000</v>
      </c>
      <c r="P14"/>
    </row>
    <row r="15" spans="1:16" x14ac:dyDescent="0.25">
      <c r="A15" t="s">
        <v>315</v>
      </c>
      <c r="B15" s="1">
        <v>31</v>
      </c>
      <c r="C15" t="s">
        <v>155</v>
      </c>
      <c r="D15" s="1" t="s">
        <v>16</v>
      </c>
      <c r="G15" s="30">
        <v>7500</v>
      </c>
      <c r="H15" s="30"/>
      <c r="I15" s="30"/>
      <c r="J15" s="30"/>
      <c r="K15" s="30"/>
      <c r="L15" s="30"/>
      <c r="M15" s="30"/>
      <c r="N15" s="30"/>
      <c r="O15" s="30"/>
      <c r="P15" s="26"/>
    </row>
    <row r="16" spans="1:16" x14ac:dyDescent="0.25">
      <c r="A16" t="s">
        <v>315</v>
      </c>
      <c r="B16" s="1">
        <v>31</v>
      </c>
      <c r="C16" t="s">
        <v>156</v>
      </c>
      <c r="D16" t="s">
        <v>243</v>
      </c>
      <c r="G16" s="30">
        <v>29000</v>
      </c>
      <c r="H16" s="30"/>
      <c r="I16" s="30"/>
      <c r="J16" s="30"/>
      <c r="K16" s="30"/>
      <c r="L16" s="30"/>
      <c r="M16" s="30"/>
      <c r="N16" s="30"/>
      <c r="O16" s="30"/>
      <c r="P16" s="26"/>
    </row>
    <row r="17" spans="1:34" x14ac:dyDescent="0.25">
      <c r="A17" t="s">
        <v>315</v>
      </c>
      <c r="B17" s="1">
        <v>32</v>
      </c>
      <c r="C17" t="s">
        <v>157</v>
      </c>
      <c r="D17" s="1" t="s">
        <v>16</v>
      </c>
      <c r="G17" s="30"/>
      <c r="H17" s="30"/>
      <c r="I17" s="30">
        <v>25000</v>
      </c>
      <c r="J17" s="30"/>
      <c r="K17" s="30"/>
      <c r="L17" s="30"/>
      <c r="M17" s="30"/>
      <c r="N17" s="30"/>
      <c r="O17" s="30"/>
      <c r="P17" s="26"/>
    </row>
    <row r="18" spans="1:34" x14ac:dyDescent="0.25">
      <c r="A18" t="s">
        <v>315</v>
      </c>
      <c r="B18" s="1">
        <v>32</v>
      </c>
      <c r="C18" t="s">
        <v>158</v>
      </c>
      <c r="D18" s="1" t="s">
        <v>16</v>
      </c>
      <c r="G18" s="30"/>
      <c r="H18" s="30">
        <v>17000</v>
      </c>
      <c r="I18" s="30">
        <v>17000</v>
      </c>
      <c r="J18" s="30"/>
      <c r="K18" s="30"/>
      <c r="L18" s="30"/>
      <c r="M18" s="30"/>
      <c r="N18" s="30"/>
      <c r="O18" s="30"/>
      <c r="P18" s="26"/>
    </row>
    <row r="19" spans="1:34" x14ac:dyDescent="0.25">
      <c r="A19" t="s">
        <v>315</v>
      </c>
      <c r="B19" s="1">
        <v>32</v>
      </c>
      <c r="C19" t="s">
        <v>159</v>
      </c>
      <c r="D19" s="1" t="s">
        <v>16</v>
      </c>
      <c r="G19" s="30"/>
      <c r="H19" s="30"/>
      <c r="I19" s="30"/>
      <c r="J19" s="30">
        <v>25000</v>
      </c>
      <c r="K19" s="30"/>
      <c r="L19" s="30"/>
      <c r="M19" s="30"/>
      <c r="N19" s="30"/>
      <c r="O19" s="30"/>
      <c r="P19" s="26"/>
    </row>
    <row r="20" spans="1:34" x14ac:dyDescent="0.25">
      <c r="A20" t="s">
        <v>315</v>
      </c>
      <c r="B20" s="1">
        <v>32</v>
      </c>
      <c r="C20" t="s">
        <v>161</v>
      </c>
      <c r="D20" s="1" t="s">
        <v>16</v>
      </c>
      <c r="G20" s="30"/>
      <c r="H20" s="30">
        <v>25000</v>
      </c>
      <c r="I20" s="30"/>
      <c r="J20" s="30"/>
      <c r="K20" s="30"/>
      <c r="L20" s="30"/>
      <c r="M20" s="30"/>
      <c r="N20" s="30"/>
      <c r="O20" s="30"/>
      <c r="P20" s="26"/>
    </row>
    <row r="21" spans="1:34" x14ac:dyDescent="0.25">
      <c r="A21" t="s">
        <v>315</v>
      </c>
      <c r="B21" s="1">
        <v>32</v>
      </c>
      <c r="C21" t="s">
        <v>163</v>
      </c>
      <c r="D21" s="1" t="s">
        <v>16</v>
      </c>
      <c r="F21" s="6">
        <v>6000</v>
      </c>
      <c r="G21" s="30"/>
      <c r="H21" s="30">
        <v>7000</v>
      </c>
      <c r="I21" s="30"/>
      <c r="J21" s="30">
        <v>7000</v>
      </c>
      <c r="K21" s="30"/>
      <c r="L21" s="30">
        <v>7000</v>
      </c>
      <c r="M21" s="30"/>
      <c r="N21" s="30">
        <v>7000</v>
      </c>
      <c r="O21" s="30"/>
      <c r="P21" s="30">
        <v>7000</v>
      </c>
      <c r="Q21" s="8"/>
    </row>
    <row r="22" spans="1:34" s="26" customFormat="1" x14ac:dyDescent="0.25">
      <c r="A22" t="s">
        <v>315</v>
      </c>
      <c r="B22" s="31">
        <v>32</v>
      </c>
      <c r="C22" s="26" t="s">
        <v>164</v>
      </c>
      <c r="D22" s="31" t="s">
        <v>16</v>
      </c>
      <c r="F22" s="30"/>
      <c r="G22" s="30"/>
      <c r="H22" s="30"/>
      <c r="I22" s="30"/>
      <c r="J22" s="30"/>
      <c r="K22" s="30">
        <v>5000</v>
      </c>
      <c r="L22" s="30"/>
      <c r="M22" s="30"/>
      <c r="N22" s="30"/>
      <c r="O22" s="30"/>
    </row>
    <row r="23" spans="1:34" s="26" customFormat="1" x14ac:dyDescent="0.25">
      <c r="A23" t="s">
        <v>315</v>
      </c>
      <c r="B23" s="31">
        <v>32</v>
      </c>
      <c r="C23" s="26" t="s">
        <v>165</v>
      </c>
      <c r="D23" s="31" t="s">
        <v>16</v>
      </c>
      <c r="F23" s="30"/>
      <c r="G23" s="30">
        <v>3500</v>
      </c>
      <c r="H23" s="30"/>
      <c r="I23" s="30"/>
      <c r="J23" s="30">
        <v>3500</v>
      </c>
      <c r="K23" s="30"/>
      <c r="L23" s="30"/>
      <c r="M23" s="30"/>
      <c r="N23" s="30">
        <v>3700</v>
      </c>
      <c r="O23" s="30"/>
    </row>
    <row r="24" spans="1:34" s="26" customFormat="1" x14ac:dyDescent="0.25">
      <c r="A24" t="s">
        <v>315</v>
      </c>
      <c r="B24" s="31">
        <v>32</v>
      </c>
      <c r="C24" s="26" t="s">
        <v>166</v>
      </c>
      <c r="D24" s="31" t="s">
        <v>16</v>
      </c>
      <c r="F24" s="30"/>
      <c r="G24" s="30"/>
      <c r="H24" s="30"/>
      <c r="I24" s="30">
        <v>500</v>
      </c>
      <c r="J24" s="30"/>
      <c r="K24" s="30"/>
      <c r="L24" s="30">
        <v>500</v>
      </c>
      <c r="M24" s="30"/>
      <c r="N24" s="30"/>
      <c r="O24" s="30">
        <v>500</v>
      </c>
    </row>
    <row r="25" spans="1:34" s="26" customFormat="1" x14ac:dyDescent="0.25">
      <c r="A25" t="s">
        <v>315</v>
      </c>
      <c r="B25" s="31">
        <v>32</v>
      </c>
      <c r="C25" s="26" t="s">
        <v>167</v>
      </c>
      <c r="D25" s="31" t="s">
        <v>16</v>
      </c>
      <c r="F25" s="30"/>
      <c r="G25" s="30">
        <v>900</v>
      </c>
      <c r="H25" s="30"/>
      <c r="I25" s="30">
        <v>500</v>
      </c>
      <c r="J25" s="30"/>
      <c r="K25" s="30"/>
      <c r="L25" s="30">
        <v>500</v>
      </c>
      <c r="M25" s="30"/>
      <c r="N25" s="30"/>
      <c r="O25" s="30">
        <v>500</v>
      </c>
    </row>
    <row r="26" spans="1:34" s="26" customFormat="1" x14ac:dyDescent="0.25">
      <c r="A26" t="s">
        <v>315</v>
      </c>
      <c r="B26" s="31">
        <v>32</v>
      </c>
      <c r="C26" s="26" t="s">
        <v>168</v>
      </c>
      <c r="D26" s="31" t="s">
        <v>16</v>
      </c>
      <c r="F26" s="30"/>
      <c r="G26" s="30">
        <v>8000</v>
      </c>
      <c r="H26" s="30">
        <v>8500</v>
      </c>
      <c r="I26" s="30">
        <v>9000</v>
      </c>
      <c r="J26" s="30">
        <v>3000</v>
      </c>
      <c r="K26" s="30">
        <v>8500</v>
      </c>
      <c r="L26" s="30">
        <v>8500</v>
      </c>
      <c r="M26" s="30">
        <v>6200</v>
      </c>
      <c r="N26" s="30">
        <v>17500</v>
      </c>
      <c r="O26" s="30">
        <v>10000</v>
      </c>
      <c r="P26" s="30">
        <v>3000</v>
      </c>
    </row>
    <row r="27" spans="1:34" s="26" customFormat="1" x14ac:dyDescent="0.25">
      <c r="A27" t="s">
        <v>315</v>
      </c>
      <c r="B27" s="31">
        <v>32</v>
      </c>
      <c r="C27" s="26" t="s">
        <v>169</v>
      </c>
      <c r="D27" s="31" t="s">
        <v>16</v>
      </c>
      <c r="F27" s="30"/>
      <c r="G27" s="30">
        <v>500</v>
      </c>
      <c r="H27" s="30">
        <v>500</v>
      </c>
      <c r="I27" s="30">
        <v>500</v>
      </c>
      <c r="J27" s="30">
        <v>500</v>
      </c>
      <c r="K27" s="30">
        <v>500</v>
      </c>
      <c r="L27" s="30">
        <v>500</v>
      </c>
      <c r="M27" s="30">
        <v>500</v>
      </c>
      <c r="N27" s="30">
        <v>500</v>
      </c>
      <c r="O27" s="30">
        <v>500</v>
      </c>
      <c r="P27" s="30">
        <v>500</v>
      </c>
    </row>
    <row r="28" spans="1:34" x14ac:dyDescent="0.25">
      <c r="A28" t="s">
        <v>315</v>
      </c>
      <c r="B28" s="31">
        <v>32</v>
      </c>
      <c r="C28" s="26" t="s">
        <v>171</v>
      </c>
      <c r="D28" s="31" t="s">
        <v>16</v>
      </c>
      <c r="E28" s="26"/>
      <c r="F28" s="30"/>
      <c r="G28" s="30"/>
      <c r="H28" s="30">
        <v>2000</v>
      </c>
      <c r="I28" s="30"/>
      <c r="J28" s="30"/>
      <c r="K28" s="30"/>
      <c r="L28" s="30"/>
      <c r="M28" s="30"/>
      <c r="N28" s="30">
        <v>2000</v>
      </c>
      <c r="O28" s="30"/>
      <c r="P28" s="26"/>
      <c r="Q28" s="26"/>
      <c r="R28" s="26"/>
      <c r="S28" s="26"/>
      <c r="T28" s="26"/>
      <c r="U28" s="26"/>
      <c r="V28" s="26"/>
    </row>
    <row r="29" spans="1:34" x14ac:dyDescent="0.25">
      <c r="A29" t="s">
        <v>315</v>
      </c>
      <c r="B29" s="31">
        <v>32</v>
      </c>
      <c r="C29" s="26" t="s">
        <v>172</v>
      </c>
      <c r="D29" s="31" t="s">
        <v>16</v>
      </c>
      <c r="E29" s="26"/>
      <c r="F29" s="30"/>
      <c r="G29" s="30"/>
      <c r="H29" s="30">
        <v>8000</v>
      </c>
      <c r="I29" s="30"/>
      <c r="J29" s="30"/>
      <c r="K29" s="30"/>
      <c r="L29" s="30"/>
      <c r="M29" s="30"/>
      <c r="N29" s="30"/>
      <c r="O29" s="30"/>
      <c r="P29" s="26"/>
      <c r="Q29" s="26"/>
      <c r="R29" s="26"/>
      <c r="S29" s="26"/>
      <c r="T29" s="26"/>
      <c r="U29" s="26"/>
      <c r="V29" s="26"/>
    </row>
    <row r="30" spans="1:34" x14ac:dyDescent="0.25">
      <c r="A30" t="s">
        <v>315</v>
      </c>
      <c r="B30" s="31">
        <v>32</v>
      </c>
      <c r="C30" s="26" t="s">
        <v>174</v>
      </c>
      <c r="D30" s="31" t="s">
        <v>16</v>
      </c>
      <c r="E30" s="26"/>
      <c r="F30" s="30"/>
      <c r="G30" s="30"/>
      <c r="H30" s="30">
        <v>20000</v>
      </c>
      <c r="I30" s="30"/>
      <c r="J30" s="30"/>
      <c r="K30" s="30">
        <v>20000</v>
      </c>
      <c r="L30" s="30"/>
      <c r="M30" s="30"/>
      <c r="N30" s="30"/>
      <c r="O30" s="30">
        <v>20000</v>
      </c>
      <c r="P30" s="26"/>
      <c r="Q30" s="38"/>
      <c r="R30" s="26"/>
      <c r="S30" s="26"/>
      <c r="T30" s="26"/>
    </row>
    <row r="31" spans="1:34" x14ac:dyDescent="0.25">
      <c r="A31" t="s">
        <v>315</v>
      </c>
      <c r="B31" s="31">
        <v>32</v>
      </c>
      <c r="C31" s="26" t="s">
        <v>175</v>
      </c>
      <c r="D31" s="31" t="s">
        <v>16</v>
      </c>
      <c r="E31" s="26"/>
      <c r="F31" s="30"/>
      <c r="G31" s="30">
        <v>10000</v>
      </c>
      <c r="H31" s="30"/>
      <c r="I31" s="30"/>
      <c r="J31" s="30"/>
      <c r="K31" s="30"/>
      <c r="L31" s="30"/>
      <c r="M31" s="30"/>
      <c r="N31" s="30"/>
      <c r="O31" s="30"/>
      <c r="P31" s="26"/>
      <c r="Q31" s="38"/>
      <c r="R31" s="26"/>
      <c r="S31" s="26"/>
      <c r="T31" s="26"/>
    </row>
    <row r="32" spans="1:34" x14ac:dyDescent="0.25">
      <c r="A32" t="s">
        <v>365</v>
      </c>
      <c r="B32" s="31">
        <v>35</v>
      </c>
      <c r="C32" s="26" t="s">
        <v>319</v>
      </c>
      <c r="D32" s="31" t="s">
        <v>16</v>
      </c>
      <c r="E32" s="26"/>
      <c r="F32" s="30"/>
      <c r="G32" s="30"/>
      <c r="H32" s="30"/>
      <c r="I32" s="30">
        <v>15000</v>
      </c>
      <c r="J32" s="30"/>
      <c r="K32" s="30"/>
      <c r="L32" s="30"/>
      <c r="M32" s="30"/>
      <c r="N32" s="30"/>
      <c r="O32" s="30"/>
      <c r="P32" s="26"/>
      <c r="Q32" s="38"/>
      <c r="R32" s="26"/>
      <c r="S32" s="26"/>
      <c r="T32" s="26"/>
      <c r="U32" s="26"/>
      <c r="V32" s="26"/>
      <c r="W32" s="26"/>
      <c r="X32" s="26"/>
      <c r="Y32" s="26"/>
      <c r="Z32" s="26"/>
      <c r="AA32" s="26"/>
      <c r="AB32" s="26"/>
      <c r="AC32" s="26"/>
      <c r="AD32" s="26"/>
      <c r="AE32" s="26"/>
      <c r="AF32" s="26"/>
      <c r="AG32" s="26"/>
      <c r="AH32" s="26"/>
    </row>
    <row r="33" spans="1:34" x14ac:dyDescent="0.25">
      <c r="A33" t="s">
        <v>365</v>
      </c>
      <c r="B33" s="31">
        <v>35</v>
      </c>
      <c r="C33" s="26" t="s">
        <v>320</v>
      </c>
      <c r="D33" s="31" t="s">
        <v>16</v>
      </c>
      <c r="E33" s="26"/>
      <c r="F33" s="30"/>
      <c r="G33" s="30"/>
      <c r="H33" s="30">
        <v>25000</v>
      </c>
      <c r="I33" s="30"/>
      <c r="J33" s="30"/>
      <c r="K33" s="30"/>
      <c r="L33" s="30"/>
      <c r="M33" s="30"/>
      <c r="N33" s="30"/>
      <c r="O33" s="30"/>
      <c r="P33" s="26"/>
      <c r="Q33" s="38"/>
      <c r="R33" s="26"/>
      <c r="S33" s="26"/>
      <c r="T33" s="26"/>
      <c r="U33" s="26"/>
      <c r="V33" s="26"/>
      <c r="W33" s="26"/>
      <c r="X33" s="26"/>
      <c r="Y33" s="26"/>
      <c r="Z33" s="26"/>
      <c r="AA33" s="26"/>
      <c r="AB33" s="26"/>
      <c r="AC33" s="26"/>
      <c r="AD33" s="26"/>
      <c r="AE33" s="26"/>
      <c r="AF33" s="26"/>
      <c r="AG33" s="26"/>
      <c r="AH33" s="26"/>
    </row>
    <row r="34" spans="1:34" x14ac:dyDescent="0.25">
      <c r="A34" t="s">
        <v>365</v>
      </c>
      <c r="B34" s="1">
        <v>36</v>
      </c>
      <c r="C34" t="s">
        <v>177</v>
      </c>
      <c r="D34" s="1" t="s">
        <v>16</v>
      </c>
      <c r="F34" s="21">
        <v>0</v>
      </c>
      <c r="G34" s="30">
        <v>40000</v>
      </c>
      <c r="H34" s="30">
        <v>40000</v>
      </c>
      <c r="I34" s="30">
        <v>40000</v>
      </c>
      <c r="J34" s="30">
        <v>40000</v>
      </c>
      <c r="K34" s="30">
        <v>40000</v>
      </c>
      <c r="L34" s="30">
        <v>40000</v>
      </c>
      <c r="M34" s="30">
        <v>40000</v>
      </c>
      <c r="N34" s="30">
        <v>40000</v>
      </c>
      <c r="O34" s="30">
        <v>40000</v>
      </c>
      <c r="P34" s="30">
        <v>40000</v>
      </c>
      <c r="Q34" s="8"/>
    </row>
    <row r="35" spans="1:34" x14ac:dyDescent="0.25">
      <c r="A35" t="s">
        <v>365</v>
      </c>
      <c r="B35" s="1">
        <v>36</v>
      </c>
      <c r="C35" t="s">
        <v>178</v>
      </c>
      <c r="D35" s="1" t="s">
        <v>16</v>
      </c>
      <c r="F35" s="21">
        <v>0</v>
      </c>
      <c r="G35" s="30"/>
      <c r="H35" s="30"/>
      <c r="I35" s="30"/>
      <c r="J35" s="30"/>
      <c r="K35" s="30"/>
      <c r="L35" s="30"/>
      <c r="M35" s="30"/>
      <c r="N35" s="30"/>
      <c r="O35" s="30"/>
      <c r="P35" s="26"/>
      <c r="Q35" s="8"/>
    </row>
    <row r="36" spans="1:34" x14ac:dyDescent="0.25">
      <c r="A36" t="s">
        <v>365</v>
      </c>
      <c r="B36" s="1">
        <v>36</v>
      </c>
      <c r="C36" t="s">
        <v>322</v>
      </c>
      <c r="D36" s="1" t="s">
        <v>16</v>
      </c>
      <c r="F36" s="21">
        <v>0</v>
      </c>
      <c r="G36" s="30">
        <v>30000</v>
      </c>
      <c r="H36" s="30">
        <v>30000</v>
      </c>
      <c r="I36" s="30">
        <v>30000</v>
      </c>
      <c r="J36" s="30">
        <v>30000</v>
      </c>
      <c r="K36" s="30">
        <v>30000</v>
      </c>
      <c r="L36" s="30">
        <v>30000</v>
      </c>
      <c r="M36" s="30">
        <v>30000</v>
      </c>
      <c r="N36" s="30">
        <v>30000</v>
      </c>
      <c r="O36" s="30">
        <v>30000</v>
      </c>
      <c r="P36" s="30">
        <v>30000</v>
      </c>
    </row>
    <row r="37" spans="1:34" x14ac:dyDescent="0.25">
      <c r="A37" t="s">
        <v>366</v>
      </c>
      <c r="B37" s="1">
        <v>42</v>
      </c>
      <c r="C37" t="s">
        <v>182</v>
      </c>
      <c r="D37" s="1" t="s">
        <v>16</v>
      </c>
      <c r="G37" s="30">
        <v>7000</v>
      </c>
      <c r="H37" s="30"/>
      <c r="I37" s="30"/>
      <c r="J37" s="30"/>
      <c r="K37" s="30"/>
      <c r="L37" s="30"/>
      <c r="M37" s="30"/>
      <c r="N37" s="30"/>
      <c r="O37" s="30"/>
      <c r="P37" s="30"/>
    </row>
    <row r="38" spans="1:34" x14ac:dyDescent="0.25">
      <c r="A38" t="s">
        <v>366</v>
      </c>
      <c r="B38" s="1">
        <v>42</v>
      </c>
      <c r="C38" t="s">
        <v>183</v>
      </c>
      <c r="D38" s="1" t="s">
        <v>16</v>
      </c>
      <c r="G38" s="30">
        <v>8300</v>
      </c>
      <c r="H38" s="30"/>
      <c r="I38" s="30"/>
      <c r="J38" s="30"/>
      <c r="K38" s="30"/>
      <c r="L38" s="30"/>
      <c r="M38" s="30"/>
      <c r="N38" s="30"/>
      <c r="O38" s="30"/>
      <c r="P38" s="30"/>
    </row>
    <row r="39" spans="1:34" x14ac:dyDescent="0.25">
      <c r="A39" t="s">
        <v>366</v>
      </c>
      <c r="B39" s="1">
        <v>55</v>
      </c>
      <c r="C39" t="s">
        <v>356</v>
      </c>
      <c r="D39" s="1" t="s">
        <v>16</v>
      </c>
      <c r="G39" s="30">
        <v>15000</v>
      </c>
      <c r="H39" s="30"/>
      <c r="I39" s="30"/>
      <c r="J39" s="30"/>
      <c r="K39" s="30"/>
      <c r="L39" s="30"/>
      <c r="M39" s="30"/>
      <c r="N39" s="30"/>
      <c r="O39" s="30"/>
      <c r="P39" s="30"/>
    </row>
    <row r="40" spans="1:34" x14ac:dyDescent="0.25">
      <c r="A40" t="s">
        <v>366</v>
      </c>
      <c r="B40" s="1">
        <v>43</v>
      </c>
      <c r="C40" t="s">
        <v>185</v>
      </c>
      <c r="D40" s="1" t="s">
        <v>16</v>
      </c>
      <c r="G40" s="30">
        <v>19662</v>
      </c>
      <c r="H40" s="30">
        <v>19662</v>
      </c>
      <c r="I40" s="30">
        <v>19662</v>
      </c>
      <c r="J40" s="30">
        <v>19662</v>
      </c>
      <c r="K40" s="30">
        <v>19662</v>
      </c>
      <c r="L40" s="30"/>
      <c r="M40" s="30"/>
      <c r="N40" s="30"/>
      <c r="O40" s="30"/>
      <c r="P40" s="30"/>
    </row>
    <row r="41" spans="1:34" x14ac:dyDescent="0.25">
      <c r="A41" t="s">
        <v>366</v>
      </c>
      <c r="B41" s="1">
        <v>43</v>
      </c>
      <c r="C41" t="s">
        <v>186</v>
      </c>
      <c r="D41" s="1" t="s">
        <v>16</v>
      </c>
      <c r="G41" s="30"/>
      <c r="H41" s="30"/>
      <c r="I41" s="30">
        <v>26564</v>
      </c>
      <c r="J41" s="30">
        <v>26564</v>
      </c>
      <c r="K41" s="30">
        <v>26564</v>
      </c>
      <c r="L41" s="30">
        <v>26564</v>
      </c>
      <c r="M41" s="30">
        <v>26564</v>
      </c>
      <c r="N41" s="30"/>
      <c r="O41" s="30"/>
      <c r="P41" s="30"/>
    </row>
    <row r="42" spans="1:34" x14ac:dyDescent="0.25">
      <c r="A42" t="s">
        <v>366</v>
      </c>
      <c r="B42" s="1">
        <v>43</v>
      </c>
      <c r="C42" t="s">
        <v>187</v>
      </c>
      <c r="D42" s="1" t="s">
        <v>16</v>
      </c>
      <c r="G42" s="30"/>
      <c r="H42" s="30"/>
      <c r="I42" s="30"/>
      <c r="J42" s="30"/>
      <c r="K42" s="30"/>
      <c r="L42" s="30"/>
      <c r="M42" s="30">
        <v>12035</v>
      </c>
      <c r="N42" s="30">
        <v>12035</v>
      </c>
      <c r="O42" s="30">
        <v>12035</v>
      </c>
      <c r="P42" s="30">
        <v>12035</v>
      </c>
    </row>
    <row r="43" spans="1:34" x14ac:dyDescent="0.25">
      <c r="A43" t="s">
        <v>366</v>
      </c>
      <c r="B43" s="1">
        <v>43</v>
      </c>
      <c r="C43" t="s">
        <v>307</v>
      </c>
      <c r="D43" s="1" t="s">
        <v>16</v>
      </c>
      <c r="F43" s="6">
        <v>6419</v>
      </c>
      <c r="G43" s="30">
        <v>6419</v>
      </c>
      <c r="H43" s="30">
        <v>6419</v>
      </c>
      <c r="I43" s="30"/>
      <c r="J43" s="30"/>
      <c r="K43" s="30"/>
      <c r="L43" s="30"/>
      <c r="M43" s="30"/>
      <c r="N43" s="30"/>
      <c r="O43" s="30"/>
      <c r="P43" s="30"/>
    </row>
    <row r="44" spans="1:34" x14ac:dyDescent="0.25">
      <c r="A44" t="s">
        <v>366</v>
      </c>
      <c r="B44" s="1">
        <v>43</v>
      </c>
      <c r="C44" t="s">
        <v>349</v>
      </c>
      <c r="D44" s="1" t="s">
        <v>16</v>
      </c>
      <c r="G44" s="30"/>
      <c r="H44" s="30">
        <v>45000</v>
      </c>
      <c r="I44" s="30"/>
      <c r="J44" s="30"/>
      <c r="K44" s="30"/>
      <c r="L44" s="30"/>
      <c r="M44" s="30"/>
      <c r="N44" s="30"/>
      <c r="O44" s="30"/>
      <c r="P44" s="30"/>
    </row>
    <row r="45" spans="1:34" x14ac:dyDescent="0.25">
      <c r="A45" t="s">
        <v>366</v>
      </c>
      <c r="B45" s="1">
        <v>44</v>
      </c>
      <c r="C45" t="s">
        <v>352</v>
      </c>
      <c r="D45" s="1" t="s">
        <v>16</v>
      </c>
      <c r="G45" s="30"/>
      <c r="H45" s="30">
        <v>35000</v>
      </c>
      <c r="I45" s="30"/>
      <c r="J45" s="30"/>
      <c r="K45" s="30"/>
      <c r="L45" s="30"/>
      <c r="M45" s="30"/>
      <c r="N45" s="30"/>
      <c r="O45" s="30"/>
      <c r="P45" s="30"/>
    </row>
    <row r="46" spans="1:34" x14ac:dyDescent="0.25">
      <c r="A46" t="s">
        <v>366</v>
      </c>
      <c r="B46" s="1">
        <v>44</v>
      </c>
      <c r="C46" t="s">
        <v>188</v>
      </c>
      <c r="D46" s="1" t="s">
        <v>16</v>
      </c>
      <c r="G46" s="30"/>
      <c r="H46" s="30">
        <v>30000</v>
      </c>
      <c r="I46" s="30"/>
      <c r="J46" s="30"/>
      <c r="K46" s="30"/>
      <c r="L46" s="30"/>
      <c r="M46" s="30"/>
      <c r="N46" s="30"/>
      <c r="O46" s="30"/>
      <c r="P46" s="30"/>
    </row>
    <row r="47" spans="1:34" x14ac:dyDescent="0.25">
      <c r="A47" t="s">
        <v>367</v>
      </c>
      <c r="B47" s="1">
        <v>53</v>
      </c>
      <c r="C47" t="s">
        <v>189</v>
      </c>
      <c r="D47" s="1" t="s">
        <v>16</v>
      </c>
      <c r="G47" s="30"/>
      <c r="H47" s="30">
        <v>5426</v>
      </c>
      <c r="I47" s="30">
        <v>5698</v>
      </c>
      <c r="J47" s="30">
        <v>5984</v>
      </c>
      <c r="K47" s="30">
        <v>6287</v>
      </c>
      <c r="L47" s="30">
        <v>6500</v>
      </c>
      <c r="M47" s="30">
        <v>6500</v>
      </c>
      <c r="N47" s="30">
        <v>6500</v>
      </c>
      <c r="O47" s="30">
        <v>6500</v>
      </c>
      <c r="P47" s="30">
        <v>6500</v>
      </c>
    </row>
    <row r="48" spans="1:34" x14ac:dyDescent="0.25">
      <c r="A48" t="s">
        <v>367</v>
      </c>
      <c r="B48" s="1">
        <v>53</v>
      </c>
      <c r="C48" t="s">
        <v>190</v>
      </c>
      <c r="D48" s="1" t="s">
        <v>16</v>
      </c>
      <c r="G48" s="30">
        <v>6587</v>
      </c>
      <c r="H48" s="30">
        <v>6844</v>
      </c>
      <c r="I48" s="30">
        <v>7114</v>
      </c>
      <c r="J48" s="30">
        <v>4257</v>
      </c>
      <c r="K48" s="30">
        <v>7505</v>
      </c>
      <c r="L48" s="30">
        <v>7250</v>
      </c>
      <c r="M48" s="30">
        <v>7250</v>
      </c>
      <c r="N48" s="30">
        <v>7250</v>
      </c>
      <c r="O48" s="30">
        <v>7250</v>
      </c>
      <c r="P48" s="30">
        <v>7250</v>
      </c>
    </row>
    <row r="50" spans="1:16" x14ac:dyDescent="0.25">
      <c r="C50" s="5" t="s">
        <v>393</v>
      </c>
    </row>
    <row r="51" spans="1:16" x14ac:dyDescent="0.25">
      <c r="A51" t="s">
        <v>314</v>
      </c>
      <c r="B51" s="20" t="s">
        <v>210</v>
      </c>
      <c r="C51" t="s">
        <v>204</v>
      </c>
      <c r="D51" s="1" t="s">
        <v>16</v>
      </c>
      <c r="F51" s="21">
        <v>3450</v>
      </c>
      <c r="G51" s="6">
        <v>100179</v>
      </c>
      <c r="H51" s="6">
        <v>181679</v>
      </c>
      <c r="I51" s="6">
        <f>23640+20000</f>
        <v>43640</v>
      </c>
      <c r="J51" s="6">
        <v>46500</v>
      </c>
      <c r="K51" s="6">
        <v>96700</v>
      </c>
      <c r="L51" s="6">
        <v>56500</v>
      </c>
      <c r="M51" s="6">
        <v>25200</v>
      </c>
      <c r="N51" s="6">
        <v>55200</v>
      </c>
      <c r="O51" s="6">
        <v>75900</v>
      </c>
      <c r="P51" s="6">
        <v>186900</v>
      </c>
    </row>
    <row r="52" spans="1:16" x14ac:dyDescent="0.25">
      <c r="A52" t="s">
        <v>314</v>
      </c>
      <c r="B52" s="20" t="s">
        <v>210</v>
      </c>
      <c r="C52" t="s">
        <v>359</v>
      </c>
      <c r="D52" s="1" t="s">
        <v>16</v>
      </c>
      <c r="G52" s="6">
        <f>215000*0.25</f>
        <v>53750</v>
      </c>
    </row>
    <row r="53" spans="1:16" x14ac:dyDescent="0.25">
      <c r="A53" t="s">
        <v>314</v>
      </c>
      <c r="B53" s="20" t="s">
        <v>209</v>
      </c>
      <c r="C53" t="s">
        <v>107</v>
      </c>
      <c r="D53" s="1" t="s">
        <v>16</v>
      </c>
      <c r="G53" s="6">
        <v>50000</v>
      </c>
      <c r="H53" s="6">
        <v>50000</v>
      </c>
      <c r="I53" s="6">
        <v>50000</v>
      </c>
      <c r="J53" s="6">
        <v>50000</v>
      </c>
      <c r="K53" s="6">
        <v>50000</v>
      </c>
      <c r="L53" s="6">
        <v>50000</v>
      </c>
      <c r="M53" s="6">
        <v>50000</v>
      </c>
      <c r="N53" s="6">
        <v>50000</v>
      </c>
      <c r="O53" s="6">
        <v>50000</v>
      </c>
      <c r="P53" s="6">
        <v>50000</v>
      </c>
    </row>
    <row r="54" spans="1:16" x14ac:dyDescent="0.25">
      <c r="A54" t="s">
        <v>316</v>
      </c>
      <c r="B54" s="1">
        <v>17</v>
      </c>
      <c r="C54" t="s">
        <v>310</v>
      </c>
      <c r="D54" s="1" t="s">
        <v>38</v>
      </c>
      <c r="G54" s="30"/>
      <c r="H54" s="30">
        <v>200000</v>
      </c>
      <c r="I54" s="30"/>
      <c r="P54"/>
    </row>
    <row r="55" spans="1:16" x14ac:dyDescent="0.25">
      <c r="A55" t="s">
        <v>315</v>
      </c>
      <c r="B55" s="1">
        <v>31</v>
      </c>
      <c r="C55" t="s">
        <v>369</v>
      </c>
      <c r="D55" s="1" t="s">
        <v>16</v>
      </c>
      <c r="G55" s="30">
        <v>68000</v>
      </c>
      <c r="H55" s="30">
        <v>68000</v>
      </c>
      <c r="I55" s="30">
        <v>68000</v>
      </c>
      <c r="J55" s="6">
        <v>68000</v>
      </c>
      <c r="K55" s="6">
        <v>68000</v>
      </c>
      <c r="L55" s="6">
        <v>68000</v>
      </c>
      <c r="M55" s="6">
        <v>68000</v>
      </c>
      <c r="N55" s="6">
        <v>68000</v>
      </c>
      <c r="O55" s="6">
        <v>68000</v>
      </c>
      <c r="P55" s="6">
        <v>68000</v>
      </c>
    </row>
    <row r="56" spans="1:16" x14ac:dyDescent="0.25">
      <c r="A56" t="s">
        <v>315</v>
      </c>
      <c r="B56" s="1">
        <v>31</v>
      </c>
      <c r="C56" t="s">
        <v>150</v>
      </c>
      <c r="D56" s="1" t="s">
        <v>37</v>
      </c>
      <c r="G56" s="30"/>
      <c r="H56" s="21">
        <v>100000</v>
      </c>
      <c r="I56" s="30"/>
      <c r="P56"/>
    </row>
    <row r="57" spans="1:16" x14ac:dyDescent="0.25">
      <c r="A57" t="s">
        <v>315</v>
      </c>
      <c r="B57" s="1">
        <v>31</v>
      </c>
      <c r="C57" t="s">
        <v>152</v>
      </c>
      <c r="D57" s="1" t="s">
        <v>16</v>
      </c>
      <c r="G57" s="30"/>
      <c r="H57" s="30"/>
      <c r="I57" s="30">
        <v>200000</v>
      </c>
      <c r="P57"/>
    </row>
    <row r="58" spans="1:16" x14ac:dyDescent="0.25">
      <c r="A58" t="s">
        <v>315</v>
      </c>
      <c r="B58" s="1">
        <v>31</v>
      </c>
      <c r="C58" t="s">
        <v>312</v>
      </c>
      <c r="D58" s="1" t="s">
        <v>37</v>
      </c>
      <c r="G58" s="30"/>
      <c r="H58" s="30"/>
      <c r="I58" s="30"/>
      <c r="J58" s="6">
        <v>75000</v>
      </c>
      <c r="K58" s="6">
        <v>75000</v>
      </c>
      <c r="P58"/>
    </row>
    <row r="59" spans="1:16" x14ac:dyDescent="0.25">
      <c r="A59" t="s">
        <v>315</v>
      </c>
      <c r="B59" s="1">
        <v>31</v>
      </c>
      <c r="C59" t="s">
        <v>102</v>
      </c>
      <c r="D59" s="1" t="s">
        <v>19</v>
      </c>
      <c r="F59" s="6">
        <v>500000</v>
      </c>
    </row>
    <row r="60" spans="1:16" x14ac:dyDescent="0.25">
      <c r="A60" t="s">
        <v>315</v>
      </c>
      <c r="B60" s="1">
        <v>31</v>
      </c>
      <c r="C60" t="s">
        <v>311</v>
      </c>
      <c r="D60" s="1" t="s">
        <v>19</v>
      </c>
      <c r="I60" s="21">
        <v>1000000</v>
      </c>
    </row>
    <row r="61" spans="1:16" x14ac:dyDescent="0.25">
      <c r="A61" t="s">
        <v>315</v>
      </c>
      <c r="B61" s="1">
        <v>32</v>
      </c>
      <c r="C61" t="s">
        <v>103</v>
      </c>
      <c r="D61" s="1" t="s">
        <v>19</v>
      </c>
      <c r="F61" s="6">
        <v>1600000</v>
      </c>
    </row>
    <row r="62" spans="1:16" x14ac:dyDescent="0.25">
      <c r="A62" t="s">
        <v>315</v>
      </c>
      <c r="B62" s="1">
        <v>31</v>
      </c>
      <c r="C62" t="s">
        <v>154</v>
      </c>
      <c r="D62" s="1" t="s">
        <v>16</v>
      </c>
      <c r="H62" s="6">
        <v>50000</v>
      </c>
      <c r="P62"/>
    </row>
    <row r="63" spans="1:16" x14ac:dyDescent="0.25">
      <c r="A63" t="s">
        <v>315</v>
      </c>
      <c r="B63" s="1">
        <v>32</v>
      </c>
      <c r="C63" t="s">
        <v>160</v>
      </c>
      <c r="D63" s="1" t="s">
        <v>16</v>
      </c>
      <c r="H63" s="6">
        <v>60000</v>
      </c>
      <c r="P63"/>
    </row>
    <row r="64" spans="1:16" x14ac:dyDescent="0.25">
      <c r="A64" t="s">
        <v>315</v>
      </c>
      <c r="B64" s="1">
        <v>32</v>
      </c>
      <c r="C64" t="s">
        <v>162</v>
      </c>
      <c r="D64" s="1" t="s">
        <v>16</v>
      </c>
      <c r="I64" s="6">
        <v>250000</v>
      </c>
      <c r="P64"/>
    </row>
    <row r="65" spans="1:17" s="26" customFormat="1" x14ac:dyDescent="0.25">
      <c r="A65" t="s">
        <v>315</v>
      </c>
      <c r="B65" s="31">
        <v>32</v>
      </c>
      <c r="C65" s="26" t="s">
        <v>170</v>
      </c>
      <c r="D65" s="31" t="s">
        <v>16</v>
      </c>
      <c r="F65" s="30"/>
      <c r="G65" s="30"/>
      <c r="H65" s="30"/>
      <c r="I65" s="30"/>
      <c r="J65" s="30">
        <v>85000</v>
      </c>
      <c r="K65" s="30"/>
      <c r="L65" s="30"/>
      <c r="M65" s="30"/>
      <c r="N65" s="30"/>
      <c r="O65" s="30"/>
    </row>
    <row r="66" spans="1:17" s="26" customFormat="1" x14ac:dyDescent="0.25">
      <c r="A66" t="s">
        <v>315</v>
      </c>
      <c r="B66" s="31">
        <v>32</v>
      </c>
      <c r="C66" s="26" t="s">
        <v>173</v>
      </c>
      <c r="D66" s="31" t="s">
        <v>16</v>
      </c>
      <c r="F66" s="30"/>
      <c r="G66" s="30">
        <v>138000</v>
      </c>
      <c r="H66" s="30"/>
      <c r="I66" s="30"/>
      <c r="J66" s="30"/>
      <c r="K66" s="30"/>
      <c r="L66" s="30"/>
      <c r="M66" s="30"/>
      <c r="N66" s="30"/>
      <c r="O66" s="30"/>
      <c r="P66" s="6">
        <f>AVERAGE(E66:N66)</f>
        <v>138000</v>
      </c>
      <c r="Q66" s="38"/>
    </row>
    <row r="67" spans="1:17" s="26" customFormat="1" x14ac:dyDescent="0.25">
      <c r="A67" t="s">
        <v>365</v>
      </c>
      <c r="B67" s="31">
        <v>35</v>
      </c>
      <c r="C67" s="26" t="s">
        <v>318</v>
      </c>
      <c r="D67" s="31" t="s">
        <v>16</v>
      </c>
      <c r="F67" s="30"/>
      <c r="G67" s="30">
        <v>100000</v>
      </c>
      <c r="H67" s="30"/>
      <c r="I67" s="30"/>
      <c r="J67" s="30"/>
      <c r="K67" s="30"/>
      <c r="L67" s="30"/>
      <c r="M67" s="30"/>
      <c r="N67" s="30"/>
      <c r="O67" s="30"/>
      <c r="Q67" s="38"/>
    </row>
    <row r="68" spans="1:17" x14ac:dyDescent="0.25">
      <c r="A68" t="s">
        <v>365</v>
      </c>
      <c r="B68" s="1">
        <v>36</v>
      </c>
      <c r="C68" t="s">
        <v>178</v>
      </c>
      <c r="D68" s="1" t="s">
        <v>38</v>
      </c>
      <c r="G68" s="6">
        <v>50000</v>
      </c>
      <c r="P68"/>
      <c r="Q68" s="8"/>
    </row>
    <row r="69" spans="1:17" x14ac:dyDescent="0.25">
      <c r="A69" t="s">
        <v>365</v>
      </c>
      <c r="B69" s="1">
        <v>36</v>
      </c>
      <c r="C69" t="s">
        <v>179</v>
      </c>
      <c r="D69" s="1" t="s">
        <v>38</v>
      </c>
      <c r="G69" s="6">
        <v>120000</v>
      </c>
      <c r="H69" s="6">
        <v>120000</v>
      </c>
      <c r="I69" s="6">
        <v>120000</v>
      </c>
      <c r="J69" s="6">
        <v>120000</v>
      </c>
      <c r="K69" s="6">
        <v>120000</v>
      </c>
      <c r="L69" s="6">
        <v>120000</v>
      </c>
      <c r="M69" s="6">
        <v>120000</v>
      </c>
      <c r="N69" s="6">
        <v>120000</v>
      </c>
      <c r="O69" s="6">
        <v>120000</v>
      </c>
      <c r="P69" s="6">
        <v>120000</v>
      </c>
      <c r="Q69" s="8"/>
    </row>
    <row r="70" spans="1:17" x14ac:dyDescent="0.25">
      <c r="A70" t="s">
        <v>365</v>
      </c>
      <c r="B70" s="1">
        <v>36</v>
      </c>
      <c r="C70" t="s">
        <v>323</v>
      </c>
      <c r="D70" s="1" t="s">
        <v>38</v>
      </c>
      <c r="H70" s="6">
        <v>150000</v>
      </c>
      <c r="I70" s="6">
        <v>150000</v>
      </c>
      <c r="J70" s="6">
        <v>150000</v>
      </c>
      <c r="K70" s="6">
        <v>150000</v>
      </c>
      <c r="L70" s="6">
        <v>150000</v>
      </c>
      <c r="M70" s="6">
        <v>150000</v>
      </c>
      <c r="N70" s="6">
        <v>150000</v>
      </c>
      <c r="O70" s="6">
        <v>150000</v>
      </c>
      <c r="P70" s="6">
        <f>AVERAGE(E70:N70)</f>
        <v>150000</v>
      </c>
      <c r="Q70" s="8"/>
    </row>
    <row r="71" spans="1:17" x14ac:dyDescent="0.25">
      <c r="A71" t="s">
        <v>365</v>
      </c>
      <c r="B71" s="1">
        <v>36</v>
      </c>
      <c r="C71" t="s">
        <v>321</v>
      </c>
      <c r="D71" s="1" t="s">
        <v>16</v>
      </c>
      <c r="H71" s="6">
        <v>100000</v>
      </c>
      <c r="I71" s="6">
        <v>100000</v>
      </c>
    </row>
    <row r="72" spans="1:17" x14ac:dyDescent="0.25">
      <c r="A72" t="s">
        <v>365</v>
      </c>
      <c r="B72" s="31">
        <v>36</v>
      </c>
      <c r="C72" s="26" t="s">
        <v>324</v>
      </c>
      <c r="D72" s="31" t="s">
        <v>16</v>
      </c>
      <c r="E72" s="26"/>
      <c r="F72" s="30"/>
      <c r="G72" s="30"/>
      <c r="H72" s="30">
        <v>150000</v>
      </c>
      <c r="I72" s="30"/>
      <c r="J72" s="30"/>
      <c r="K72" s="30"/>
      <c r="L72" s="30"/>
      <c r="M72" s="30"/>
      <c r="N72" s="30"/>
      <c r="O72" s="30"/>
      <c r="P72" s="30"/>
      <c r="Q72" s="52"/>
    </row>
    <row r="73" spans="1:17" x14ac:dyDescent="0.25">
      <c r="A73" t="s">
        <v>365</v>
      </c>
      <c r="B73" s="31">
        <v>36</v>
      </c>
      <c r="C73" s="26" t="s">
        <v>110</v>
      </c>
      <c r="D73" s="31" t="s">
        <v>19</v>
      </c>
      <c r="E73" s="26"/>
      <c r="F73" s="30"/>
      <c r="G73" s="30">
        <v>1400000</v>
      </c>
      <c r="H73" s="30"/>
      <c r="I73" s="30"/>
      <c r="J73" s="30"/>
      <c r="K73" s="30"/>
      <c r="L73" s="30"/>
      <c r="M73" s="30"/>
      <c r="N73" s="30"/>
      <c r="O73" s="30"/>
      <c r="P73" s="30"/>
    </row>
    <row r="74" spans="1:17" x14ac:dyDescent="0.25">
      <c r="A74" t="s">
        <v>366</v>
      </c>
      <c r="B74" s="1">
        <v>42</v>
      </c>
      <c r="C74" t="s">
        <v>184</v>
      </c>
      <c r="D74" s="1" t="s">
        <v>16</v>
      </c>
      <c r="H74" s="6">
        <v>78000</v>
      </c>
    </row>
    <row r="75" spans="1:17" x14ac:dyDescent="0.25">
      <c r="A75" t="s">
        <v>366</v>
      </c>
      <c r="B75" s="1">
        <v>44</v>
      </c>
      <c r="C75" t="s">
        <v>351</v>
      </c>
      <c r="D75" s="1" t="s">
        <v>16</v>
      </c>
      <c r="I75" s="6">
        <v>50000</v>
      </c>
    </row>
    <row r="77" spans="1:17" x14ac:dyDescent="0.25">
      <c r="C77" s="5" t="s">
        <v>428</v>
      </c>
    </row>
    <row r="78" spans="1:17" x14ac:dyDescent="0.25">
      <c r="A78" t="s">
        <v>366</v>
      </c>
      <c r="B78" s="27">
        <v>44</v>
      </c>
      <c r="C78" s="28" t="s">
        <v>251</v>
      </c>
      <c r="D78" s="27" t="s">
        <v>19</v>
      </c>
      <c r="E78" s="28"/>
      <c r="F78" s="29"/>
      <c r="G78" s="29"/>
      <c r="H78" s="29"/>
      <c r="I78" s="29"/>
      <c r="J78" s="29"/>
      <c r="K78" s="29"/>
      <c r="L78" s="29"/>
      <c r="M78" s="29"/>
      <c r="N78" s="29"/>
      <c r="O78" s="29"/>
      <c r="P78" s="29"/>
      <c r="Q78" s="29">
        <v>1000000</v>
      </c>
    </row>
    <row r="79" spans="1:17" x14ac:dyDescent="0.25">
      <c r="A79" t="s">
        <v>365</v>
      </c>
      <c r="B79" s="27">
        <v>35</v>
      </c>
      <c r="C79" s="28" t="s">
        <v>181</v>
      </c>
      <c r="D79" s="27" t="s">
        <v>19</v>
      </c>
      <c r="E79" s="28"/>
      <c r="F79" s="29"/>
      <c r="G79" s="29"/>
      <c r="H79" s="29"/>
      <c r="I79" s="29"/>
      <c r="J79" s="29"/>
      <c r="K79" s="29"/>
      <c r="L79" s="29"/>
      <c r="M79" s="29"/>
      <c r="N79" s="29"/>
      <c r="O79" s="29"/>
      <c r="P79" s="29"/>
      <c r="Q79" s="29">
        <v>5000000</v>
      </c>
    </row>
    <row r="80" spans="1:17" x14ac:dyDescent="0.25">
      <c r="A80" t="s">
        <v>315</v>
      </c>
      <c r="B80" s="27">
        <v>32</v>
      </c>
      <c r="C80" s="28" t="s">
        <v>391</v>
      </c>
      <c r="D80" s="27" t="s">
        <v>19</v>
      </c>
      <c r="E80" s="28"/>
      <c r="F80" s="29"/>
      <c r="G80" s="29"/>
      <c r="H80" s="29"/>
      <c r="I80" s="29"/>
      <c r="J80" s="29"/>
      <c r="K80" s="29"/>
      <c r="L80" s="29"/>
      <c r="M80" s="29"/>
      <c r="N80" s="29"/>
      <c r="O80" s="29"/>
      <c r="P80" s="29"/>
      <c r="Q80" s="29">
        <v>18000000</v>
      </c>
    </row>
    <row r="81" spans="1:17" x14ac:dyDescent="0.25">
      <c r="A81" t="s">
        <v>366</v>
      </c>
      <c r="B81" s="27">
        <v>42</v>
      </c>
      <c r="C81" s="28" t="s">
        <v>111</v>
      </c>
      <c r="D81" s="27" t="s">
        <v>19</v>
      </c>
      <c r="E81" s="28"/>
      <c r="F81" s="29"/>
      <c r="G81" s="29"/>
      <c r="H81" s="29"/>
      <c r="I81" s="29"/>
      <c r="J81" s="29"/>
      <c r="K81" s="29"/>
      <c r="L81" s="29"/>
      <c r="M81" s="29"/>
      <c r="N81" s="29"/>
      <c r="O81" s="29"/>
      <c r="P81" s="28"/>
      <c r="Q81" s="29">
        <v>20000000</v>
      </c>
    </row>
    <row r="82" spans="1:17" x14ac:dyDescent="0.25">
      <c r="A82" t="s">
        <v>366</v>
      </c>
      <c r="B82" s="27">
        <v>43</v>
      </c>
      <c r="C82" s="28" t="s">
        <v>350</v>
      </c>
      <c r="D82" s="27" t="s">
        <v>13</v>
      </c>
      <c r="E82" s="28"/>
      <c r="F82" s="29"/>
      <c r="G82" s="29"/>
      <c r="H82" s="29"/>
      <c r="I82" s="29"/>
      <c r="J82" s="29"/>
      <c r="K82" s="29"/>
      <c r="L82" s="29"/>
      <c r="M82" s="29"/>
      <c r="N82" s="29"/>
      <c r="O82" s="29"/>
      <c r="P82" s="28"/>
      <c r="Q82" s="29">
        <v>875000</v>
      </c>
    </row>
    <row r="83" spans="1:17" x14ac:dyDescent="0.25">
      <c r="A83" t="s">
        <v>314</v>
      </c>
      <c r="B83" s="27">
        <v>17</v>
      </c>
      <c r="C83" s="28" t="s">
        <v>147</v>
      </c>
      <c r="D83" s="27" t="s">
        <v>19</v>
      </c>
      <c r="E83" s="28"/>
      <c r="F83" s="29"/>
      <c r="G83" s="29"/>
      <c r="H83" s="29"/>
      <c r="I83" s="29"/>
      <c r="J83" s="29"/>
      <c r="K83" s="29"/>
      <c r="L83" s="29"/>
      <c r="M83" s="29"/>
      <c r="N83" s="29"/>
      <c r="O83" s="29"/>
      <c r="P83" s="28"/>
      <c r="Q83" s="29">
        <v>1000000</v>
      </c>
    </row>
    <row r="84" spans="1:17" x14ac:dyDescent="0.25">
      <c r="A84" t="s">
        <v>366</v>
      </c>
      <c r="B84" s="27">
        <v>45</v>
      </c>
      <c r="C84" s="28" t="s">
        <v>26</v>
      </c>
      <c r="D84" s="27" t="s">
        <v>19</v>
      </c>
      <c r="E84" s="28"/>
      <c r="F84" s="29"/>
      <c r="G84" s="29"/>
      <c r="H84" s="29"/>
      <c r="I84" s="29"/>
      <c r="J84" s="29"/>
      <c r="K84" s="29"/>
      <c r="L84" s="29"/>
      <c r="M84" s="29"/>
      <c r="N84" s="29"/>
      <c r="O84" s="29"/>
      <c r="P84" s="28"/>
      <c r="Q84" s="29">
        <v>2500000</v>
      </c>
    </row>
    <row r="85" spans="1:17" x14ac:dyDescent="0.25">
      <c r="A85" t="s">
        <v>366</v>
      </c>
      <c r="B85" s="27">
        <v>45</v>
      </c>
      <c r="C85" s="28" t="s">
        <v>33</v>
      </c>
      <c r="D85" s="27" t="s">
        <v>19</v>
      </c>
      <c r="E85" s="28"/>
      <c r="F85" s="29"/>
      <c r="G85" s="29"/>
      <c r="H85" s="29"/>
      <c r="I85" s="29"/>
      <c r="J85" s="29"/>
      <c r="K85" s="29"/>
      <c r="L85" s="29"/>
      <c r="M85" s="29"/>
      <c r="N85" s="29"/>
      <c r="O85" s="29"/>
      <c r="P85" s="28"/>
      <c r="Q85" s="29">
        <v>2500000</v>
      </c>
    </row>
    <row r="86" spans="1:17" x14ac:dyDescent="0.25">
      <c r="A86" t="s">
        <v>366</v>
      </c>
      <c r="B86" s="27">
        <v>45</v>
      </c>
      <c r="C86" s="28" t="s">
        <v>41</v>
      </c>
      <c r="D86" s="27" t="s">
        <v>16</v>
      </c>
      <c r="E86" s="28"/>
      <c r="F86" s="29"/>
      <c r="G86" s="29"/>
      <c r="H86" s="29"/>
      <c r="I86" s="29"/>
      <c r="J86" s="29"/>
      <c r="K86" s="29"/>
      <c r="L86" s="29"/>
      <c r="M86" s="29"/>
      <c r="N86" s="29"/>
      <c r="O86" s="29"/>
      <c r="P86" s="28"/>
      <c r="Q86" s="29">
        <v>500000</v>
      </c>
    </row>
    <row r="87" spans="1:17" x14ac:dyDescent="0.25">
      <c r="A87" t="s">
        <v>366</v>
      </c>
      <c r="B87" s="27">
        <v>45</v>
      </c>
      <c r="C87" s="28" t="s">
        <v>43</v>
      </c>
      <c r="D87" s="27" t="s">
        <v>16</v>
      </c>
      <c r="E87" s="28"/>
      <c r="F87" s="29"/>
      <c r="G87" s="29"/>
      <c r="H87" s="29"/>
      <c r="I87" s="29"/>
      <c r="J87" s="29"/>
      <c r="K87" s="29"/>
      <c r="L87" s="29"/>
      <c r="M87" s="29"/>
      <c r="N87" s="29"/>
      <c r="O87" s="29"/>
      <c r="P87" s="28"/>
      <c r="Q87" s="29">
        <v>300000</v>
      </c>
    </row>
    <row r="88" spans="1:17" x14ac:dyDescent="0.25">
      <c r="A88" t="s">
        <v>366</v>
      </c>
      <c r="B88" s="27">
        <v>45</v>
      </c>
      <c r="C88" s="28" t="s">
        <v>44</v>
      </c>
      <c r="D88" s="27" t="s">
        <v>19</v>
      </c>
      <c r="E88" s="28"/>
      <c r="F88" s="29"/>
      <c r="G88" s="29"/>
      <c r="H88" s="29"/>
      <c r="I88" s="29"/>
      <c r="J88" s="29"/>
      <c r="K88" s="29"/>
      <c r="L88" s="29"/>
      <c r="M88" s="29"/>
      <c r="N88" s="29"/>
      <c r="O88" s="29"/>
      <c r="P88" s="29"/>
      <c r="Q88" s="29">
        <v>1500000</v>
      </c>
    </row>
    <row r="89" spans="1:17" s="4" customFormat="1" ht="15.75" thickBot="1" x14ac:dyDescent="0.3">
      <c r="B89" s="2"/>
      <c r="C89" s="4" t="s">
        <v>36</v>
      </c>
      <c r="D89" s="2"/>
      <c r="F89" s="9">
        <f t="shared" ref="F89:Q89" si="0">SUM(F9:F88)</f>
        <v>2115869</v>
      </c>
      <c r="G89" s="9">
        <f t="shared" si="0"/>
        <v>2329297</v>
      </c>
      <c r="H89" s="9">
        <f t="shared" si="0"/>
        <v>1681530</v>
      </c>
      <c r="I89" s="9">
        <f t="shared" si="0"/>
        <v>2270678</v>
      </c>
      <c r="J89" s="9">
        <f t="shared" si="0"/>
        <v>795967</v>
      </c>
      <c r="K89" s="9">
        <f t="shared" si="0"/>
        <v>723718</v>
      </c>
      <c r="L89" s="9">
        <f t="shared" si="0"/>
        <v>571814</v>
      </c>
      <c r="M89" s="9">
        <f t="shared" si="0"/>
        <v>542249</v>
      </c>
      <c r="N89" s="9">
        <f t="shared" si="0"/>
        <v>569685</v>
      </c>
      <c r="O89" s="9">
        <f t="shared" si="0"/>
        <v>591185</v>
      </c>
      <c r="P89" s="9">
        <f t="shared" si="0"/>
        <v>819185</v>
      </c>
      <c r="Q89" s="93">
        <f t="shared" si="0"/>
        <v>53175000</v>
      </c>
    </row>
    <row r="90" spans="1:17" ht="15.75" thickTop="1" x14ac:dyDescent="0.25"/>
    <row r="91" spans="1:17" x14ac:dyDescent="0.25">
      <c r="C91" s="5" t="s">
        <v>1</v>
      </c>
    </row>
    <row r="92" spans="1:17" x14ac:dyDescent="0.25">
      <c r="A92" t="s">
        <v>1</v>
      </c>
      <c r="B92" s="1">
        <v>61</v>
      </c>
      <c r="C92" t="s">
        <v>359</v>
      </c>
      <c r="D92" s="1" t="s">
        <v>16</v>
      </c>
      <c r="F92" s="30"/>
      <c r="G92" s="30">
        <f>215000*0.75</f>
        <v>161250</v>
      </c>
      <c r="H92" s="30"/>
      <c r="I92" s="30"/>
      <c r="J92" s="30"/>
      <c r="K92" s="30"/>
      <c r="L92" s="30"/>
      <c r="M92" s="30"/>
      <c r="N92" s="30"/>
      <c r="O92" s="30"/>
      <c r="P92" s="30"/>
    </row>
    <row r="93" spans="1:17" x14ac:dyDescent="0.25">
      <c r="A93" t="s">
        <v>1</v>
      </c>
      <c r="B93" s="31">
        <v>61</v>
      </c>
      <c r="C93" s="26" t="s">
        <v>364</v>
      </c>
      <c r="D93" s="31" t="s">
        <v>16</v>
      </c>
      <c r="E93" s="26"/>
      <c r="F93" s="30"/>
      <c r="G93" s="30"/>
      <c r="H93" s="21">
        <v>300000</v>
      </c>
      <c r="I93" s="21">
        <v>300000</v>
      </c>
      <c r="J93" s="21">
        <v>300000</v>
      </c>
      <c r="K93" s="21">
        <v>300000</v>
      </c>
      <c r="L93" s="21">
        <v>300000</v>
      </c>
      <c r="M93" s="21">
        <v>300000</v>
      </c>
      <c r="N93" s="21">
        <v>300000</v>
      </c>
      <c r="O93" s="21">
        <v>300000</v>
      </c>
      <c r="P93" s="21">
        <v>300000</v>
      </c>
    </row>
    <row r="95" spans="1:17" s="4" customFormat="1" ht="15.75" thickBot="1" x14ac:dyDescent="0.3">
      <c r="B95" s="2"/>
      <c r="C95" s="4" t="s">
        <v>34</v>
      </c>
      <c r="D95" s="2"/>
      <c r="F95" s="9">
        <f t="shared" ref="F95:P95" si="1">SUM(F92:F94)</f>
        <v>0</v>
      </c>
      <c r="G95" s="9">
        <f t="shared" si="1"/>
        <v>161250</v>
      </c>
      <c r="H95" s="9">
        <f t="shared" si="1"/>
        <v>300000</v>
      </c>
      <c r="I95" s="9">
        <f t="shared" si="1"/>
        <v>300000</v>
      </c>
      <c r="J95" s="9">
        <f t="shared" si="1"/>
        <v>300000</v>
      </c>
      <c r="K95" s="9">
        <f t="shared" si="1"/>
        <v>300000</v>
      </c>
      <c r="L95" s="9">
        <f t="shared" si="1"/>
        <v>300000</v>
      </c>
      <c r="M95" s="9">
        <f t="shared" si="1"/>
        <v>300000</v>
      </c>
      <c r="N95" s="9">
        <f t="shared" si="1"/>
        <v>300000</v>
      </c>
      <c r="O95" s="9">
        <f t="shared" si="1"/>
        <v>300000</v>
      </c>
      <c r="P95" s="9">
        <f t="shared" si="1"/>
        <v>300000</v>
      </c>
    </row>
    <row r="96" spans="1:17" ht="15.75" thickTop="1" x14ac:dyDescent="0.25"/>
    <row r="97" spans="2:16" s="4" customFormat="1" x14ac:dyDescent="0.25">
      <c r="B97" s="2"/>
      <c r="C97" s="4" t="s">
        <v>35</v>
      </c>
      <c r="D97" s="2"/>
      <c r="F97" s="10">
        <f t="shared" ref="F97:P97" si="2">F95+F89</f>
        <v>2115869</v>
      </c>
      <c r="G97" s="10">
        <f t="shared" si="2"/>
        <v>2490547</v>
      </c>
      <c r="H97" s="10">
        <f t="shared" si="2"/>
        <v>1981530</v>
      </c>
      <c r="I97" s="10">
        <f t="shared" si="2"/>
        <v>2570678</v>
      </c>
      <c r="J97" s="10">
        <f t="shared" si="2"/>
        <v>1095967</v>
      </c>
      <c r="K97" s="10">
        <f t="shared" si="2"/>
        <v>1023718</v>
      </c>
      <c r="L97" s="10">
        <f t="shared" si="2"/>
        <v>871814</v>
      </c>
      <c r="M97" s="10">
        <f t="shared" si="2"/>
        <v>842249</v>
      </c>
      <c r="N97" s="10">
        <f t="shared" si="2"/>
        <v>869685</v>
      </c>
      <c r="O97" s="10">
        <f t="shared" si="2"/>
        <v>891185</v>
      </c>
      <c r="P97" s="10">
        <f t="shared" si="2"/>
        <v>1119185</v>
      </c>
    </row>
    <row r="98" spans="2:16" x14ac:dyDescent="0.25">
      <c r="F98" s="8"/>
      <c r="G98" s="8"/>
      <c r="H98" s="8"/>
      <c r="I98" s="8"/>
      <c r="J98" s="8"/>
      <c r="K98" s="8"/>
      <c r="L98" s="8"/>
      <c r="M98" s="8"/>
      <c r="N98" s="8"/>
      <c r="O98" s="8"/>
      <c r="P98" s="8"/>
    </row>
    <row r="99" spans="2:16" x14ac:dyDescent="0.25">
      <c r="C99" s="28" t="s">
        <v>394</v>
      </c>
      <c r="D99" s="27"/>
      <c r="E99" s="28"/>
      <c r="F99" s="29">
        <f t="shared" ref="F99:P99" si="3">SUM(F11:F48)</f>
        <v>12419</v>
      </c>
      <c r="G99" s="29">
        <f t="shared" si="3"/>
        <v>249368</v>
      </c>
      <c r="H99" s="29">
        <f t="shared" si="3"/>
        <v>373851</v>
      </c>
      <c r="I99" s="29">
        <f t="shared" si="3"/>
        <v>239038</v>
      </c>
      <c r="J99" s="29">
        <f t="shared" si="3"/>
        <v>201467</v>
      </c>
      <c r="K99" s="29">
        <f t="shared" si="3"/>
        <v>164018</v>
      </c>
      <c r="L99" s="29">
        <f t="shared" si="3"/>
        <v>127314</v>
      </c>
      <c r="M99" s="29">
        <f t="shared" si="3"/>
        <v>129049</v>
      </c>
      <c r="N99" s="29">
        <f t="shared" si="3"/>
        <v>126485</v>
      </c>
      <c r="O99" s="29">
        <f t="shared" si="3"/>
        <v>127285</v>
      </c>
      <c r="P99" s="29">
        <f t="shared" si="3"/>
        <v>106285</v>
      </c>
    </row>
    <row r="100" spans="2:16" x14ac:dyDescent="0.25">
      <c r="C100" s="28" t="s">
        <v>395</v>
      </c>
      <c r="D100" s="27"/>
      <c r="E100" s="28"/>
      <c r="F100" s="29">
        <f>SUM(F51:F75)+SUM(F92:F94)</f>
        <v>2103450</v>
      </c>
      <c r="G100" s="29">
        <f>SUM(G51:G75)+SUM(G92:G94)</f>
        <v>2241179</v>
      </c>
      <c r="H100" s="29">
        <f t="shared" ref="H100:P100" si="4">SUM(H51:H75)+SUM(H92:H94)</f>
        <v>1607679</v>
      </c>
      <c r="I100" s="29">
        <f t="shared" si="4"/>
        <v>2331640</v>
      </c>
      <c r="J100" s="29">
        <f t="shared" si="4"/>
        <v>894500</v>
      </c>
      <c r="K100" s="29">
        <f t="shared" si="4"/>
        <v>859700</v>
      </c>
      <c r="L100" s="29">
        <f t="shared" si="4"/>
        <v>744500</v>
      </c>
      <c r="M100" s="29">
        <f t="shared" si="4"/>
        <v>713200</v>
      </c>
      <c r="N100" s="29">
        <f t="shared" si="4"/>
        <v>743200</v>
      </c>
      <c r="O100" s="29">
        <f t="shared" si="4"/>
        <v>763900</v>
      </c>
      <c r="P100" s="29">
        <f t="shared" si="4"/>
        <v>1012900</v>
      </c>
    </row>
    <row r="101" spans="2:16" ht="15.75" thickBot="1" x14ac:dyDescent="0.3">
      <c r="F101" s="7">
        <f>SUM(F99:F100)</f>
        <v>2115869</v>
      </c>
      <c r="G101" s="7">
        <f t="shared" ref="G101:P101" si="5">SUM(G99:G100)</f>
        <v>2490547</v>
      </c>
      <c r="H101" s="7">
        <f t="shared" si="5"/>
        <v>1981530</v>
      </c>
      <c r="I101" s="7">
        <f t="shared" si="5"/>
        <v>2570678</v>
      </c>
      <c r="J101" s="7">
        <f t="shared" si="5"/>
        <v>1095967</v>
      </c>
      <c r="K101" s="7">
        <f t="shared" si="5"/>
        <v>1023718</v>
      </c>
      <c r="L101" s="7">
        <f t="shared" si="5"/>
        <v>871814</v>
      </c>
      <c r="M101" s="7">
        <f t="shared" si="5"/>
        <v>842249</v>
      </c>
      <c r="N101" s="7">
        <f t="shared" si="5"/>
        <v>869685</v>
      </c>
      <c r="O101" s="7">
        <f t="shared" si="5"/>
        <v>891185</v>
      </c>
      <c r="P101" s="7">
        <f t="shared" si="5"/>
        <v>1119185</v>
      </c>
    </row>
    <row r="102" spans="2:16" ht="15.75" thickTop="1" x14ac:dyDescent="0.25">
      <c r="F102" s="8">
        <f>F101-F97</f>
        <v>0</v>
      </c>
      <c r="G102" s="8">
        <f t="shared" ref="G102:P102" si="6">G101-G97</f>
        <v>0</v>
      </c>
      <c r="H102" s="8">
        <f t="shared" si="6"/>
        <v>0</v>
      </c>
      <c r="I102" s="8">
        <f t="shared" si="6"/>
        <v>0</v>
      </c>
      <c r="J102" s="8">
        <f t="shared" si="6"/>
        <v>0</v>
      </c>
      <c r="K102" s="8">
        <f t="shared" si="6"/>
        <v>0</v>
      </c>
      <c r="L102" s="8">
        <f t="shared" si="6"/>
        <v>0</v>
      </c>
      <c r="M102" s="8">
        <f t="shared" si="6"/>
        <v>0</v>
      </c>
      <c r="N102" s="8">
        <f t="shared" si="6"/>
        <v>0</v>
      </c>
      <c r="O102" s="8">
        <f t="shared" si="6"/>
        <v>0</v>
      </c>
      <c r="P102" s="8">
        <f t="shared" si="6"/>
        <v>0</v>
      </c>
    </row>
    <row r="104" spans="2:16" x14ac:dyDescent="0.25">
      <c r="C104" t="s">
        <v>16</v>
      </c>
      <c r="F104" s="6">
        <f t="shared" ref="F104:P110" si="7">SUMIF($D$9:$D$94,$C104,F$9:F$94)</f>
        <v>15869</v>
      </c>
      <c r="G104" s="6">
        <f t="shared" si="7"/>
        <v>859547</v>
      </c>
      <c r="H104" s="6">
        <f t="shared" si="7"/>
        <v>1411530</v>
      </c>
      <c r="I104" s="6">
        <f t="shared" si="7"/>
        <v>1300678</v>
      </c>
      <c r="J104" s="6">
        <f t="shared" si="7"/>
        <v>734967</v>
      </c>
      <c r="K104" s="6">
        <f t="shared" si="7"/>
        <v>678718</v>
      </c>
      <c r="L104" s="6">
        <f t="shared" si="7"/>
        <v>601814</v>
      </c>
      <c r="M104" s="6">
        <f t="shared" si="7"/>
        <v>572249</v>
      </c>
      <c r="N104" s="6">
        <f t="shared" si="7"/>
        <v>599685</v>
      </c>
      <c r="O104" s="6">
        <f t="shared" si="7"/>
        <v>621185</v>
      </c>
      <c r="P104" s="6">
        <f t="shared" si="7"/>
        <v>849185</v>
      </c>
    </row>
    <row r="105" spans="2:16" x14ac:dyDescent="0.25">
      <c r="C105" t="s">
        <v>37</v>
      </c>
      <c r="F105" s="6">
        <f t="shared" si="7"/>
        <v>0</v>
      </c>
      <c r="G105" s="6">
        <f t="shared" si="7"/>
        <v>0</v>
      </c>
      <c r="H105" s="6">
        <f t="shared" si="7"/>
        <v>100000</v>
      </c>
      <c r="I105" s="6">
        <f t="shared" si="7"/>
        <v>0</v>
      </c>
      <c r="J105" s="6">
        <f t="shared" si="7"/>
        <v>75000</v>
      </c>
      <c r="K105" s="6">
        <f t="shared" si="7"/>
        <v>75000</v>
      </c>
      <c r="L105" s="6">
        <f t="shared" si="7"/>
        <v>0</v>
      </c>
      <c r="M105" s="6">
        <f t="shared" si="7"/>
        <v>0</v>
      </c>
      <c r="N105" s="6">
        <f t="shared" si="7"/>
        <v>0</v>
      </c>
      <c r="O105" s="6">
        <f t="shared" si="7"/>
        <v>0</v>
      </c>
      <c r="P105" s="6">
        <f t="shared" si="7"/>
        <v>0</v>
      </c>
    </row>
    <row r="106" spans="2:16" x14ac:dyDescent="0.25">
      <c r="C106" t="s">
        <v>38</v>
      </c>
      <c r="F106" s="6">
        <f t="shared" si="7"/>
        <v>0</v>
      </c>
      <c r="G106" s="6">
        <f t="shared" si="7"/>
        <v>170000</v>
      </c>
      <c r="H106" s="6">
        <f t="shared" si="7"/>
        <v>470000</v>
      </c>
      <c r="I106" s="6">
        <f t="shared" si="7"/>
        <v>270000</v>
      </c>
      <c r="J106" s="6">
        <f t="shared" si="7"/>
        <v>270000</v>
      </c>
      <c r="K106" s="6">
        <f t="shared" si="7"/>
        <v>270000</v>
      </c>
      <c r="L106" s="6">
        <f t="shared" si="7"/>
        <v>270000</v>
      </c>
      <c r="M106" s="6">
        <f t="shared" si="7"/>
        <v>270000</v>
      </c>
      <c r="N106" s="6">
        <f t="shared" si="7"/>
        <v>270000</v>
      </c>
      <c r="O106" s="6">
        <f t="shared" si="7"/>
        <v>270000</v>
      </c>
      <c r="P106" s="6">
        <f t="shared" si="7"/>
        <v>270000</v>
      </c>
    </row>
    <row r="107" spans="2:16" x14ac:dyDescent="0.25">
      <c r="C107" t="s">
        <v>19</v>
      </c>
      <c r="F107" s="6">
        <f t="shared" si="7"/>
        <v>2100000</v>
      </c>
      <c r="G107" s="6">
        <f t="shared" si="7"/>
        <v>1400000</v>
      </c>
      <c r="H107" s="6">
        <f t="shared" si="7"/>
        <v>0</v>
      </c>
      <c r="I107" s="6">
        <f t="shared" si="7"/>
        <v>1000000</v>
      </c>
      <c r="J107" s="6">
        <f t="shared" si="7"/>
        <v>0</v>
      </c>
      <c r="K107" s="6">
        <f t="shared" si="7"/>
        <v>0</v>
      </c>
      <c r="L107" s="6">
        <f t="shared" si="7"/>
        <v>0</v>
      </c>
      <c r="M107" s="6">
        <f t="shared" si="7"/>
        <v>0</v>
      </c>
      <c r="N107" s="6">
        <f t="shared" si="7"/>
        <v>0</v>
      </c>
      <c r="O107" s="6">
        <f t="shared" si="7"/>
        <v>0</v>
      </c>
      <c r="P107" s="6">
        <f t="shared" si="7"/>
        <v>0</v>
      </c>
    </row>
    <row r="108" spans="2:16" x14ac:dyDescent="0.25">
      <c r="C108" t="s">
        <v>243</v>
      </c>
      <c r="F108" s="6">
        <f t="shared" si="7"/>
        <v>0</v>
      </c>
      <c r="G108" s="6">
        <f t="shared" si="7"/>
        <v>61000</v>
      </c>
      <c r="H108" s="6">
        <f t="shared" si="7"/>
        <v>0</v>
      </c>
      <c r="I108" s="6">
        <f t="shared" si="7"/>
        <v>0</v>
      </c>
      <c r="J108" s="6">
        <f t="shared" si="7"/>
        <v>16000</v>
      </c>
      <c r="K108" s="6">
        <f t="shared" si="7"/>
        <v>0</v>
      </c>
      <c r="L108" s="6">
        <f t="shared" si="7"/>
        <v>0</v>
      </c>
      <c r="M108" s="6">
        <f t="shared" si="7"/>
        <v>0</v>
      </c>
      <c r="N108" s="6">
        <f t="shared" si="7"/>
        <v>0</v>
      </c>
      <c r="O108" s="6">
        <f t="shared" si="7"/>
        <v>0</v>
      </c>
      <c r="P108" s="6">
        <f t="shared" si="7"/>
        <v>0</v>
      </c>
    </row>
    <row r="109" spans="2:16" x14ac:dyDescent="0.25">
      <c r="C109" t="s">
        <v>13</v>
      </c>
      <c r="F109" s="6">
        <f t="shared" si="7"/>
        <v>0</v>
      </c>
      <c r="G109" s="6">
        <f t="shared" si="7"/>
        <v>0</v>
      </c>
      <c r="H109" s="6">
        <f t="shared" si="7"/>
        <v>0</v>
      </c>
      <c r="I109" s="6">
        <f t="shared" si="7"/>
        <v>0</v>
      </c>
      <c r="J109" s="6">
        <f t="shared" si="7"/>
        <v>0</v>
      </c>
      <c r="K109" s="6">
        <f t="shared" si="7"/>
        <v>0</v>
      </c>
      <c r="L109" s="6">
        <f t="shared" si="7"/>
        <v>0</v>
      </c>
      <c r="M109" s="6">
        <f t="shared" si="7"/>
        <v>0</v>
      </c>
      <c r="N109" s="6">
        <f t="shared" si="7"/>
        <v>0</v>
      </c>
      <c r="O109" s="6">
        <f t="shared" si="7"/>
        <v>0</v>
      </c>
      <c r="P109" s="6">
        <f t="shared" si="7"/>
        <v>0</v>
      </c>
    </row>
    <row r="110" spans="2:16" x14ac:dyDescent="0.25">
      <c r="C110" t="s">
        <v>50</v>
      </c>
      <c r="F110" s="6">
        <f t="shared" si="7"/>
        <v>0</v>
      </c>
      <c r="G110" s="6">
        <f t="shared" si="7"/>
        <v>0</v>
      </c>
      <c r="H110" s="6">
        <f t="shared" si="7"/>
        <v>0</v>
      </c>
      <c r="I110" s="6">
        <f t="shared" si="7"/>
        <v>0</v>
      </c>
      <c r="J110" s="6">
        <f t="shared" si="7"/>
        <v>0</v>
      </c>
      <c r="K110" s="6">
        <f t="shared" si="7"/>
        <v>0</v>
      </c>
      <c r="L110" s="6">
        <f t="shared" si="7"/>
        <v>0</v>
      </c>
      <c r="M110" s="6">
        <f t="shared" si="7"/>
        <v>0</v>
      </c>
      <c r="N110" s="6">
        <f t="shared" si="7"/>
        <v>0</v>
      </c>
      <c r="O110" s="6">
        <f t="shared" si="7"/>
        <v>0</v>
      </c>
      <c r="P110" s="6">
        <f t="shared" si="7"/>
        <v>0</v>
      </c>
    </row>
    <row r="111" spans="2:16" ht="15.75" thickBot="1" x14ac:dyDescent="0.3">
      <c r="F111" s="7">
        <f t="shared" ref="F111:P111" si="8">SUM(F104:F110)</f>
        <v>2115869</v>
      </c>
      <c r="G111" s="7">
        <f t="shared" si="8"/>
        <v>2490547</v>
      </c>
      <c r="H111" s="7">
        <f t="shared" si="8"/>
        <v>1981530</v>
      </c>
      <c r="I111" s="7">
        <f t="shared" si="8"/>
        <v>2570678</v>
      </c>
      <c r="J111" s="7">
        <f t="shared" si="8"/>
        <v>1095967</v>
      </c>
      <c r="K111" s="7">
        <f t="shared" si="8"/>
        <v>1023718</v>
      </c>
      <c r="L111" s="7">
        <f t="shared" si="8"/>
        <v>871814</v>
      </c>
      <c r="M111" s="7">
        <f t="shared" si="8"/>
        <v>842249</v>
      </c>
      <c r="N111" s="7">
        <f t="shared" si="8"/>
        <v>869685</v>
      </c>
      <c r="O111" s="7">
        <f t="shared" si="8"/>
        <v>891185</v>
      </c>
      <c r="P111" s="7">
        <f t="shared" si="8"/>
        <v>1119185</v>
      </c>
    </row>
    <row r="112" spans="2:16" ht="15.75" thickTop="1" x14ac:dyDescent="0.25">
      <c r="F112" s="8">
        <f>F111-F97</f>
        <v>0</v>
      </c>
      <c r="G112" s="8">
        <f t="shared" ref="G112:P112" si="9">G111-G97</f>
        <v>0</v>
      </c>
      <c r="H112" s="8">
        <f t="shared" si="9"/>
        <v>0</v>
      </c>
      <c r="I112" s="8">
        <f t="shared" si="9"/>
        <v>0</v>
      </c>
      <c r="J112" s="8">
        <f t="shared" si="9"/>
        <v>0</v>
      </c>
      <c r="K112" s="8">
        <f t="shared" si="9"/>
        <v>0</v>
      </c>
      <c r="L112" s="8">
        <f t="shared" si="9"/>
        <v>0</v>
      </c>
      <c r="M112" s="8">
        <f t="shared" si="9"/>
        <v>0</v>
      </c>
      <c r="N112" s="8">
        <f t="shared" si="9"/>
        <v>0</v>
      </c>
      <c r="O112" s="8">
        <f t="shared" si="9"/>
        <v>0</v>
      </c>
      <c r="P112" s="8">
        <f t="shared" si="9"/>
        <v>0</v>
      </c>
    </row>
    <row r="115" spans="3:16" x14ac:dyDescent="0.25">
      <c r="C115" s="72" t="s">
        <v>314</v>
      </c>
      <c r="D115" s="73"/>
      <c r="E115" s="74"/>
      <c r="F115" s="75">
        <f t="shared" ref="F115:P121" si="10">SUMIF($A$9:$A$97,$C115,F$9:F$97)</f>
        <v>3450</v>
      </c>
      <c r="G115" s="75">
        <f t="shared" si="10"/>
        <v>203929</v>
      </c>
      <c r="H115" s="75">
        <f t="shared" si="10"/>
        <v>231679</v>
      </c>
      <c r="I115" s="75">
        <f t="shared" si="10"/>
        <v>93640</v>
      </c>
      <c r="J115" s="75">
        <f t="shared" si="10"/>
        <v>96500</v>
      </c>
      <c r="K115" s="75">
        <f t="shared" si="10"/>
        <v>146700</v>
      </c>
      <c r="L115" s="75">
        <f t="shared" si="10"/>
        <v>106500</v>
      </c>
      <c r="M115" s="75">
        <f t="shared" si="10"/>
        <v>75200</v>
      </c>
      <c r="N115" s="75">
        <f t="shared" si="10"/>
        <v>105200</v>
      </c>
      <c r="O115" s="75">
        <f t="shared" si="10"/>
        <v>125900</v>
      </c>
      <c r="P115" s="75">
        <f t="shared" si="10"/>
        <v>236900</v>
      </c>
    </row>
    <row r="116" spans="3:16" x14ac:dyDescent="0.25">
      <c r="C116" s="72" t="s">
        <v>316</v>
      </c>
      <c r="D116" s="73"/>
      <c r="E116" s="74"/>
      <c r="F116" s="75">
        <f t="shared" si="10"/>
        <v>0</v>
      </c>
      <c r="G116" s="75">
        <f t="shared" si="10"/>
        <v>25000</v>
      </c>
      <c r="H116" s="75">
        <f t="shared" si="10"/>
        <v>200000</v>
      </c>
      <c r="I116" s="75">
        <f t="shared" si="10"/>
        <v>0</v>
      </c>
      <c r="J116" s="75">
        <f t="shared" si="10"/>
        <v>0</v>
      </c>
      <c r="K116" s="75">
        <f t="shared" si="10"/>
        <v>0</v>
      </c>
      <c r="L116" s="75">
        <f t="shared" si="10"/>
        <v>0</v>
      </c>
      <c r="M116" s="75">
        <f t="shared" si="10"/>
        <v>0</v>
      </c>
      <c r="N116" s="75">
        <f t="shared" si="10"/>
        <v>0</v>
      </c>
      <c r="O116" s="75">
        <f t="shared" si="10"/>
        <v>0</v>
      </c>
      <c r="P116" s="75">
        <f t="shared" si="10"/>
        <v>0</v>
      </c>
    </row>
    <row r="117" spans="3:16" x14ac:dyDescent="0.25">
      <c r="C117" s="72" t="s">
        <v>315</v>
      </c>
      <c r="D117" s="73"/>
      <c r="E117" s="74"/>
      <c r="F117" s="75">
        <f t="shared" si="10"/>
        <v>2106000</v>
      </c>
      <c r="G117" s="75">
        <f t="shared" si="10"/>
        <v>297400</v>
      </c>
      <c r="H117" s="75">
        <f t="shared" si="10"/>
        <v>408500</v>
      </c>
      <c r="I117" s="75">
        <f t="shared" si="10"/>
        <v>1613000</v>
      </c>
      <c r="J117" s="75">
        <f t="shared" si="10"/>
        <v>303000</v>
      </c>
      <c r="K117" s="75">
        <f t="shared" si="10"/>
        <v>177000</v>
      </c>
      <c r="L117" s="75">
        <f t="shared" si="10"/>
        <v>85000</v>
      </c>
      <c r="M117" s="75">
        <f t="shared" si="10"/>
        <v>74700</v>
      </c>
      <c r="N117" s="75">
        <f t="shared" si="10"/>
        <v>98700</v>
      </c>
      <c r="O117" s="75">
        <f t="shared" si="10"/>
        <v>99500</v>
      </c>
      <c r="P117" s="75">
        <f t="shared" si="10"/>
        <v>216500</v>
      </c>
    </row>
    <row r="118" spans="3:16" x14ac:dyDescent="0.25">
      <c r="C118" s="72" t="s">
        <v>365</v>
      </c>
      <c r="D118" s="73"/>
      <c r="E118" s="74"/>
      <c r="F118" s="75">
        <f t="shared" si="10"/>
        <v>0</v>
      </c>
      <c r="G118" s="75">
        <f t="shared" si="10"/>
        <v>1740000</v>
      </c>
      <c r="H118" s="75">
        <f t="shared" si="10"/>
        <v>615000</v>
      </c>
      <c r="I118" s="75">
        <f t="shared" si="10"/>
        <v>455000</v>
      </c>
      <c r="J118" s="75">
        <f t="shared" si="10"/>
        <v>340000</v>
      </c>
      <c r="K118" s="75">
        <f t="shared" si="10"/>
        <v>340000</v>
      </c>
      <c r="L118" s="75">
        <f t="shared" si="10"/>
        <v>340000</v>
      </c>
      <c r="M118" s="75">
        <f t="shared" si="10"/>
        <v>340000</v>
      </c>
      <c r="N118" s="75">
        <f t="shared" si="10"/>
        <v>340000</v>
      </c>
      <c r="O118" s="75">
        <f t="shared" si="10"/>
        <v>340000</v>
      </c>
      <c r="P118" s="75">
        <f t="shared" si="10"/>
        <v>340000</v>
      </c>
    </row>
    <row r="119" spans="3:16" x14ac:dyDescent="0.25">
      <c r="C119" s="72" t="s">
        <v>366</v>
      </c>
      <c r="D119" s="73"/>
      <c r="E119" s="74"/>
      <c r="F119" s="75">
        <f t="shared" si="10"/>
        <v>6419</v>
      </c>
      <c r="G119" s="75">
        <f t="shared" si="10"/>
        <v>56381</v>
      </c>
      <c r="H119" s="75">
        <f t="shared" si="10"/>
        <v>214081</v>
      </c>
      <c r="I119" s="75">
        <f t="shared" si="10"/>
        <v>96226</v>
      </c>
      <c r="J119" s="75">
        <f t="shared" si="10"/>
        <v>46226</v>
      </c>
      <c r="K119" s="75">
        <f t="shared" si="10"/>
        <v>46226</v>
      </c>
      <c r="L119" s="75">
        <f t="shared" si="10"/>
        <v>26564</v>
      </c>
      <c r="M119" s="75">
        <f t="shared" si="10"/>
        <v>38599</v>
      </c>
      <c r="N119" s="75">
        <f t="shared" si="10"/>
        <v>12035</v>
      </c>
      <c r="O119" s="75">
        <f t="shared" si="10"/>
        <v>12035</v>
      </c>
      <c r="P119" s="75">
        <f t="shared" si="10"/>
        <v>12035</v>
      </c>
    </row>
    <row r="120" spans="3:16" x14ac:dyDescent="0.25">
      <c r="C120" s="72" t="s">
        <v>367</v>
      </c>
      <c r="D120" s="73"/>
      <c r="E120" s="74"/>
      <c r="F120" s="75">
        <f t="shared" si="10"/>
        <v>0</v>
      </c>
      <c r="G120" s="75">
        <f t="shared" si="10"/>
        <v>6587</v>
      </c>
      <c r="H120" s="75">
        <f t="shared" si="10"/>
        <v>12270</v>
      </c>
      <c r="I120" s="75">
        <f t="shared" si="10"/>
        <v>12812</v>
      </c>
      <c r="J120" s="75">
        <f t="shared" si="10"/>
        <v>10241</v>
      </c>
      <c r="K120" s="75">
        <f t="shared" si="10"/>
        <v>13792</v>
      </c>
      <c r="L120" s="75">
        <f t="shared" si="10"/>
        <v>13750</v>
      </c>
      <c r="M120" s="75">
        <f t="shared" si="10"/>
        <v>13750</v>
      </c>
      <c r="N120" s="75">
        <f t="shared" si="10"/>
        <v>13750</v>
      </c>
      <c r="O120" s="75">
        <f t="shared" si="10"/>
        <v>13750</v>
      </c>
      <c r="P120" s="75">
        <f t="shared" si="10"/>
        <v>13750</v>
      </c>
    </row>
    <row r="121" spans="3:16" x14ac:dyDescent="0.25">
      <c r="C121" s="72" t="s">
        <v>1</v>
      </c>
      <c r="D121" s="73"/>
      <c r="E121" s="74"/>
      <c r="F121" s="75">
        <f t="shared" si="10"/>
        <v>0</v>
      </c>
      <c r="G121" s="75">
        <f t="shared" si="10"/>
        <v>161250</v>
      </c>
      <c r="H121" s="75">
        <f t="shared" si="10"/>
        <v>300000</v>
      </c>
      <c r="I121" s="75">
        <f t="shared" si="10"/>
        <v>300000</v>
      </c>
      <c r="J121" s="75">
        <f t="shared" si="10"/>
        <v>300000</v>
      </c>
      <c r="K121" s="75">
        <f t="shared" si="10"/>
        <v>300000</v>
      </c>
      <c r="L121" s="75">
        <f t="shared" si="10"/>
        <v>300000</v>
      </c>
      <c r="M121" s="75">
        <f t="shared" si="10"/>
        <v>300000</v>
      </c>
      <c r="N121" s="75">
        <f t="shared" si="10"/>
        <v>300000</v>
      </c>
      <c r="O121" s="75">
        <f t="shared" si="10"/>
        <v>300000</v>
      </c>
      <c r="P121" s="75">
        <f t="shared" si="10"/>
        <v>300000</v>
      </c>
    </row>
    <row r="122" spans="3:16" ht="15.75" thickBot="1" x14ac:dyDescent="0.3">
      <c r="C122" s="74"/>
      <c r="D122" s="73"/>
      <c r="E122" s="74"/>
      <c r="F122" s="76">
        <f>SUM(F115:F121)</f>
        <v>2115869</v>
      </c>
      <c r="G122" s="76">
        <f t="shared" ref="G122:P122" si="11">SUM(G115:G121)</f>
        <v>2490547</v>
      </c>
      <c r="H122" s="76">
        <f t="shared" si="11"/>
        <v>1981530</v>
      </c>
      <c r="I122" s="76">
        <f t="shared" si="11"/>
        <v>2570678</v>
      </c>
      <c r="J122" s="76">
        <f t="shared" si="11"/>
        <v>1095967</v>
      </c>
      <c r="K122" s="76">
        <f t="shared" si="11"/>
        <v>1023718</v>
      </c>
      <c r="L122" s="76">
        <f t="shared" si="11"/>
        <v>871814</v>
      </c>
      <c r="M122" s="76">
        <f t="shared" si="11"/>
        <v>842249</v>
      </c>
      <c r="N122" s="76">
        <f t="shared" si="11"/>
        <v>869685</v>
      </c>
      <c r="O122" s="76">
        <f t="shared" si="11"/>
        <v>891185</v>
      </c>
      <c r="P122" s="76">
        <f t="shared" si="11"/>
        <v>1119185</v>
      </c>
    </row>
    <row r="123" spans="3:16" ht="15.75" thickTop="1" x14ac:dyDescent="0.25">
      <c r="F123" s="8">
        <f>F122-F111</f>
        <v>0</v>
      </c>
      <c r="G123" s="8">
        <f t="shared" ref="G123:P123" si="12">G122-G111</f>
        <v>0</v>
      </c>
      <c r="H123" s="8">
        <f t="shared" si="12"/>
        <v>0</v>
      </c>
      <c r="I123" s="8">
        <f t="shared" si="12"/>
        <v>0</v>
      </c>
      <c r="J123" s="8">
        <f t="shared" si="12"/>
        <v>0</v>
      </c>
      <c r="K123" s="8">
        <f t="shared" si="12"/>
        <v>0</v>
      </c>
      <c r="L123" s="8">
        <f t="shared" si="12"/>
        <v>0</v>
      </c>
      <c r="M123" s="8">
        <f t="shared" si="12"/>
        <v>0</v>
      </c>
      <c r="N123" s="8">
        <f t="shared" si="12"/>
        <v>0</v>
      </c>
      <c r="O123" s="8">
        <f t="shared" si="12"/>
        <v>0</v>
      </c>
      <c r="P123" s="8">
        <f t="shared" si="12"/>
        <v>0</v>
      </c>
    </row>
    <row r="124" spans="3:16" x14ac:dyDescent="0.25">
      <c r="F124" s="8"/>
    </row>
    <row r="125" spans="3:16" x14ac:dyDescent="0.25">
      <c r="C125" t="s">
        <v>55</v>
      </c>
    </row>
    <row r="126" spans="3:16" x14ac:dyDescent="0.25">
      <c r="C126" t="s">
        <v>56</v>
      </c>
    </row>
    <row r="127" spans="3:16" x14ac:dyDescent="0.25">
      <c r="C127" t="s">
        <v>370</v>
      </c>
    </row>
    <row r="128" spans="3:16" x14ac:dyDescent="0.25">
      <c r="C128" t="s">
        <v>57</v>
      </c>
    </row>
    <row r="129" spans="3:3" x14ac:dyDescent="0.25">
      <c r="C129" t="s">
        <v>244</v>
      </c>
    </row>
    <row r="130" spans="3:3" x14ac:dyDescent="0.25">
      <c r="C130" t="s">
        <v>58</v>
      </c>
    </row>
    <row r="131" spans="3:3" x14ac:dyDescent="0.25">
      <c r="C131" t="s">
        <v>59</v>
      </c>
    </row>
  </sheetData>
  <customSheetViews>
    <customSheetView guid="{BB410D8C-36DE-400F-AB69-DB51CF9CA663}" showPageBreaks="1" fitToPage="1" printArea="1" state="hidden">
      <pane xSplit="5" ySplit="8" topLeftCell="F60" activePane="bottomRight" state="frozen"/>
      <selection pane="bottomRight" activeCell="G68" sqref="G68"/>
      <pageMargins left="0.4" right="0.4" top="0.4" bottom="0.4" header="0" footer="0"/>
      <pageSetup scale="37" orientation="portrait" r:id="rId1"/>
    </customSheetView>
  </customSheetViews>
  <pageMargins left="0.4" right="0.4" top="0.4" bottom="0.4" header="0" footer="0"/>
  <pageSetup scale="37" orientation="portrait"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topLeftCell="A7" workbookViewId="0">
      <selection activeCell="G68" sqref="G68"/>
    </sheetView>
  </sheetViews>
  <sheetFormatPr defaultRowHeight="15" outlineLevelRow="1" x14ac:dyDescent="0.25"/>
  <cols>
    <col min="1" max="1" width="76" customWidth="1"/>
    <col min="2" max="2" width="8.28515625" style="1" customWidth="1"/>
    <col min="3" max="3" width="2.85546875" customWidth="1"/>
    <col min="4" max="4" width="11.140625" style="6" bestFit="1" customWidth="1"/>
    <col min="5" max="6" width="10.140625" style="6" bestFit="1" customWidth="1"/>
    <col min="7" max="7" width="9.140625" style="6"/>
    <col min="8" max="11" width="10.140625" style="6" bestFit="1" customWidth="1"/>
    <col min="12" max="12" width="9.140625" style="6"/>
    <col min="13" max="13" width="10.140625" style="6" bestFit="1" customWidth="1"/>
    <col min="14" max="14" width="10.140625" style="6" customWidth="1"/>
    <col min="15" max="15" width="10.140625" bestFit="1" customWidth="1"/>
    <col min="16" max="16" width="62.42578125" customWidth="1"/>
    <col min="17" max="17" width="13.28515625" bestFit="1" customWidth="1"/>
  </cols>
  <sheetData>
    <row r="1" spans="1:14" ht="21" x14ac:dyDescent="0.35">
      <c r="A1" s="17" t="s">
        <v>62</v>
      </c>
    </row>
    <row r="2" spans="1:14" ht="21" x14ac:dyDescent="0.35">
      <c r="A2" s="17" t="s">
        <v>66</v>
      </c>
    </row>
    <row r="3" spans="1:14" ht="21" x14ac:dyDescent="0.35">
      <c r="A3" s="17" t="s">
        <v>64</v>
      </c>
      <c r="D3"/>
      <c r="E3"/>
      <c r="F3"/>
      <c r="G3"/>
      <c r="H3"/>
      <c r="I3"/>
      <c r="J3"/>
      <c r="K3"/>
      <c r="L3"/>
      <c r="M3"/>
      <c r="N3"/>
    </row>
    <row r="4" spans="1:14" x14ac:dyDescent="0.25">
      <c r="D4"/>
      <c r="E4"/>
      <c r="F4"/>
      <c r="G4"/>
      <c r="H4"/>
      <c r="I4"/>
      <c r="J4"/>
      <c r="K4"/>
      <c r="L4"/>
      <c r="M4"/>
      <c r="N4"/>
    </row>
    <row r="5" spans="1:14" x14ac:dyDescent="0.25">
      <c r="D5"/>
      <c r="E5"/>
      <c r="F5"/>
      <c r="G5"/>
      <c r="H5"/>
      <c r="I5"/>
      <c r="J5"/>
      <c r="K5"/>
      <c r="L5"/>
      <c r="M5"/>
      <c r="N5"/>
    </row>
    <row r="6" spans="1:14" x14ac:dyDescent="0.25">
      <c r="D6" s="3" t="s">
        <v>2</v>
      </c>
      <c r="E6" s="3" t="s">
        <v>3</v>
      </c>
      <c r="F6" s="3" t="s">
        <v>4</v>
      </c>
      <c r="G6" s="3" t="s">
        <v>5</v>
      </c>
      <c r="H6" s="3" t="s">
        <v>6</v>
      </c>
      <c r="I6" s="3" t="s">
        <v>7</v>
      </c>
      <c r="J6" s="3" t="s">
        <v>8</v>
      </c>
      <c r="K6" s="3" t="s">
        <v>9</v>
      </c>
      <c r="L6" s="3" t="s">
        <v>10</v>
      </c>
      <c r="M6" s="3" t="s">
        <v>11</v>
      </c>
      <c r="N6" s="3" t="s">
        <v>45</v>
      </c>
    </row>
    <row r="7" spans="1:14" x14ac:dyDescent="0.25">
      <c r="D7"/>
      <c r="E7"/>
      <c r="F7"/>
      <c r="G7"/>
      <c r="H7"/>
      <c r="I7"/>
      <c r="J7"/>
      <c r="K7"/>
      <c r="L7"/>
      <c r="M7"/>
      <c r="N7"/>
    </row>
    <row r="8" spans="1:14" x14ac:dyDescent="0.25">
      <c r="A8" s="5" t="s">
        <v>0</v>
      </c>
      <c r="D8"/>
      <c r="E8"/>
      <c r="F8"/>
      <c r="G8"/>
      <c r="H8"/>
      <c r="I8"/>
      <c r="J8"/>
      <c r="K8"/>
      <c r="L8"/>
      <c r="M8"/>
      <c r="N8"/>
    </row>
    <row r="10" spans="1:14" x14ac:dyDescent="0.25">
      <c r="A10" s="5" t="s">
        <v>392</v>
      </c>
    </row>
    <row r="11" spans="1:14" x14ac:dyDescent="0.25">
      <c r="A11" t="s">
        <v>282</v>
      </c>
      <c r="B11" s="1" t="s">
        <v>16</v>
      </c>
      <c r="E11" s="30"/>
      <c r="F11" s="6">
        <v>30000</v>
      </c>
    </row>
    <row r="12" spans="1:14" x14ac:dyDescent="0.25">
      <c r="A12" t="s">
        <v>354</v>
      </c>
      <c r="B12" s="1" t="s">
        <v>16</v>
      </c>
      <c r="E12" s="6">
        <v>25000</v>
      </c>
      <c r="F12" s="6">
        <v>25000</v>
      </c>
      <c r="G12" s="6">
        <v>25000</v>
      </c>
      <c r="H12" s="6">
        <v>25000</v>
      </c>
      <c r="I12" s="6">
        <v>25000</v>
      </c>
      <c r="J12" s="6">
        <v>25000</v>
      </c>
      <c r="K12" s="6">
        <v>25000</v>
      </c>
      <c r="L12" s="6">
        <v>25000</v>
      </c>
      <c r="M12" s="6">
        <v>25000</v>
      </c>
      <c r="N12" s="6">
        <v>25000</v>
      </c>
    </row>
    <row r="13" spans="1:14" x14ac:dyDescent="0.25">
      <c r="A13" t="s">
        <v>355</v>
      </c>
      <c r="B13" s="1" t="s">
        <v>16</v>
      </c>
      <c r="E13" s="6">
        <v>20000</v>
      </c>
      <c r="F13" s="6">
        <v>20000</v>
      </c>
      <c r="G13" s="6">
        <v>20000</v>
      </c>
      <c r="H13" s="6">
        <v>20000</v>
      </c>
      <c r="I13" s="6">
        <v>20000</v>
      </c>
      <c r="J13" s="6">
        <v>20000</v>
      </c>
      <c r="K13" s="6">
        <v>20000</v>
      </c>
      <c r="L13" s="6">
        <v>20000</v>
      </c>
      <c r="M13" s="6">
        <v>20000</v>
      </c>
      <c r="N13" s="6">
        <v>20000</v>
      </c>
    </row>
    <row r="14" spans="1:14" x14ac:dyDescent="0.25">
      <c r="A14" t="s">
        <v>21</v>
      </c>
      <c r="B14" s="1" t="s">
        <v>16</v>
      </c>
      <c r="E14" s="6">
        <v>0</v>
      </c>
      <c r="F14" s="6">
        <v>23500</v>
      </c>
      <c r="G14" s="6">
        <v>23500</v>
      </c>
    </row>
    <row r="15" spans="1:14" x14ac:dyDescent="0.25">
      <c r="A15" t="s">
        <v>22</v>
      </c>
      <c r="B15" s="1" t="s">
        <v>16</v>
      </c>
      <c r="E15" s="6">
        <v>10000</v>
      </c>
    </row>
    <row r="16" spans="1:14" x14ac:dyDescent="0.25">
      <c r="A16" t="s">
        <v>23</v>
      </c>
      <c r="B16" s="1" t="s">
        <v>16</v>
      </c>
      <c r="E16" s="6">
        <v>15000</v>
      </c>
      <c r="G16" s="6">
        <v>15000</v>
      </c>
      <c r="J16" s="6">
        <v>15000</v>
      </c>
      <c r="M16" s="6">
        <v>15000</v>
      </c>
    </row>
    <row r="17" spans="1:16" x14ac:dyDescent="0.25">
      <c r="A17" t="s">
        <v>25</v>
      </c>
      <c r="B17" s="1" t="s">
        <v>16</v>
      </c>
      <c r="F17" s="6">
        <v>70000</v>
      </c>
      <c r="N17"/>
    </row>
    <row r="18" spans="1:16" x14ac:dyDescent="0.25">
      <c r="A18" t="s">
        <v>27</v>
      </c>
      <c r="B18" s="1" t="s">
        <v>16</v>
      </c>
      <c r="G18" s="6">
        <v>6000</v>
      </c>
      <c r="H18" s="6">
        <v>6000</v>
      </c>
      <c r="N18"/>
    </row>
    <row r="19" spans="1:16" x14ac:dyDescent="0.25">
      <c r="A19" t="s">
        <v>31</v>
      </c>
      <c r="B19" s="1" t="s">
        <v>16</v>
      </c>
      <c r="H19" s="6">
        <v>8000</v>
      </c>
      <c r="N19"/>
    </row>
    <row r="20" spans="1:16" x14ac:dyDescent="0.25">
      <c r="A20" t="s">
        <v>32</v>
      </c>
      <c r="B20" s="1" t="s">
        <v>16</v>
      </c>
      <c r="H20" s="6">
        <v>17000</v>
      </c>
      <c r="N20"/>
    </row>
    <row r="21" spans="1:16" x14ac:dyDescent="0.25">
      <c r="A21" t="s">
        <v>353</v>
      </c>
      <c r="B21" s="1" t="s">
        <v>16</v>
      </c>
      <c r="F21" s="6">
        <v>8000</v>
      </c>
      <c r="N21"/>
    </row>
    <row r="22" spans="1:16" x14ac:dyDescent="0.25">
      <c r="A22" t="s">
        <v>42</v>
      </c>
      <c r="B22" s="1" t="s">
        <v>16</v>
      </c>
      <c r="H22" s="6">
        <v>16000</v>
      </c>
      <c r="N22"/>
    </row>
    <row r="23" spans="1:16" x14ac:dyDescent="0.25">
      <c r="A23" t="s">
        <v>361</v>
      </c>
      <c r="B23" s="1" t="s">
        <v>16</v>
      </c>
      <c r="F23" s="6">
        <v>10000</v>
      </c>
      <c r="N23"/>
    </row>
    <row r="24" spans="1:16" x14ac:dyDescent="0.25">
      <c r="A24" t="s">
        <v>362</v>
      </c>
      <c r="B24" s="1" t="s">
        <v>16</v>
      </c>
      <c r="E24" s="30"/>
      <c r="G24" s="6">
        <v>25000</v>
      </c>
      <c r="N24"/>
    </row>
    <row r="25" spans="1:16" x14ac:dyDescent="0.25">
      <c r="A25" t="s">
        <v>30</v>
      </c>
      <c r="B25" s="1" t="s">
        <v>16</v>
      </c>
      <c r="H25" s="6">
        <v>15000</v>
      </c>
      <c r="N25"/>
    </row>
    <row r="26" spans="1:16" x14ac:dyDescent="0.25">
      <c r="N26"/>
    </row>
    <row r="27" spans="1:16" x14ac:dyDescent="0.25">
      <c r="A27" s="5" t="s">
        <v>393</v>
      </c>
      <c r="N27"/>
    </row>
    <row r="28" spans="1:16" x14ac:dyDescent="0.25">
      <c r="A28" t="s">
        <v>39</v>
      </c>
      <c r="B28" s="1" t="s">
        <v>16</v>
      </c>
      <c r="I28" s="6">
        <v>60000</v>
      </c>
      <c r="N28"/>
    </row>
    <row r="29" spans="1:16" x14ac:dyDescent="0.25">
      <c r="A29" t="s">
        <v>20</v>
      </c>
      <c r="B29" s="1" t="s">
        <v>16</v>
      </c>
      <c r="E29" s="6">
        <v>105000</v>
      </c>
    </row>
    <row r="30" spans="1:16" x14ac:dyDescent="0.25">
      <c r="A30" t="s">
        <v>14</v>
      </c>
      <c r="B30" s="1" t="s">
        <v>243</v>
      </c>
      <c r="D30" s="6">
        <v>85000</v>
      </c>
    </row>
    <row r="31" spans="1:16" x14ac:dyDescent="0.25">
      <c r="A31" t="s">
        <v>12</v>
      </c>
      <c r="B31" s="1" t="s">
        <v>16</v>
      </c>
      <c r="E31" s="21">
        <v>892000</v>
      </c>
      <c r="N31" s="21">
        <v>500000</v>
      </c>
      <c r="P31" t="s">
        <v>306</v>
      </c>
    </row>
    <row r="32" spans="1:16" x14ac:dyDescent="0.25">
      <c r="A32" t="s">
        <v>40</v>
      </c>
      <c r="B32" s="1" t="s">
        <v>16</v>
      </c>
      <c r="J32" s="6">
        <v>60000</v>
      </c>
      <c r="N32"/>
    </row>
    <row r="33" spans="1:17" x14ac:dyDescent="0.25">
      <c r="A33" t="s">
        <v>29</v>
      </c>
      <c r="B33" s="1" t="s">
        <v>16</v>
      </c>
      <c r="H33" s="6">
        <v>80000</v>
      </c>
      <c r="N33"/>
    </row>
    <row r="34" spans="1:17" x14ac:dyDescent="0.25">
      <c r="A34" t="s">
        <v>371</v>
      </c>
      <c r="B34" s="1" t="s">
        <v>16</v>
      </c>
      <c r="F34" s="6">
        <v>95000</v>
      </c>
      <c r="N34"/>
    </row>
    <row r="35" spans="1:17" x14ac:dyDescent="0.25">
      <c r="A35" t="s">
        <v>24</v>
      </c>
      <c r="B35" s="1" t="s">
        <v>19</v>
      </c>
      <c r="I35" s="6">
        <v>1500000</v>
      </c>
    </row>
    <row r="36" spans="1:17" hidden="1" outlineLevel="1" x14ac:dyDescent="0.25">
      <c r="A36" t="s">
        <v>26</v>
      </c>
      <c r="B36" s="1" t="s">
        <v>19</v>
      </c>
      <c r="N36"/>
      <c r="O36" s="6"/>
      <c r="P36" t="s">
        <v>386</v>
      </c>
    </row>
    <row r="37" spans="1:17" hidden="1" outlineLevel="1" x14ac:dyDescent="0.25">
      <c r="A37" t="s">
        <v>33</v>
      </c>
      <c r="B37" s="1" t="s">
        <v>19</v>
      </c>
      <c r="N37"/>
      <c r="O37" s="6"/>
      <c r="P37" t="s">
        <v>387</v>
      </c>
    </row>
    <row r="38" spans="1:17" hidden="1" outlineLevel="1" x14ac:dyDescent="0.25">
      <c r="A38" t="s">
        <v>41</v>
      </c>
      <c r="B38" s="1" t="s">
        <v>16</v>
      </c>
      <c r="N38"/>
      <c r="O38" s="6"/>
      <c r="P38" t="s">
        <v>388</v>
      </c>
    </row>
    <row r="39" spans="1:17" hidden="1" outlineLevel="1" x14ac:dyDescent="0.25">
      <c r="A39" t="s">
        <v>43</v>
      </c>
      <c r="B39" s="1" t="s">
        <v>16</v>
      </c>
      <c r="N39"/>
      <c r="O39" s="6"/>
      <c r="P39" t="s">
        <v>389</v>
      </c>
    </row>
    <row r="40" spans="1:17" hidden="1" outlineLevel="1" x14ac:dyDescent="0.25">
      <c r="A40" t="s">
        <v>44</v>
      </c>
      <c r="B40" s="1" t="s">
        <v>19</v>
      </c>
      <c r="N40"/>
      <c r="O40" s="6"/>
      <c r="P40" t="s">
        <v>390</v>
      </c>
    </row>
    <row r="41" spans="1:17" collapsed="1" x14ac:dyDescent="0.25"/>
    <row r="42" spans="1:17" x14ac:dyDescent="0.25">
      <c r="Q42" s="8"/>
    </row>
    <row r="43" spans="1:17" s="4" customFormat="1" ht="15.75" thickBot="1" x14ac:dyDescent="0.3">
      <c r="A43" s="4" t="s">
        <v>36</v>
      </c>
      <c r="B43" s="2"/>
      <c r="D43" s="9">
        <f t="shared" ref="D43:N43" si="0">SUM(D11:D42)</f>
        <v>85000</v>
      </c>
      <c r="E43" s="9">
        <f t="shared" si="0"/>
        <v>1067000</v>
      </c>
      <c r="F43" s="9">
        <f t="shared" si="0"/>
        <v>281500</v>
      </c>
      <c r="G43" s="9">
        <f t="shared" si="0"/>
        <v>114500</v>
      </c>
      <c r="H43" s="9">
        <f t="shared" si="0"/>
        <v>187000</v>
      </c>
      <c r="I43" s="9">
        <f t="shared" si="0"/>
        <v>1605000</v>
      </c>
      <c r="J43" s="9">
        <f t="shared" si="0"/>
        <v>120000</v>
      </c>
      <c r="K43" s="9">
        <f t="shared" si="0"/>
        <v>45000</v>
      </c>
      <c r="L43" s="9">
        <f t="shared" si="0"/>
        <v>45000</v>
      </c>
      <c r="M43" s="9">
        <f t="shared" si="0"/>
        <v>60000</v>
      </c>
      <c r="N43" s="9">
        <f t="shared" si="0"/>
        <v>545000</v>
      </c>
    </row>
    <row r="44" spans="1:17" ht="15.75" thickTop="1" x14ac:dyDescent="0.25"/>
    <row r="45" spans="1:17" x14ac:dyDescent="0.25">
      <c r="A45" s="5" t="s">
        <v>1</v>
      </c>
    </row>
    <row r="46" spans="1:17" x14ac:dyDescent="0.25">
      <c r="A46" t="s">
        <v>397</v>
      </c>
      <c r="B46" s="1" t="s">
        <v>37</v>
      </c>
      <c r="E46" s="21">
        <v>186750</v>
      </c>
      <c r="J46" s="6">
        <f>E46*1.1</f>
        <v>205425.00000000003</v>
      </c>
      <c r="P46" t="s">
        <v>396</v>
      </c>
    </row>
    <row r="47" spans="1:17" x14ac:dyDescent="0.25">
      <c r="A47" t="s">
        <v>363</v>
      </c>
      <c r="B47" s="1" t="s">
        <v>16</v>
      </c>
      <c r="E47" s="30"/>
      <c r="F47" s="6">
        <v>200000</v>
      </c>
    </row>
    <row r="48" spans="1:17" x14ac:dyDescent="0.25">
      <c r="A48" t="s">
        <v>18</v>
      </c>
      <c r="B48" s="1" t="s">
        <v>19</v>
      </c>
      <c r="H48" s="21">
        <v>0</v>
      </c>
    </row>
    <row r="49" spans="1:17" s="4" customFormat="1" ht="15.75" thickBot="1" x14ac:dyDescent="0.3">
      <c r="A49" s="4" t="s">
        <v>34</v>
      </c>
      <c r="B49" s="2"/>
      <c r="D49" s="9">
        <f>SUM(D46:D48)</f>
        <v>0</v>
      </c>
      <c r="E49" s="9">
        <f t="shared" ref="E49:N49" si="1">SUM(E46:E48)</f>
        <v>186750</v>
      </c>
      <c r="F49" s="9">
        <f t="shared" si="1"/>
        <v>200000</v>
      </c>
      <c r="G49" s="9">
        <f t="shared" si="1"/>
        <v>0</v>
      </c>
      <c r="H49" s="9">
        <f t="shared" si="1"/>
        <v>0</v>
      </c>
      <c r="I49" s="9">
        <f t="shared" si="1"/>
        <v>0</v>
      </c>
      <c r="J49" s="9">
        <f t="shared" si="1"/>
        <v>205425.00000000003</v>
      </c>
      <c r="K49" s="9">
        <f t="shared" si="1"/>
        <v>0</v>
      </c>
      <c r="L49" s="9">
        <f t="shared" si="1"/>
        <v>0</v>
      </c>
      <c r="M49" s="9">
        <f t="shared" si="1"/>
        <v>0</v>
      </c>
      <c r="N49" s="9">
        <f t="shared" si="1"/>
        <v>0</v>
      </c>
    </row>
    <row r="50" spans="1:17" ht="15.75" thickTop="1" x14ac:dyDescent="0.25"/>
    <row r="51" spans="1:17" s="4" customFormat="1" x14ac:dyDescent="0.25">
      <c r="A51" s="4" t="s">
        <v>35</v>
      </c>
      <c r="B51" s="2"/>
      <c r="D51" s="10">
        <f>D49+D43</f>
        <v>85000</v>
      </c>
      <c r="E51" s="10">
        <f t="shared" ref="E51:N51" si="2">E49+E43</f>
        <v>1253750</v>
      </c>
      <c r="F51" s="10">
        <f t="shared" si="2"/>
        <v>481500</v>
      </c>
      <c r="G51" s="10">
        <f t="shared" si="2"/>
        <v>114500</v>
      </c>
      <c r="H51" s="10">
        <f t="shared" si="2"/>
        <v>187000</v>
      </c>
      <c r="I51" s="10">
        <f t="shared" si="2"/>
        <v>1605000</v>
      </c>
      <c r="J51" s="10">
        <f t="shared" si="2"/>
        <v>325425</v>
      </c>
      <c r="K51" s="10">
        <f t="shared" si="2"/>
        <v>45000</v>
      </c>
      <c r="L51" s="10">
        <f t="shared" si="2"/>
        <v>45000</v>
      </c>
      <c r="M51" s="10">
        <f t="shared" si="2"/>
        <v>60000</v>
      </c>
      <c r="N51" s="10">
        <f t="shared" si="2"/>
        <v>545000</v>
      </c>
    </row>
    <row r="52" spans="1:17" x14ac:dyDescent="0.25">
      <c r="D52" s="8"/>
      <c r="P52" s="6"/>
      <c r="Q52" s="8"/>
    </row>
    <row r="53" spans="1:17" x14ac:dyDescent="0.25">
      <c r="A53" s="28" t="s">
        <v>394</v>
      </c>
      <c r="B53" s="27"/>
      <c r="C53" s="28"/>
      <c r="D53" s="29">
        <f>SUM(D10:D25)</f>
        <v>0</v>
      </c>
      <c r="E53" s="29">
        <f t="shared" ref="E53:N53" si="3">SUM(E10:E25)</f>
        <v>70000</v>
      </c>
      <c r="F53" s="29">
        <f t="shared" si="3"/>
        <v>186500</v>
      </c>
      <c r="G53" s="29">
        <f t="shared" si="3"/>
        <v>114500</v>
      </c>
      <c r="H53" s="29">
        <f t="shared" si="3"/>
        <v>107000</v>
      </c>
      <c r="I53" s="29">
        <f t="shared" si="3"/>
        <v>45000</v>
      </c>
      <c r="J53" s="29">
        <f t="shared" si="3"/>
        <v>60000</v>
      </c>
      <c r="K53" s="29">
        <f t="shared" si="3"/>
        <v>45000</v>
      </c>
      <c r="L53" s="29">
        <f t="shared" si="3"/>
        <v>45000</v>
      </c>
      <c r="M53" s="29">
        <f t="shared" si="3"/>
        <v>60000</v>
      </c>
      <c r="N53" s="29">
        <f t="shared" si="3"/>
        <v>45000</v>
      </c>
      <c r="Q53" s="8"/>
    </row>
    <row r="54" spans="1:17" x14ac:dyDescent="0.25">
      <c r="A54" s="28" t="s">
        <v>395</v>
      </c>
      <c r="B54" s="27"/>
      <c r="C54" s="28"/>
      <c r="D54" s="29">
        <f>SUM(D27:D35)+SUM(D46:D48)</f>
        <v>85000</v>
      </c>
      <c r="E54" s="29">
        <f t="shared" ref="E54:N54" si="4">SUM(E27:E35)+SUM(E46:E48)</f>
        <v>1183750</v>
      </c>
      <c r="F54" s="29">
        <f t="shared" si="4"/>
        <v>295000</v>
      </c>
      <c r="G54" s="29">
        <f t="shared" si="4"/>
        <v>0</v>
      </c>
      <c r="H54" s="29">
        <f t="shared" si="4"/>
        <v>80000</v>
      </c>
      <c r="I54" s="29">
        <f t="shared" si="4"/>
        <v>1560000</v>
      </c>
      <c r="J54" s="29">
        <f t="shared" si="4"/>
        <v>265425</v>
      </c>
      <c r="K54" s="29">
        <f t="shared" si="4"/>
        <v>0</v>
      </c>
      <c r="L54" s="29">
        <f t="shared" si="4"/>
        <v>0</v>
      </c>
      <c r="M54" s="29">
        <f t="shared" si="4"/>
        <v>0</v>
      </c>
      <c r="N54" s="29">
        <f t="shared" si="4"/>
        <v>500000</v>
      </c>
      <c r="Q54" s="8"/>
    </row>
    <row r="55" spans="1:17" x14ac:dyDescent="0.25">
      <c r="Q55" s="8"/>
    </row>
    <row r="56" spans="1:17" x14ac:dyDescent="0.25">
      <c r="Q56" s="8"/>
    </row>
    <row r="57" spans="1:17" x14ac:dyDescent="0.25">
      <c r="A57" t="s">
        <v>16</v>
      </c>
      <c r="D57" s="6">
        <f t="shared" ref="D57:N63" si="5">SUMIF($B$11:$B$48,$A57,D$11:D$48)</f>
        <v>0</v>
      </c>
      <c r="E57" s="6">
        <f t="shared" si="5"/>
        <v>1067000</v>
      </c>
      <c r="F57" s="6">
        <f t="shared" si="5"/>
        <v>481500</v>
      </c>
      <c r="G57" s="6">
        <f t="shared" si="5"/>
        <v>114500</v>
      </c>
      <c r="H57" s="6">
        <f t="shared" si="5"/>
        <v>187000</v>
      </c>
      <c r="I57" s="6">
        <f t="shared" si="5"/>
        <v>105000</v>
      </c>
      <c r="J57" s="6">
        <f t="shared" si="5"/>
        <v>120000</v>
      </c>
      <c r="K57" s="6">
        <f t="shared" si="5"/>
        <v>45000</v>
      </c>
      <c r="L57" s="6">
        <f t="shared" si="5"/>
        <v>45000</v>
      </c>
      <c r="M57" s="6">
        <f t="shared" si="5"/>
        <v>60000</v>
      </c>
      <c r="N57" s="6">
        <f t="shared" si="5"/>
        <v>545000</v>
      </c>
      <c r="Q57" s="8"/>
    </row>
    <row r="58" spans="1:17" x14ac:dyDescent="0.25">
      <c r="A58" t="s">
        <v>37</v>
      </c>
      <c r="D58" s="6">
        <f t="shared" si="5"/>
        <v>0</v>
      </c>
      <c r="E58" s="6">
        <f t="shared" si="5"/>
        <v>186750</v>
      </c>
      <c r="F58" s="6">
        <f t="shared" si="5"/>
        <v>0</v>
      </c>
      <c r="G58" s="6">
        <f t="shared" si="5"/>
        <v>0</v>
      </c>
      <c r="H58" s="6">
        <f t="shared" si="5"/>
        <v>0</v>
      </c>
      <c r="I58" s="6">
        <f t="shared" si="5"/>
        <v>0</v>
      </c>
      <c r="J58" s="6">
        <f t="shared" si="5"/>
        <v>205425.00000000003</v>
      </c>
      <c r="K58" s="6">
        <f t="shared" si="5"/>
        <v>0</v>
      </c>
      <c r="L58" s="6">
        <f t="shared" si="5"/>
        <v>0</v>
      </c>
      <c r="M58" s="6">
        <f t="shared" si="5"/>
        <v>0</v>
      </c>
      <c r="N58" s="6">
        <f t="shared" si="5"/>
        <v>0</v>
      </c>
      <c r="Q58" s="8"/>
    </row>
    <row r="59" spans="1:17" x14ac:dyDescent="0.25">
      <c r="A59" t="s">
        <v>38</v>
      </c>
      <c r="D59" s="6">
        <f t="shared" si="5"/>
        <v>0</v>
      </c>
      <c r="E59" s="6">
        <f t="shared" si="5"/>
        <v>0</v>
      </c>
      <c r="F59" s="6">
        <f t="shared" si="5"/>
        <v>0</v>
      </c>
      <c r="G59" s="6">
        <f t="shared" si="5"/>
        <v>0</v>
      </c>
      <c r="H59" s="6">
        <f t="shared" si="5"/>
        <v>0</v>
      </c>
      <c r="I59" s="6">
        <f t="shared" si="5"/>
        <v>0</v>
      </c>
      <c r="J59" s="6">
        <f t="shared" si="5"/>
        <v>0</v>
      </c>
      <c r="K59" s="6">
        <f t="shared" si="5"/>
        <v>0</v>
      </c>
      <c r="L59" s="6">
        <f t="shared" si="5"/>
        <v>0</v>
      </c>
      <c r="M59" s="6">
        <f t="shared" si="5"/>
        <v>0</v>
      </c>
      <c r="N59" s="6">
        <f t="shared" si="5"/>
        <v>0</v>
      </c>
      <c r="Q59" s="8"/>
    </row>
    <row r="60" spans="1:17" x14ac:dyDescent="0.25">
      <c r="A60" t="s">
        <v>19</v>
      </c>
      <c r="D60" s="6">
        <f t="shared" si="5"/>
        <v>0</v>
      </c>
      <c r="E60" s="6">
        <f t="shared" si="5"/>
        <v>0</v>
      </c>
      <c r="F60" s="6">
        <f t="shared" si="5"/>
        <v>0</v>
      </c>
      <c r="G60" s="6">
        <f t="shared" si="5"/>
        <v>0</v>
      </c>
      <c r="H60" s="6">
        <f t="shared" si="5"/>
        <v>0</v>
      </c>
      <c r="I60" s="6">
        <f t="shared" si="5"/>
        <v>1500000</v>
      </c>
      <c r="J60" s="6">
        <f t="shared" si="5"/>
        <v>0</v>
      </c>
      <c r="K60" s="6">
        <f t="shared" si="5"/>
        <v>0</v>
      </c>
      <c r="L60" s="6">
        <f t="shared" si="5"/>
        <v>0</v>
      </c>
      <c r="M60" s="6">
        <f t="shared" si="5"/>
        <v>0</v>
      </c>
      <c r="N60" s="6">
        <f t="shared" si="5"/>
        <v>0</v>
      </c>
      <c r="Q60" s="8"/>
    </row>
    <row r="61" spans="1:17" x14ac:dyDescent="0.25">
      <c r="A61" t="s">
        <v>243</v>
      </c>
      <c r="D61" s="6">
        <f t="shared" si="5"/>
        <v>85000</v>
      </c>
      <c r="E61" s="6">
        <f t="shared" si="5"/>
        <v>0</v>
      </c>
      <c r="F61" s="6">
        <f t="shared" si="5"/>
        <v>0</v>
      </c>
      <c r="G61" s="6">
        <f t="shared" si="5"/>
        <v>0</v>
      </c>
      <c r="H61" s="6">
        <f t="shared" si="5"/>
        <v>0</v>
      </c>
      <c r="I61" s="6">
        <f t="shared" si="5"/>
        <v>0</v>
      </c>
      <c r="J61" s="6">
        <f t="shared" si="5"/>
        <v>0</v>
      </c>
      <c r="K61" s="6">
        <f t="shared" si="5"/>
        <v>0</v>
      </c>
      <c r="L61" s="6">
        <f t="shared" si="5"/>
        <v>0</v>
      </c>
      <c r="M61" s="6">
        <f t="shared" si="5"/>
        <v>0</v>
      </c>
      <c r="N61" s="6">
        <f t="shared" si="5"/>
        <v>0</v>
      </c>
      <c r="Q61" s="8"/>
    </row>
    <row r="62" spans="1:17" x14ac:dyDescent="0.25">
      <c r="A62" t="s">
        <v>13</v>
      </c>
      <c r="D62" s="6">
        <f t="shared" si="5"/>
        <v>0</v>
      </c>
      <c r="E62" s="6">
        <f t="shared" si="5"/>
        <v>0</v>
      </c>
      <c r="F62" s="6">
        <f t="shared" si="5"/>
        <v>0</v>
      </c>
      <c r="G62" s="6">
        <f t="shared" si="5"/>
        <v>0</v>
      </c>
      <c r="H62" s="6">
        <f t="shared" si="5"/>
        <v>0</v>
      </c>
      <c r="I62" s="6">
        <f t="shared" si="5"/>
        <v>0</v>
      </c>
      <c r="J62" s="6">
        <f t="shared" si="5"/>
        <v>0</v>
      </c>
      <c r="K62" s="6">
        <f t="shared" si="5"/>
        <v>0</v>
      </c>
      <c r="L62" s="6">
        <f t="shared" si="5"/>
        <v>0</v>
      </c>
      <c r="M62" s="6">
        <f t="shared" si="5"/>
        <v>0</v>
      </c>
      <c r="N62" s="6">
        <f t="shared" si="5"/>
        <v>0</v>
      </c>
      <c r="Q62" s="8"/>
    </row>
    <row r="63" spans="1:17" x14ac:dyDescent="0.25">
      <c r="A63" t="s">
        <v>50</v>
      </c>
      <c r="D63" s="6">
        <f t="shared" si="5"/>
        <v>0</v>
      </c>
      <c r="E63" s="6">
        <f t="shared" si="5"/>
        <v>0</v>
      </c>
      <c r="F63" s="6">
        <f t="shared" si="5"/>
        <v>0</v>
      </c>
      <c r="G63" s="6">
        <f t="shared" si="5"/>
        <v>0</v>
      </c>
      <c r="H63" s="6">
        <f t="shared" si="5"/>
        <v>0</v>
      </c>
      <c r="I63" s="6">
        <f t="shared" si="5"/>
        <v>0</v>
      </c>
      <c r="J63" s="6">
        <f t="shared" si="5"/>
        <v>0</v>
      </c>
      <c r="K63" s="6">
        <f t="shared" si="5"/>
        <v>0</v>
      </c>
      <c r="L63" s="6">
        <f t="shared" si="5"/>
        <v>0</v>
      </c>
      <c r="M63" s="6">
        <f t="shared" si="5"/>
        <v>0</v>
      </c>
      <c r="N63" s="6">
        <f t="shared" si="5"/>
        <v>0</v>
      </c>
      <c r="Q63" s="8"/>
    </row>
    <row r="64" spans="1:17" ht="15.75" thickBot="1" x14ac:dyDescent="0.3">
      <c r="D64" s="7">
        <f t="shared" ref="D64:N64" si="6">SUM(D57:D63)</f>
        <v>85000</v>
      </c>
      <c r="E64" s="7">
        <f t="shared" si="6"/>
        <v>1253750</v>
      </c>
      <c r="F64" s="7">
        <f t="shared" si="6"/>
        <v>481500</v>
      </c>
      <c r="G64" s="7">
        <f t="shared" si="6"/>
        <v>114500</v>
      </c>
      <c r="H64" s="7">
        <f t="shared" si="6"/>
        <v>187000</v>
      </c>
      <c r="I64" s="7">
        <f t="shared" si="6"/>
        <v>1605000</v>
      </c>
      <c r="J64" s="7">
        <f t="shared" si="6"/>
        <v>325425</v>
      </c>
      <c r="K64" s="7">
        <f t="shared" si="6"/>
        <v>45000</v>
      </c>
      <c r="L64" s="7">
        <f t="shared" si="6"/>
        <v>45000</v>
      </c>
      <c r="M64" s="7">
        <f t="shared" si="6"/>
        <v>60000</v>
      </c>
      <c r="N64" s="7">
        <f t="shared" si="6"/>
        <v>545000</v>
      </c>
      <c r="P64" s="6"/>
      <c r="Q64" s="8"/>
    </row>
    <row r="65" spans="1:14" ht="15.75" thickTop="1" x14ac:dyDescent="0.25">
      <c r="D65" s="8">
        <f>D64-D51</f>
        <v>0</v>
      </c>
      <c r="E65" s="8">
        <f t="shared" ref="E65:N65" si="7">E64-E51</f>
        <v>0</v>
      </c>
      <c r="F65" s="8">
        <f t="shared" si="7"/>
        <v>0</v>
      </c>
      <c r="G65" s="8">
        <f t="shared" si="7"/>
        <v>0</v>
      </c>
      <c r="H65" s="8">
        <f t="shared" si="7"/>
        <v>0</v>
      </c>
      <c r="I65" s="8">
        <f t="shared" si="7"/>
        <v>0</v>
      </c>
      <c r="J65" s="8">
        <f t="shared" si="7"/>
        <v>0</v>
      </c>
      <c r="K65" s="8">
        <f t="shared" si="7"/>
        <v>0</v>
      </c>
      <c r="L65" s="8">
        <f t="shared" si="7"/>
        <v>0</v>
      </c>
      <c r="M65" s="8">
        <f t="shared" si="7"/>
        <v>0</v>
      </c>
      <c r="N65" s="8">
        <f t="shared" si="7"/>
        <v>0</v>
      </c>
    </row>
    <row r="68" spans="1:14" x14ac:dyDescent="0.25">
      <c r="A68" s="72" t="s">
        <v>314</v>
      </c>
    </row>
    <row r="69" spans="1:14" x14ac:dyDescent="0.25">
      <c r="A69" s="72" t="s">
        <v>316</v>
      </c>
    </row>
    <row r="70" spans="1:14" x14ac:dyDescent="0.25">
      <c r="A70" s="72" t="s">
        <v>315</v>
      </c>
    </row>
    <row r="71" spans="1:14" x14ac:dyDescent="0.25">
      <c r="A71" s="72" t="s">
        <v>365</v>
      </c>
    </row>
    <row r="72" spans="1:14" x14ac:dyDescent="0.25">
      <c r="A72" s="72" t="s">
        <v>366</v>
      </c>
      <c r="D72" s="6">
        <f>D64</f>
        <v>85000</v>
      </c>
      <c r="E72" s="6">
        <f t="shared" ref="E72:N72" si="8">E64</f>
        <v>1253750</v>
      </c>
      <c r="F72" s="6">
        <f t="shared" si="8"/>
        <v>481500</v>
      </c>
      <c r="G72" s="6">
        <f t="shared" si="8"/>
        <v>114500</v>
      </c>
      <c r="H72" s="6">
        <f t="shared" si="8"/>
        <v>187000</v>
      </c>
      <c r="I72" s="6">
        <f t="shared" si="8"/>
        <v>1605000</v>
      </c>
      <c r="J72" s="6">
        <f t="shared" si="8"/>
        <v>325425</v>
      </c>
      <c r="K72" s="6">
        <f t="shared" si="8"/>
        <v>45000</v>
      </c>
      <c r="L72" s="6">
        <f t="shared" si="8"/>
        <v>45000</v>
      </c>
      <c r="M72" s="6">
        <f t="shared" si="8"/>
        <v>60000</v>
      </c>
      <c r="N72" s="6">
        <f t="shared" si="8"/>
        <v>545000</v>
      </c>
    </row>
    <row r="73" spans="1:14" x14ac:dyDescent="0.25">
      <c r="A73" s="72" t="s">
        <v>367</v>
      </c>
    </row>
    <row r="74" spans="1:14" x14ac:dyDescent="0.25">
      <c r="A74" s="72" t="s">
        <v>1</v>
      </c>
    </row>
    <row r="78" spans="1:14" x14ac:dyDescent="0.25">
      <c r="A78" t="s">
        <v>55</v>
      </c>
    </row>
    <row r="79" spans="1:14" x14ac:dyDescent="0.25">
      <c r="A79" t="s">
        <v>56</v>
      </c>
    </row>
    <row r="80" spans="1:14" x14ac:dyDescent="0.25">
      <c r="A80" t="s">
        <v>370</v>
      </c>
    </row>
    <row r="81" spans="1:1" x14ac:dyDescent="0.25">
      <c r="A81" t="s">
        <v>57</v>
      </c>
    </row>
    <row r="82" spans="1:1" x14ac:dyDescent="0.25">
      <c r="A82" t="s">
        <v>244</v>
      </c>
    </row>
    <row r="83" spans="1:1" x14ac:dyDescent="0.25">
      <c r="A83" t="s">
        <v>58</v>
      </c>
    </row>
    <row r="84" spans="1:1" x14ac:dyDescent="0.25">
      <c r="A84" t="s">
        <v>59</v>
      </c>
    </row>
  </sheetData>
  <customSheetViews>
    <customSheetView guid="{BB410D8C-36DE-400F-AB69-DB51CF9CA663}" showPageBreaks="1" fitToPage="1" printArea="1" hiddenRows="1" state="hidden" topLeftCell="A7">
      <selection activeCell="G68" sqref="G68"/>
      <pageMargins left="0.4" right="0.4" top="0.4" bottom="0.4" header="0" footer="0"/>
      <pageSetup scale="47" orientation="portrait" r:id="rId1"/>
    </customSheetView>
  </customSheetViews>
  <pageMargins left="0.4" right="0.4" top="0.4" bottom="0.4" header="0" footer="0"/>
  <pageSetup scale="47"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1"/>
  <sheetViews>
    <sheetView topLeftCell="A4" workbookViewId="0">
      <selection activeCell="G68" sqref="G68"/>
    </sheetView>
  </sheetViews>
  <sheetFormatPr defaultRowHeight="15" x14ac:dyDescent="0.25"/>
  <cols>
    <col min="1" max="1" width="81.140625" customWidth="1"/>
    <col min="2" max="2" width="8.28515625" style="1" customWidth="1"/>
    <col min="3" max="3" width="2.85546875" customWidth="1"/>
    <col min="4" max="4" width="11.140625" style="6" customWidth="1"/>
    <col min="5" max="6" width="10.140625" style="6" customWidth="1"/>
    <col min="7" max="7" width="10.42578125" style="6" customWidth="1"/>
    <col min="8" max="11" width="10.140625" style="6" customWidth="1"/>
    <col min="12" max="12" width="9.140625" style="6"/>
    <col min="13" max="14" width="10.140625" style="6" customWidth="1"/>
    <col min="17" max="17" width="13.28515625" bestFit="1" customWidth="1"/>
  </cols>
  <sheetData>
    <row r="1" spans="1:16" ht="21" x14ac:dyDescent="0.35">
      <c r="A1" s="17" t="s">
        <v>62</v>
      </c>
    </row>
    <row r="2" spans="1:16" ht="21" x14ac:dyDescent="0.35">
      <c r="A2" s="17" t="s">
        <v>67</v>
      </c>
      <c r="G2" s="19"/>
    </row>
    <row r="3" spans="1:16" ht="21" x14ac:dyDescent="0.35">
      <c r="A3" s="17" t="s">
        <v>64</v>
      </c>
      <c r="D3"/>
      <c r="E3"/>
      <c r="F3"/>
      <c r="G3"/>
      <c r="H3"/>
      <c r="I3"/>
      <c r="J3"/>
      <c r="K3"/>
      <c r="L3"/>
      <c r="M3"/>
      <c r="N3"/>
    </row>
    <row r="4" spans="1:16" x14ac:dyDescent="0.25">
      <c r="D4"/>
      <c r="E4"/>
      <c r="F4"/>
      <c r="G4"/>
      <c r="H4"/>
      <c r="I4"/>
      <c r="J4"/>
      <c r="K4"/>
      <c r="L4"/>
      <c r="M4"/>
      <c r="N4"/>
    </row>
    <row r="5" spans="1:16" x14ac:dyDescent="0.25">
      <c r="D5"/>
      <c r="E5"/>
      <c r="F5"/>
      <c r="G5"/>
      <c r="H5"/>
      <c r="I5"/>
      <c r="J5"/>
      <c r="K5"/>
      <c r="L5"/>
      <c r="M5"/>
      <c r="N5"/>
    </row>
    <row r="6" spans="1:16" x14ac:dyDescent="0.25">
      <c r="D6" s="3" t="s">
        <v>2</v>
      </c>
      <c r="E6" s="3" t="s">
        <v>3</v>
      </c>
      <c r="F6" s="3" t="s">
        <v>4</v>
      </c>
      <c r="G6" s="3" t="s">
        <v>5</v>
      </c>
      <c r="H6" s="3" t="s">
        <v>6</v>
      </c>
      <c r="I6" s="3" t="s">
        <v>7</v>
      </c>
      <c r="J6" s="3" t="s">
        <v>8</v>
      </c>
      <c r="K6" s="3" t="s">
        <v>9</v>
      </c>
      <c r="L6" s="3" t="s">
        <v>10</v>
      </c>
      <c r="M6" s="3" t="s">
        <v>11</v>
      </c>
      <c r="N6" s="3" t="s">
        <v>45</v>
      </c>
    </row>
    <row r="7" spans="1:16" x14ac:dyDescent="0.25">
      <c r="D7"/>
      <c r="E7"/>
      <c r="F7"/>
      <c r="G7"/>
      <c r="H7"/>
      <c r="I7"/>
      <c r="J7"/>
      <c r="K7"/>
      <c r="L7"/>
      <c r="M7"/>
      <c r="N7"/>
    </row>
    <row r="8" spans="1:16" x14ac:dyDescent="0.25">
      <c r="A8" s="5" t="s">
        <v>0</v>
      </c>
      <c r="D8"/>
      <c r="E8"/>
      <c r="F8"/>
      <c r="G8"/>
      <c r="H8"/>
      <c r="I8"/>
      <c r="J8"/>
      <c r="K8"/>
      <c r="L8"/>
      <c r="M8"/>
      <c r="N8"/>
    </row>
    <row r="9" spans="1:16" x14ac:dyDescent="0.25">
      <c r="A9" s="5" t="s">
        <v>392</v>
      </c>
      <c r="D9"/>
      <c r="E9"/>
      <c r="F9"/>
      <c r="G9"/>
      <c r="H9"/>
      <c r="I9"/>
      <c r="J9"/>
      <c r="K9"/>
      <c r="L9"/>
      <c r="M9"/>
      <c r="N9"/>
    </row>
    <row r="10" spans="1:16" x14ac:dyDescent="0.25">
      <c r="A10" s="26" t="s">
        <v>212</v>
      </c>
      <c r="B10" s="31" t="s">
        <v>16</v>
      </c>
      <c r="C10" s="26"/>
      <c r="D10" s="30"/>
      <c r="E10" s="30"/>
      <c r="F10" s="30">
        <v>35000</v>
      </c>
      <c r="G10" s="30"/>
      <c r="H10" s="30"/>
      <c r="I10" s="30"/>
      <c r="J10" s="30"/>
      <c r="K10" s="30"/>
      <c r="L10" s="30"/>
      <c r="M10" s="30"/>
      <c r="N10" s="30"/>
      <c r="P10" s="52" t="s">
        <v>331</v>
      </c>
    </row>
    <row r="11" spans="1:16" x14ac:dyDescent="0.25">
      <c r="A11" s="26" t="s">
        <v>224</v>
      </c>
      <c r="B11" s="31" t="s">
        <v>16</v>
      </c>
      <c r="C11" s="26"/>
      <c r="D11" s="30"/>
      <c r="E11" s="30">
        <v>45000</v>
      </c>
      <c r="F11" s="30">
        <v>45000</v>
      </c>
      <c r="G11" s="30">
        <v>45000</v>
      </c>
      <c r="H11" s="30">
        <v>45000</v>
      </c>
      <c r="I11" s="30">
        <v>45000</v>
      </c>
      <c r="J11" s="30">
        <v>45000</v>
      </c>
      <c r="K11" s="30">
        <v>45000</v>
      </c>
      <c r="L11" s="30">
        <v>45000</v>
      </c>
      <c r="M11" s="30">
        <v>45000</v>
      </c>
      <c r="N11" s="30">
        <v>45000</v>
      </c>
    </row>
    <row r="12" spans="1:16" x14ac:dyDescent="0.25">
      <c r="A12" s="26" t="s">
        <v>332</v>
      </c>
      <c r="B12" s="31" t="s">
        <v>16</v>
      </c>
      <c r="C12" s="26"/>
      <c r="D12" s="30"/>
      <c r="E12" s="30"/>
      <c r="F12" s="30"/>
      <c r="G12" s="30"/>
      <c r="H12" s="30">
        <v>18000</v>
      </c>
      <c r="I12" s="30"/>
      <c r="J12" s="30"/>
      <c r="K12" s="30"/>
      <c r="L12" s="30"/>
      <c r="M12" s="30"/>
      <c r="N12" s="30"/>
    </row>
    <row r="13" spans="1:16" x14ac:dyDescent="0.25">
      <c r="A13" s="26" t="s">
        <v>340</v>
      </c>
      <c r="B13" s="31" t="s">
        <v>16</v>
      </c>
      <c r="C13" s="26"/>
      <c r="D13" s="30"/>
      <c r="E13" s="30">
        <v>10000</v>
      </c>
      <c r="F13" s="30">
        <v>10000</v>
      </c>
      <c r="G13" s="30">
        <v>10000</v>
      </c>
      <c r="H13" s="30">
        <v>10000</v>
      </c>
      <c r="I13" s="30">
        <v>10000</v>
      </c>
      <c r="J13" s="30">
        <v>10000</v>
      </c>
      <c r="K13" s="30">
        <v>10000</v>
      </c>
      <c r="L13" s="30">
        <v>10000</v>
      </c>
      <c r="M13" s="30">
        <v>10000</v>
      </c>
      <c r="N13" s="30">
        <v>10000</v>
      </c>
    </row>
    <row r="14" spans="1:16" x14ac:dyDescent="0.25">
      <c r="A14" s="26" t="s">
        <v>347</v>
      </c>
      <c r="B14" s="31" t="s">
        <v>16</v>
      </c>
      <c r="C14" s="26"/>
      <c r="D14" s="30"/>
      <c r="E14" s="30">
        <v>5000</v>
      </c>
      <c r="F14" s="30">
        <v>5000</v>
      </c>
      <c r="G14" s="30">
        <v>5000</v>
      </c>
      <c r="H14" s="30">
        <v>5000</v>
      </c>
      <c r="I14" s="30">
        <v>5000</v>
      </c>
      <c r="J14" s="30">
        <v>5000</v>
      </c>
      <c r="K14" s="30">
        <v>5000</v>
      </c>
      <c r="L14" s="30">
        <v>5000</v>
      </c>
      <c r="M14" s="30">
        <v>5000</v>
      </c>
      <c r="N14" s="30">
        <v>5000</v>
      </c>
      <c r="P14" s="52"/>
    </row>
    <row r="15" spans="1:16" x14ac:dyDescent="0.25">
      <c r="A15" s="34" t="s">
        <v>218</v>
      </c>
      <c r="B15" s="31"/>
      <c r="C15" s="26"/>
      <c r="D15" s="30"/>
      <c r="E15" s="30"/>
      <c r="F15" s="30"/>
      <c r="G15" s="30"/>
      <c r="H15" s="30"/>
      <c r="I15" s="30"/>
      <c r="J15" s="30"/>
      <c r="K15" s="30"/>
      <c r="L15" s="30"/>
      <c r="M15" s="30"/>
      <c r="N15" s="30"/>
      <c r="P15" s="52"/>
    </row>
    <row r="16" spans="1:16" x14ac:dyDescent="0.25">
      <c r="A16" s="24" t="s">
        <v>337</v>
      </c>
      <c r="B16" s="1" t="s">
        <v>16</v>
      </c>
      <c r="E16" s="6">
        <v>25000</v>
      </c>
      <c r="F16" s="6">
        <v>25000</v>
      </c>
      <c r="G16" s="6">
        <v>25000</v>
      </c>
      <c r="H16" s="6">
        <v>25000</v>
      </c>
      <c r="I16" s="6">
        <v>25000</v>
      </c>
      <c r="J16" s="6">
        <v>25000</v>
      </c>
      <c r="K16" s="6">
        <v>25000</v>
      </c>
      <c r="L16" s="6">
        <v>25000</v>
      </c>
      <c r="M16" s="6">
        <v>25000</v>
      </c>
      <c r="N16" s="6">
        <v>25000</v>
      </c>
      <c r="P16" s="52"/>
    </row>
    <row r="17" spans="1:30" x14ac:dyDescent="0.25">
      <c r="A17" s="23" t="s">
        <v>233</v>
      </c>
      <c r="B17" s="31"/>
      <c r="C17" s="26"/>
      <c r="D17" s="30"/>
      <c r="E17" s="30"/>
      <c r="F17" s="30"/>
      <c r="G17" s="30"/>
      <c r="H17" s="30"/>
      <c r="I17" s="30"/>
      <c r="J17" s="30"/>
      <c r="K17" s="30"/>
      <c r="L17" s="30"/>
      <c r="M17" s="30"/>
      <c r="N17" s="30"/>
      <c r="P17" s="52"/>
    </row>
    <row r="18" spans="1:30" x14ac:dyDescent="0.25">
      <c r="A18" s="25" t="s">
        <v>239</v>
      </c>
      <c r="B18" s="1" t="s">
        <v>16</v>
      </c>
      <c r="D18" s="30"/>
      <c r="E18" s="30">
        <v>30000</v>
      </c>
      <c r="F18" s="30"/>
      <c r="G18" s="30"/>
      <c r="H18" s="30"/>
      <c r="I18" s="30"/>
      <c r="J18" s="30"/>
      <c r="K18" s="30"/>
      <c r="L18" s="30"/>
      <c r="M18" s="30"/>
      <c r="N18" s="30"/>
      <c r="O18" s="26"/>
      <c r="P18" s="26"/>
      <c r="Q18" s="26"/>
      <c r="R18" s="26"/>
      <c r="S18" s="26"/>
      <c r="T18" s="26"/>
      <c r="U18" s="26"/>
      <c r="V18" s="26"/>
      <c r="W18" s="26"/>
      <c r="X18" s="26"/>
      <c r="Y18" s="26"/>
      <c r="Z18" s="26"/>
    </row>
    <row r="19" spans="1:30" x14ac:dyDescent="0.25">
      <c r="A19" s="24" t="s">
        <v>234</v>
      </c>
      <c r="B19" s="1" t="s">
        <v>16</v>
      </c>
      <c r="D19" s="30"/>
      <c r="E19" s="30">
        <v>8000</v>
      </c>
      <c r="F19" s="30"/>
      <c r="G19" s="30"/>
      <c r="H19" s="30"/>
      <c r="I19" s="30"/>
      <c r="J19" s="30"/>
      <c r="K19" s="30"/>
      <c r="L19" s="30"/>
      <c r="M19" s="30"/>
      <c r="N19" s="30"/>
      <c r="O19" s="26"/>
      <c r="P19" s="26"/>
      <c r="Q19" s="26"/>
      <c r="R19" s="26"/>
      <c r="S19" s="26"/>
      <c r="T19" s="26"/>
      <c r="U19" s="26"/>
      <c r="V19" s="26"/>
      <c r="W19" s="26"/>
      <c r="X19" s="26"/>
      <c r="Y19" s="26"/>
      <c r="Z19" s="26"/>
    </row>
    <row r="20" spans="1:30" x14ac:dyDescent="0.25">
      <c r="A20" s="23" t="s">
        <v>235</v>
      </c>
      <c r="B20" s="31"/>
      <c r="C20" s="26"/>
      <c r="D20" s="30"/>
      <c r="E20" s="30"/>
      <c r="F20" s="30"/>
      <c r="G20" s="30"/>
      <c r="H20" s="30"/>
      <c r="I20" s="30"/>
      <c r="J20" s="30"/>
      <c r="K20" s="30"/>
      <c r="L20" s="30"/>
      <c r="M20" s="30"/>
      <c r="N20" s="30"/>
      <c r="P20" s="52"/>
    </row>
    <row r="21" spans="1:30" x14ac:dyDescent="0.25">
      <c r="A21" s="24" t="s">
        <v>236</v>
      </c>
      <c r="B21" s="1" t="s">
        <v>16</v>
      </c>
      <c r="D21" s="30">
        <v>35000</v>
      </c>
      <c r="E21" s="30"/>
      <c r="F21" s="30"/>
      <c r="G21" s="30"/>
      <c r="H21" s="30"/>
      <c r="I21" s="30"/>
      <c r="J21" s="30"/>
      <c r="K21" s="30"/>
      <c r="L21" s="30"/>
      <c r="M21" s="30"/>
      <c r="N21" s="30"/>
      <c r="O21" s="26"/>
      <c r="P21" s="26"/>
      <c r="Q21" s="26"/>
      <c r="R21" s="26"/>
      <c r="S21" s="26"/>
      <c r="T21" s="26"/>
      <c r="U21" s="26"/>
      <c r="V21" s="26"/>
      <c r="W21" s="26"/>
      <c r="X21" s="26"/>
      <c r="Y21" s="26"/>
      <c r="Z21" s="26"/>
      <c r="AA21" s="26"/>
      <c r="AB21" s="26"/>
      <c r="AC21" s="26"/>
      <c r="AD21" s="26"/>
    </row>
    <row r="22" spans="1:30" x14ac:dyDescent="0.25">
      <c r="A22" s="24" t="s">
        <v>237</v>
      </c>
      <c r="B22" s="1" t="s">
        <v>16</v>
      </c>
      <c r="D22" s="30"/>
      <c r="E22" s="30">
        <v>35000</v>
      </c>
      <c r="F22" s="30"/>
      <c r="G22" s="30"/>
      <c r="H22" s="30"/>
      <c r="I22" s="30"/>
      <c r="J22" s="30"/>
      <c r="K22" s="30"/>
      <c r="L22" s="30"/>
      <c r="M22" s="30"/>
      <c r="N22" s="30"/>
      <c r="O22" s="26"/>
      <c r="P22" s="26"/>
      <c r="Q22" s="26"/>
      <c r="R22" s="26"/>
      <c r="S22" s="26"/>
      <c r="T22" s="26"/>
      <c r="U22" s="26"/>
      <c r="V22" s="26"/>
      <c r="W22" s="26"/>
      <c r="X22" s="26"/>
      <c r="Y22" s="26"/>
      <c r="Z22" s="26"/>
      <c r="AA22" s="26"/>
      <c r="AB22" s="26"/>
      <c r="AC22" s="26"/>
      <c r="AD22" s="26"/>
    </row>
    <row r="23" spans="1:30" x14ac:dyDescent="0.25">
      <c r="A23" s="69" t="s">
        <v>336</v>
      </c>
      <c r="B23" s="31"/>
      <c r="C23" s="26"/>
      <c r="D23" s="30"/>
      <c r="E23" s="30"/>
      <c r="F23" s="30"/>
      <c r="G23" s="30"/>
      <c r="H23" s="30"/>
      <c r="I23" s="30"/>
      <c r="J23" s="30"/>
      <c r="K23" s="30"/>
      <c r="L23" s="30"/>
      <c r="M23" s="30"/>
      <c r="N23" s="30"/>
      <c r="P23" s="52"/>
    </row>
    <row r="24" spans="1:30" x14ac:dyDescent="0.25">
      <c r="A24" s="24" t="s">
        <v>337</v>
      </c>
      <c r="B24" s="1" t="s">
        <v>16</v>
      </c>
      <c r="C24" s="26"/>
      <c r="D24" s="30"/>
      <c r="E24" s="30"/>
      <c r="F24" s="30">
        <v>25000</v>
      </c>
      <c r="G24" s="30"/>
      <c r="H24" s="30"/>
      <c r="I24" s="30"/>
      <c r="J24" s="30"/>
      <c r="K24" s="30"/>
      <c r="L24" s="30"/>
      <c r="M24" s="30"/>
      <c r="N24" s="30"/>
      <c r="Q24" s="8"/>
    </row>
    <row r="25" spans="1:30" x14ac:dyDescent="0.25">
      <c r="A25" s="25" t="s">
        <v>342</v>
      </c>
      <c r="B25" s="1" t="s">
        <v>16</v>
      </c>
      <c r="C25" s="26"/>
      <c r="D25" s="30"/>
      <c r="E25" s="30"/>
      <c r="F25" s="30"/>
      <c r="G25" s="30"/>
      <c r="H25" s="30">
        <v>30000</v>
      </c>
      <c r="I25" s="30"/>
      <c r="J25" s="30"/>
      <c r="K25" s="30"/>
      <c r="L25" s="30"/>
      <c r="M25" s="30"/>
      <c r="N25" s="30"/>
      <c r="Q25" s="8"/>
    </row>
    <row r="26" spans="1:30" x14ac:dyDescent="0.25">
      <c r="A26" s="25" t="s">
        <v>345</v>
      </c>
      <c r="B26" s="1" t="s">
        <v>16</v>
      </c>
      <c r="C26" s="26"/>
      <c r="D26" s="30"/>
      <c r="E26" s="30"/>
      <c r="F26" s="30"/>
      <c r="G26" s="30"/>
      <c r="H26" s="30"/>
      <c r="I26" s="30">
        <v>35000</v>
      </c>
      <c r="J26" s="30"/>
      <c r="K26" s="30"/>
      <c r="L26" s="30"/>
      <c r="M26" s="30"/>
      <c r="N26" s="30"/>
      <c r="Q26" s="8"/>
    </row>
    <row r="27" spans="1:30" x14ac:dyDescent="0.25">
      <c r="A27" t="s">
        <v>225</v>
      </c>
      <c r="B27" s="1" t="s">
        <v>16</v>
      </c>
      <c r="E27" s="6">
        <v>25000</v>
      </c>
      <c r="F27" s="6">
        <v>25000</v>
      </c>
      <c r="G27" s="6">
        <v>25000</v>
      </c>
      <c r="H27" s="6">
        <v>25000</v>
      </c>
      <c r="I27" s="6">
        <v>25000</v>
      </c>
      <c r="J27" s="6">
        <v>25000</v>
      </c>
      <c r="K27" s="6">
        <v>25000</v>
      </c>
      <c r="L27" s="6">
        <v>25000</v>
      </c>
      <c r="M27" s="6">
        <v>25000</v>
      </c>
      <c r="N27" s="6">
        <v>25000</v>
      </c>
      <c r="P27" s="6"/>
      <c r="Q27" s="8"/>
    </row>
    <row r="28" spans="1:30" x14ac:dyDescent="0.25">
      <c r="A28" s="26"/>
      <c r="B28" s="31"/>
      <c r="C28" s="26"/>
      <c r="D28" s="30"/>
      <c r="E28" s="30"/>
      <c r="F28" s="30"/>
      <c r="G28" s="30"/>
      <c r="H28" s="30"/>
      <c r="I28" s="30"/>
      <c r="J28" s="30"/>
      <c r="K28" s="30"/>
      <c r="L28" s="30"/>
      <c r="M28" s="30"/>
      <c r="N28" s="30"/>
      <c r="P28" s="52"/>
    </row>
    <row r="29" spans="1:30" x14ac:dyDescent="0.25">
      <c r="A29" s="5" t="s">
        <v>393</v>
      </c>
      <c r="B29" s="31"/>
      <c r="C29" s="26"/>
      <c r="D29" s="30"/>
      <c r="E29" s="30"/>
      <c r="F29" s="30"/>
      <c r="G29" s="30"/>
      <c r="H29" s="30"/>
      <c r="I29" s="30"/>
      <c r="J29" s="30"/>
      <c r="K29" s="30"/>
      <c r="L29" s="30"/>
      <c r="M29" s="30"/>
      <c r="N29" s="30"/>
      <c r="P29" s="52"/>
    </row>
    <row r="30" spans="1:30" x14ac:dyDescent="0.25">
      <c r="A30" s="26" t="s">
        <v>263</v>
      </c>
      <c r="B30" s="31" t="s">
        <v>13</v>
      </c>
      <c r="C30" s="26"/>
      <c r="D30" s="30"/>
      <c r="E30" s="30"/>
      <c r="F30" s="30"/>
      <c r="G30" s="30">
        <v>450000</v>
      </c>
      <c r="H30" s="30"/>
      <c r="I30" s="30"/>
      <c r="J30" s="30"/>
      <c r="K30" s="30"/>
      <c r="L30" s="30"/>
      <c r="M30" s="30"/>
      <c r="N30" s="30"/>
    </row>
    <row r="31" spans="1:30" x14ac:dyDescent="0.25">
      <c r="A31" s="26" t="s">
        <v>264</v>
      </c>
      <c r="B31" s="31" t="s">
        <v>13</v>
      </c>
      <c r="C31" s="26"/>
      <c r="D31" s="30"/>
      <c r="E31" s="30"/>
      <c r="F31" s="30"/>
      <c r="G31" s="30">
        <v>350000</v>
      </c>
      <c r="H31" s="30"/>
      <c r="I31" s="30"/>
      <c r="J31" s="30"/>
      <c r="K31" s="30"/>
      <c r="L31" s="30"/>
      <c r="M31" s="30"/>
      <c r="N31" s="30"/>
    </row>
    <row r="32" spans="1:30" x14ac:dyDescent="0.25">
      <c r="A32" s="26" t="s">
        <v>213</v>
      </c>
      <c r="B32" s="31" t="s">
        <v>16</v>
      </c>
      <c r="C32" s="26"/>
      <c r="D32" s="30"/>
      <c r="E32" s="30"/>
      <c r="F32" s="30">
        <v>75000</v>
      </c>
      <c r="G32" s="30"/>
      <c r="H32" s="30"/>
      <c r="I32" s="30"/>
      <c r="J32" s="30"/>
      <c r="K32" s="30"/>
      <c r="L32" s="30"/>
      <c r="M32" s="30"/>
      <c r="N32" s="30"/>
    </row>
    <row r="33" spans="1:16" x14ac:dyDescent="0.25">
      <c r="A33" s="26" t="s">
        <v>217</v>
      </c>
      <c r="B33" s="31" t="s">
        <v>16</v>
      </c>
      <c r="C33" s="26"/>
      <c r="D33" s="30"/>
      <c r="E33" s="30"/>
      <c r="F33" s="30">
        <v>475000</v>
      </c>
      <c r="G33" s="30"/>
      <c r="H33" s="30"/>
      <c r="I33" s="30"/>
      <c r="J33" s="30"/>
      <c r="K33" s="30"/>
      <c r="L33" s="30"/>
      <c r="M33" s="30"/>
      <c r="N33" s="30"/>
      <c r="P33" s="52"/>
    </row>
    <row r="34" spans="1:16" x14ac:dyDescent="0.25">
      <c r="A34" s="26" t="s">
        <v>346</v>
      </c>
      <c r="B34" s="31" t="s">
        <v>16</v>
      </c>
      <c r="C34" s="26"/>
      <c r="D34" s="30"/>
      <c r="E34" s="30"/>
      <c r="F34" s="30">
        <v>85000</v>
      </c>
      <c r="G34" s="30"/>
      <c r="H34" s="30"/>
      <c r="I34" s="30"/>
      <c r="J34" s="30"/>
      <c r="K34" s="30"/>
      <c r="L34" s="30"/>
      <c r="M34" s="30"/>
      <c r="N34" s="30"/>
    </row>
    <row r="35" spans="1:16" x14ac:dyDescent="0.25">
      <c r="A35" s="34" t="s">
        <v>218</v>
      </c>
      <c r="B35" s="31"/>
      <c r="C35" s="26"/>
      <c r="D35" s="30"/>
      <c r="E35" s="30"/>
      <c r="F35" s="30"/>
      <c r="G35" s="30"/>
      <c r="H35" s="30"/>
      <c r="I35" s="30"/>
      <c r="J35" s="30"/>
      <c r="K35" s="30"/>
      <c r="L35" s="30"/>
      <c r="M35" s="30"/>
      <c r="N35" s="30"/>
    </row>
    <row r="36" spans="1:16" x14ac:dyDescent="0.25">
      <c r="A36" s="26" t="s">
        <v>219</v>
      </c>
      <c r="B36" s="31" t="s">
        <v>16</v>
      </c>
      <c r="C36" s="26"/>
      <c r="D36" s="30"/>
      <c r="E36" s="30">
        <v>325000</v>
      </c>
      <c r="F36" s="30"/>
      <c r="G36" s="30"/>
      <c r="H36" s="30"/>
      <c r="I36" s="30"/>
      <c r="J36" s="30"/>
      <c r="K36" s="30"/>
      <c r="L36" s="30"/>
      <c r="M36" s="30"/>
      <c r="N36" s="30"/>
    </row>
    <row r="37" spans="1:16" x14ac:dyDescent="0.25">
      <c r="A37" s="26" t="s">
        <v>220</v>
      </c>
      <c r="B37" s="31" t="s">
        <v>16</v>
      </c>
      <c r="C37" s="26"/>
      <c r="D37" s="30"/>
      <c r="E37" s="30"/>
      <c r="F37" s="30"/>
      <c r="G37" s="30">
        <v>308333</v>
      </c>
      <c r="H37" s="30">
        <v>308333</v>
      </c>
      <c r="I37" s="30">
        <v>308333</v>
      </c>
      <c r="J37" s="30"/>
      <c r="K37" s="30"/>
      <c r="L37" s="30"/>
      <c r="M37" s="30"/>
      <c r="N37" s="30"/>
    </row>
    <row r="38" spans="1:16" x14ac:dyDescent="0.25">
      <c r="A38" t="s">
        <v>221</v>
      </c>
      <c r="B38" s="1" t="s">
        <v>19</v>
      </c>
      <c r="H38" s="6">
        <v>850000</v>
      </c>
    </row>
    <row r="39" spans="1:16" x14ac:dyDescent="0.25">
      <c r="A39" s="24" t="s">
        <v>334</v>
      </c>
      <c r="B39" s="1" t="s">
        <v>16</v>
      </c>
      <c r="E39" s="6">
        <v>50000</v>
      </c>
    </row>
    <row r="40" spans="1:16" x14ac:dyDescent="0.25">
      <c r="A40" t="s">
        <v>222</v>
      </c>
      <c r="B40" s="1" t="s">
        <v>16</v>
      </c>
      <c r="D40" s="21"/>
      <c r="E40" s="21"/>
      <c r="F40" s="21"/>
      <c r="G40" s="21"/>
      <c r="H40" s="21"/>
      <c r="I40" s="21"/>
      <c r="J40" s="21"/>
      <c r="K40" s="21"/>
      <c r="L40" s="21"/>
      <c r="M40" s="21"/>
      <c r="N40" s="21"/>
    </row>
    <row r="41" spans="1:16" x14ac:dyDescent="0.25">
      <c r="A41" t="s">
        <v>223</v>
      </c>
      <c r="B41" s="1" t="s">
        <v>16</v>
      </c>
      <c r="D41" s="21"/>
      <c r="E41" s="21"/>
      <c r="F41" s="21"/>
      <c r="G41" s="21"/>
      <c r="H41" s="21"/>
      <c r="I41" s="21"/>
      <c r="J41" s="21"/>
      <c r="K41" s="21"/>
      <c r="L41" s="21"/>
      <c r="M41" s="21"/>
      <c r="N41" s="21"/>
    </row>
    <row r="42" spans="1:16" x14ac:dyDescent="0.25">
      <c r="A42" s="23" t="s">
        <v>226</v>
      </c>
    </row>
    <row r="43" spans="1:16" x14ac:dyDescent="0.25">
      <c r="A43" s="24" t="s">
        <v>227</v>
      </c>
      <c r="B43" s="1" t="s">
        <v>16</v>
      </c>
      <c r="E43" s="6">
        <v>150000</v>
      </c>
    </row>
    <row r="44" spans="1:16" x14ac:dyDescent="0.25">
      <c r="A44" s="24" t="s">
        <v>232</v>
      </c>
      <c r="B44" s="1" t="s">
        <v>16</v>
      </c>
      <c r="F44" s="6">
        <v>95000</v>
      </c>
    </row>
    <row r="45" spans="1:16" x14ac:dyDescent="0.25">
      <c r="A45" s="24" t="s">
        <v>228</v>
      </c>
      <c r="B45" s="1" t="s">
        <v>16</v>
      </c>
      <c r="D45" s="30"/>
      <c r="E45" s="30"/>
      <c r="F45" s="30">
        <v>50000</v>
      </c>
      <c r="G45" s="30"/>
      <c r="H45" s="30"/>
      <c r="I45" s="30"/>
      <c r="J45" s="30"/>
      <c r="K45" s="30"/>
      <c r="L45" s="30"/>
      <c r="M45" s="30"/>
      <c r="N45" s="30"/>
    </row>
    <row r="46" spans="1:16" x14ac:dyDescent="0.25">
      <c r="A46" s="24" t="s">
        <v>375</v>
      </c>
      <c r="B46" s="1" t="s">
        <v>19</v>
      </c>
      <c r="D46" s="30"/>
      <c r="E46" s="30"/>
      <c r="F46" s="30"/>
      <c r="G46" s="30">
        <f>1900000/2</f>
        <v>950000</v>
      </c>
      <c r="H46" s="30"/>
      <c r="I46" s="30"/>
      <c r="J46" s="30"/>
      <c r="K46" s="30"/>
      <c r="L46" s="30"/>
      <c r="M46" s="30"/>
      <c r="N46" s="30"/>
      <c r="P46" s="68" t="s">
        <v>333</v>
      </c>
    </row>
    <row r="47" spans="1:16" x14ac:dyDescent="0.25">
      <c r="A47" s="24" t="s">
        <v>230</v>
      </c>
      <c r="B47" s="1" t="s">
        <v>19</v>
      </c>
      <c r="D47" s="30"/>
      <c r="E47" s="30"/>
      <c r="F47" s="30"/>
      <c r="G47" s="30"/>
      <c r="H47" s="30">
        <v>850000</v>
      </c>
      <c r="I47" s="30"/>
      <c r="J47" s="30"/>
      <c r="K47" s="30"/>
      <c r="L47" s="30"/>
      <c r="M47" s="30"/>
      <c r="N47" s="30"/>
      <c r="P47" s="68"/>
    </row>
    <row r="48" spans="1:16" x14ac:dyDescent="0.25">
      <c r="A48" s="24" t="s">
        <v>231</v>
      </c>
      <c r="D48" s="21"/>
      <c r="E48" s="21"/>
      <c r="F48" s="21"/>
      <c r="G48" s="21"/>
      <c r="H48" s="21"/>
      <c r="I48" s="21"/>
      <c r="J48" s="21"/>
      <c r="K48" s="21"/>
      <c r="L48" s="21"/>
      <c r="M48" s="21"/>
      <c r="N48" s="21"/>
    </row>
    <row r="49" spans="1:17" x14ac:dyDescent="0.25">
      <c r="A49" s="23" t="s">
        <v>233</v>
      </c>
      <c r="Q49" s="8"/>
    </row>
    <row r="50" spans="1:17" s="26" customFormat="1" x14ac:dyDescent="0.25">
      <c r="A50" s="24" t="s">
        <v>376</v>
      </c>
      <c r="B50" s="1" t="s">
        <v>19</v>
      </c>
      <c r="C50"/>
      <c r="D50" s="30"/>
      <c r="E50" s="30"/>
      <c r="F50" s="30"/>
      <c r="G50" s="30">
        <f>1900000/2</f>
        <v>950000</v>
      </c>
      <c r="H50" s="30"/>
      <c r="I50" s="30"/>
      <c r="J50" s="30"/>
      <c r="K50" s="30"/>
      <c r="L50" s="30"/>
      <c r="M50" s="30"/>
      <c r="N50" s="30"/>
      <c r="P50" s="68" t="s">
        <v>333</v>
      </c>
    </row>
    <row r="51" spans="1:17" x14ac:dyDescent="0.25">
      <c r="A51" s="23" t="s">
        <v>235</v>
      </c>
    </row>
    <row r="52" spans="1:17" s="26" customFormat="1" x14ac:dyDescent="0.25">
      <c r="A52" s="24" t="s">
        <v>230</v>
      </c>
      <c r="B52" s="1" t="s">
        <v>19</v>
      </c>
      <c r="C52"/>
      <c r="D52" s="30"/>
      <c r="E52" s="30"/>
      <c r="F52" s="30"/>
      <c r="G52" s="30"/>
      <c r="H52" s="30">
        <v>125000</v>
      </c>
      <c r="I52" s="30"/>
      <c r="J52" s="30"/>
      <c r="K52" s="30"/>
      <c r="L52" s="30"/>
      <c r="M52" s="30"/>
      <c r="N52" s="30"/>
    </row>
    <row r="53" spans="1:17" s="26" customFormat="1" x14ac:dyDescent="0.25">
      <c r="A53" s="24" t="s">
        <v>339</v>
      </c>
      <c r="B53" s="1" t="s">
        <v>16</v>
      </c>
      <c r="C53"/>
      <c r="D53" s="30"/>
      <c r="E53" s="30"/>
      <c r="F53" s="30">
        <v>50000</v>
      </c>
      <c r="G53" s="30"/>
      <c r="H53" s="30"/>
      <c r="I53" s="30"/>
      <c r="J53" s="30"/>
      <c r="K53" s="30"/>
      <c r="L53" s="30"/>
      <c r="M53" s="30"/>
      <c r="N53" s="30"/>
    </row>
    <row r="54" spans="1:17" s="26" customFormat="1" x14ac:dyDescent="0.25">
      <c r="A54" s="24" t="s">
        <v>343</v>
      </c>
      <c r="B54" s="1" t="s">
        <v>16</v>
      </c>
      <c r="C54"/>
      <c r="D54" s="30"/>
      <c r="E54" s="30"/>
      <c r="F54" s="30"/>
      <c r="G54" s="30"/>
      <c r="H54" s="30">
        <v>50000</v>
      </c>
      <c r="I54" s="30"/>
      <c r="J54" s="30"/>
      <c r="K54" s="30"/>
      <c r="L54" s="30"/>
      <c r="M54" s="30"/>
      <c r="N54" s="30"/>
    </row>
    <row r="55" spans="1:17" s="26" customFormat="1" x14ac:dyDescent="0.25">
      <c r="A55" s="24" t="s">
        <v>238</v>
      </c>
      <c r="B55" s="1" t="s">
        <v>16</v>
      </c>
      <c r="C55"/>
      <c r="D55" s="30"/>
      <c r="E55" s="30"/>
      <c r="F55" s="30"/>
      <c r="G55" s="30"/>
      <c r="H55" s="30"/>
      <c r="I55" s="30">
        <v>250000</v>
      </c>
      <c r="J55" s="30"/>
      <c r="K55" s="30"/>
      <c r="L55" s="30"/>
      <c r="M55" s="30"/>
      <c r="N55" s="30"/>
      <c r="P55" s="6"/>
      <c r="Q55" s="38"/>
    </row>
    <row r="56" spans="1:17" x14ac:dyDescent="0.25">
      <c r="A56" s="69" t="s">
        <v>335</v>
      </c>
      <c r="C56" s="26"/>
      <c r="D56" s="30"/>
      <c r="E56" s="30"/>
      <c r="F56" s="30"/>
      <c r="G56" s="30"/>
      <c r="H56" s="30"/>
      <c r="I56" s="30"/>
      <c r="J56" s="30"/>
      <c r="K56" s="30"/>
      <c r="L56" s="30"/>
      <c r="M56" s="30"/>
      <c r="N56" s="30"/>
      <c r="Q56" s="8"/>
    </row>
    <row r="57" spans="1:17" x14ac:dyDescent="0.25">
      <c r="A57" s="24" t="s">
        <v>230</v>
      </c>
      <c r="B57" s="1" t="s">
        <v>16</v>
      </c>
      <c r="C57" s="26"/>
      <c r="D57" s="30"/>
      <c r="E57" s="30"/>
      <c r="F57" s="30">
        <v>200000</v>
      </c>
      <c r="G57" s="30"/>
      <c r="H57" s="30"/>
      <c r="I57" s="30"/>
      <c r="J57" s="30"/>
      <c r="K57" s="30"/>
      <c r="L57" s="30"/>
      <c r="M57" s="30"/>
      <c r="N57" s="30"/>
      <c r="Q57" s="8"/>
    </row>
    <row r="58" spans="1:17" x14ac:dyDescent="0.25">
      <c r="A58" s="69" t="s">
        <v>336</v>
      </c>
      <c r="C58" s="26"/>
      <c r="D58" s="30"/>
      <c r="E58" s="30"/>
      <c r="F58" s="30"/>
      <c r="G58" s="30"/>
      <c r="H58" s="30"/>
      <c r="I58" s="30"/>
      <c r="J58" s="30"/>
      <c r="K58" s="30"/>
      <c r="L58" s="30"/>
      <c r="M58" s="30"/>
      <c r="N58" s="30"/>
      <c r="Q58" s="8"/>
    </row>
    <row r="59" spans="1:17" x14ac:dyDescent="0.25">
      <c r="A59" s="25" t="s">
        <v>338</v>
      </c>
      <c r="B59" s="1" t="s">
        <v>16</v>
      </c>
      <c r="C59" s="26"/>
      <c r="D59" s="30"/>
      <c r="E59" s="30"/>
      <c r="F59" s="30">
        <v>50000</v>
      </c>
      <c r="G59" s="30"/>
      <c r="H59" s="30"/>
      <c r="I59" s="30"/>
      <c r="J59" s="30"/>
      <c r="K59" s="30"/>
      <c r="L59" s="30"/>
      <c r="M59" s="30"/>
      <c r="N59" s="30"/>
      <c r="Q59" s="8"/>
    </row>
    <row r="60" spans="1:17" x14ac:dyDescent="0.25">
      <c r="A60" s="25" t="s">
        <v>341</v>
      </c>
      <c r="B60" s="1" t="s">
        <v>16</v>
      </c>
      <c r="C60" s="26"/>
      <c r="D60" s="30"/>
      <c r="E60" s="30"/>
      <c r="F60" s="30"/>
      <c r="G60" s="30">
        <v>100000</v>
      </c>
      <c r="H60" s="30"/>
      <c r="I60" s="30"/>
      <c r="J60" s="30"/>
      <c r="K60" s="30"/>
      <c r="L60" s="30"/>
      <c r="M60" s="30"/>
      <c r="N60" s="30"/>
      <c r="Q60" s="8"/>
    </row>
    <row r="61" spans="1:17" x14ac:dyDescent="0.25">
      <c r="A61" s="25" t="s">
        <v>344</v>
      </c>
      <c r="B61" s="1" t="s">
        <v>16</v>
      </c>
      <c r="C61" s="26"/>
      <c r="D61" s="30"/>
      <c r="E61" s="30"/>
      <c r="F61" s="30"/>
      <c r="G61" s="30"/>
      <c r="H61" s="30"/>
      <c r="I61" s="30">
        <v>250000</v>
      </c>
      <c r="J61" s="30"/>
      <c r="K61" s="30"/>
      <c r="L61" s="30"/>
      <c r="M61" s="30"/>
      <c r="N61" s="30"/>
      <c r="Q61" s="8"/>
    </row>
    <row r="63" spans="1:17" s="4" customFormat="1" ht="15.75" thickBot="1" x14ac:dyDescent="0.3">
      <c r="A63" s="4" t="s">
        <v>36</v>
      </c>
      <c r="B63" s="2"/>
      <c r="D63" s="9">
        <f t="shared" ref="D63:N63" si="0">SUM(D10:D62)</f>
        <v>35000</v>
      </c>
      <c r="E63" s="9">
        <f t="shared" si="0"/>
        <v>708000</v>
      </c>
      <c r="F63" s="9">
        <f t="shared" si="0"/>
        <v>1250000</v>
      </c>
      <c r="G63" s="9">
        <f t="shared" si="0"/>
        <v>3218333</v>
      </c>
      <c r="H63" s="9">
        <f t="shared" si="0"/>
        <v>2341333</v>
      </c>
      <c r="I63" s="9">
        <f t="shared" si="0"/>
        <v>953333</v>
      </c>
      <c r="J63" s="9">
        <f t="shared" si="0"/>
        <v>110000</v>
      </c>
      <c r="K63" s="9">
        <f t="shared" si="0"/>
        <v>110000</v>
      </c>
      <c r="L63" s="9">
        <f t="shared" si="0"/>
        <v>110000</v>
      </c>
      <c r="M63" s="9">
        <f t="shared" si="0"/>
        <v>110000</v>
      </c>
      <c r="N63" s="9">
        <f t="shared" si="0"/>
        <v>110000</v>
      </c>
    </row>
    <row r="64" spans="1:17" ht="15.75" thickTop="1" x14ac:dyDescent="0.25"/>
    <row r="65" spans="1:14" x14ac:dyDescent="0.25">
      <c r="A65" s="5" t="s">
        <v>1</v>
      </c>
    </row>
    <row r="66" spans="1:14" x14ac:dyDescent="0.25">
      <c r="A66" s="5" t="s">
        <v>392</v>
      </c>
    </row>
    <row r="68" spans="1:14" x14ac:dyDescent="0.25">
      <c r="A68" t="s">
        <v>108</v>
      </c>
      <c r="B68" s="1" t="s">
        <v>16</v>
      </c>
      <c r="D68" s="21">
        <v>0</v>
      </c>
    </row>
    <row r="69" spans="1:14" x14ac:dyDescent="0.25">
      <c r="A69" t="s">
        <v>109</v>
      </c>
      <c r="B69" s="1" t="s">
        <v>16</v>
      </c>
      <c r="D69" s="21">
        <v>0</v>
      </c>
    </row>
    <row r="70" spans="1:14" x14ac:dyDescent="0.25">
      <c r="A70" t="s">
        <v>429</v>
      </c>
      <c r="B70" s="1" t="s">
        <v>16</v>
      </c>
      <c r="D70" s="30"/>
      <c r="E70" s="6">
        <v>25000</v>
      </c>
    </row>
    <row r="71" spans="1:14" x14ac:dyDescent="0.25">
      <c r="A71" t="s">
        <v>431</v>
      </c>
      <c r="B71" s="1" t="s">
        <v>16</v>
      </c>
      <c r="D71" s="30"/>
      <c r="E71" s="6">
        <v>20000</v>
      </c>
    </row>
    <row r="72" spans="1:14" x14ac:dyDescent="0.25">
      <c r="A72" t="s">
        <v>432</v>
      </c>
      <c r="B72" s="1" t="s">
        <v>16</v>
      </c>
      <c r="D72" s="30"/>
      <c r="E72" s="6">
        <v>10000</v>
      </c>
    </row>
    <row r="73" spans="1:14" x14ac:dyDescent="0.25">
      <c r="A73" s="26" t="s">
        <v>201</v>
      </c>
      <c r="B73" s="31" t="s">
        <v>16</v>
      </c>
      <c r="C73" s="26"/>
      <c r="D73" s="30"/>
      <c r="E73" s="30"/>
      <c r="F73" s="30">
        <v>35000</v>
      </c>
      <c r="G73" s="30"/>
      <c r="H73" s="30"/>
      <c r="I73" s="30"/>
      <c r="J73" s="30"/>
      <c r="K73" s="30"/>
    </row>
    <row r="74" spans="1:14" x14ac:dyDescent="0.25">
      <c r="A74" t="s">
        <v>202</v>
      </c>
      <c r="B74" s="1" t="s">
        <v>16</v>
      </c>
      <c r="G74" s="6">
        <v>40000</v>
      </c>
    </row>
    <row r="75" spans="1:14" x14ac:dyDescent="0.25">
      <c r="A75" t="s">
        <v>203</v>
      </c>
      <c r="B75" s="1" t="s">
        <v>16</v>
      </c>
      <c r="H75" s="6">
        <v>45000</v>
      </c>
    </row>
    <row r="76" spans="1:14" x14ac:dyDescent="0.25">
      <c r="A76" s="26" t="s">
        <v>360</v>
      </c>
      <c r="B76" s="31" t="s">
        <v>16</v>
      </c>
      <c r="C76" s="26"/>
      <c r="D76" s="30"/>
      <c r="E76" s="30">
        <v>5000</v>
      </c>
      <c r="F76" s="30">
        <v>5000</v>
      </c>
      <c r="G76" s="30"/>
      <c r="H76" s="30"/>
      <c r="I76" s="30"/>
      <c r="J76" s="30"/>
      <c r="K76" s="30"/>
    </row>
    <row r="77" spans="1:14" x14ac:dyDescent="0.25">
      <c r="A77" s="26" t="s">
        <v>191</v>
      </c>
      <c r="B77" s="31" t="s">
        <v>16</v>
      </c>
      <c r="C77" s="26"/>
      <c r="D77" s="30"/>
      <c r="E77" s="30">
        <v>10000</v>
      </c>
      <c r="F77" s="30">
        <v>10000</v>
      </c>
      <c r="G77" s="30">
        <v>10000</v>
      </c>
      <c r="H77" s="30">
        <v>10000</v>
      </c>
      <c r="I77" s="30">
        <v>10000</v>
      </c>
      <c r="J77" s="30">
        <v>10000</v>
      </c>
      <c r="K77" s="30">
        <v>10000</v>
      </c>
      <c r="L77" s="6">
        <v>10000</v>
      </c>
      <c r="M77" s="6">
        <v>10000</v>
      </c>
      <c r="N77" s="6">
        <v>10000</v>
      </c>
    </row>
    <row r="78" spans="1:14" x14ac:dyDescent="0.25">
      <c r="A78" s="26" t="s">
        <v>192</v>
      </c>
      <c r="B78" s="31" t="s">
        <v>16</v>
      </c>
      <c r="C78" s="26"/>
      <c r="D78" s="30"/>
      <c r="E78" s="30">
        <v>25000</v>
      </c>
      <c r="F78" s="30">
        <v>25000</v>
      </c>
      <c r="G78" s="30">
        <v>25000</v>
      </c>
      <c r="H78" s="30">
        <v>25000</v>
      </c>
      <c r="I78" s="30">
        <v>25000</v>
      </c>
      <c r="J78" s="30">
        <v>25000</v>
      </c>
      <c r="K78" s="30">
        <v>25000</v>
      </c>
      <c r="L78" s="6">
        <v>25000</v>
      </c>
      <c r="M78" s="6">
        <v>25000</v>
      </c>
      <c r="N78" s="6">
        <v>25000</v>
      </c>
    </row>
    <row r="79" spans="1:14" x14ac:dyDescent="0.25">
      <c r="A79" s="26" t="s">
        <v>193</v>
      </c>
      <c r="B79" s="31" t="s">
        <v>16</v>
      </c>
      <c r="C79" s="26"/>
      <c r="D79" s="30"/>
      <c r="E79" s="30">
        <v>10000</v>
      </c>
      <c r="F79" s="30">
        <v>10000</v>
      </c>
      <c r="G79" s="30">
        <v>10000</v>
      </c>
      <c r="H79" s="30">
        <v>10000</v>
      </c>
      <c r="I79" s="30">
        <v>10000</v>
      </c>
      <c r="J79" s="30">
        <v>10000</v>
      </c>
      <c r="K79" s="30">
        <v>10000</v>
      </c>
      <c r="L79" s="6">
        <v>10000</v>
      </c>
      <c r="M79" s="6">
        <v>10000</v>
      </c>
      <c r="N79" s="6">
        <v>10000</v>
      </c>
    </row>
    <row r="80" spans="1:14" x14ac:dyDescent="0.25">
      <c r="A80" s="26"/>
      <c r="B80" s="31"/>
      <c r="C80" s="26"/>
      <c r="D80" s="30"/>
      <c r="E80" s="30"/>
      <c r="F80" s="30"/>
      <c r="G80" s="30"/>
      <c r="H80" s="30"/>
      <c r="I80" s="30"/>
      <c r="J80" s="30"/>
      <c r="K80" s="30"/>
    </row>
    <row r="81" spans="1:14" x14ac:dyDescent="0.25">
      <c r="A81" s="5" t="s">
        <v>393</v>
      </c>
      <c r="B81" s="31"/>
      <c r="C81" s="26"/>
      <c r="D81" s="30"/>
      <c r="E81" s="30"/>
      <c r="F81" s="30"/>
      <c r="G81" s="30"/>
      <c r="H81" s="30"/>
      <c r="I81" s="30"/>
      <c r="J81" s="30"/>
      <c r="K81" s="30"/>
    </row>
    <row r="82" spans="1:14" x14ac:dyDescent="0.25">
      <c r="A82" t="s">
        <v>104</v>
      </c>
      <c r="B82" s="1" t="s">
        <v>19</v>
      </c>
      <c r="D82" s="6">
        <v>515000</v>
      </c>
    </row>
    <row r="83" spans="1:14" x14ac:dyDescent="0.25">
      <c r="A83" s="26" t="s">
        <v>245</v>
      </c>
      <c r="B83" s="31" t="s">
        <v>243</v>
      </c>
      <c r="C83" s="26"/>
      <c r="D83" s="30">
        <v>185000</v>
      </c>
      <c r="E83" s="30"/>
      <c r="F83" s="30"/>
      <c r="G83" s="30"/>
      <c r="H83" s="30"/>
      <c r="I83" s="30"/>
      <c r="J83" s="30"/>
      <c r="K83" s="30"/>
    </row>
    <row r="84" spans="1:14" x14ac:dyDescent="0.25">
      <c r="A84" s="26" t="s">
        <v>357</v>
      </c>
      <c r="B84" s="31" t="s">
        <v>16</v>
      </c>
      <c r="C84" s="26"/>
      <c r="D84" s="30"/>
      <c r="E84" s="30">
        <v>125000</v>
      </c>
      <c r="F84" s="30"/>
      <c r="G84" s="30"/>
      <c r="H84" s="30"/>
      <c r="I84" s="30"/>
      <c r="J84" s="30"/>
      <c r="K84" s="30"/>
    </row>
    <row r="85" spans="1:14" x14ac:dyDescent="0.25">
      <c r="A85" s="26" t="s">
        <v>358</v>
      </c>
      <c r="B85" s="31" t="s">
        <v>16</v>
      </c>
      <c r="C85" s="26"/>
      <c r="D85" s="30"/>
      <c r="E85" s="30">
        <v>75000</v>
      </c>
      <c r="F85" s="30"/>
      <c r="G85" s="30"/>
      <c r="H85" s="30"/>
      <c r="I85" s="30"/>
      <c r="J85" s="30"/>
      <c r="K85" s="30"/>
    </row>
    <row r="86" spans="1:14" x14ac:dyDescent="0.25">
      <c r="A86" s="26" t="s">
        <v>430</v>
      </c>
      <c r="B86" s="31" t="s">
        <v>16</v>
      </c>
      <c r="C86" s="26"/>
      <c r="D86" s="30"/>
      <c r="E86" s="30">
        <v>110000</v>
      </c>
      <c r="F86" s="30"/>
      <c r="G86" s="30"/>
      <c r="H86" s="30"/>
      <c r="I86" s="30"/>
      <c r="J86" s="30"/>
      <c r="K86" s="30"/>
    </row>
    <row r="87" spans="1:14" x14ac:dyDescent="0.25">
      <c r="A87" s="26" t="s">
        <v>195</v>
      </c>
      <c r="B87" s="31" t="s">
        <v>16</v>
      </c>
      <c r="C87" s="26"/>
      <c r="D87" s="30"/>
      <c r="E87" s="30"/>
      <c r="F87" s="30"/>
      <c r="G87" s="30">
        <v>500000</v>
      </c>
      <c r="H87" s="30"/>
      <c r="I87" s="30"/>
      <c r="J87" s="30"/>
      <c r="K87" s="30"/>
    </row>
    <row r="88" spans="1:14" x14ac:dyDescent="0.25">
      <c r="A88" s="26" t="s">
        <v>194</v>
      </c>
      <c r="B88" s="31" t="s">
        <v>16</v>
      </c>
      <c r="C88" s="26"/>
      <c r="D88" s="30"/>
      <c r="E88" s="30"/>
      <c r="F88" s="30"/>
      <c r="G88" s="30"/>
      <c r="H88" s="30">
        <v>500000</v>
      </c>
      <c r="I88" s="30"/>
      <c r="J88" s="30"/>
      <c r="K88" s="30"/>
    </row>
    <row r="89" spans="1:14" x14ac:dyDescent="0.25">
      <c r="A89" s="26" t="s">
        <v>196</v>
      </c>
      <c r="B89" s="31" t="s">
        <v>19</v>
      </c>
      <c r="C89" s="26"/>
      <c r="D89" s="30"/>
      <c r="E89" s="30"/>
      <c r="F89" s="30"/>
      <c r="G89" s="30"/>
      <c r="H89" s="30">
        <v>950000</v>
      </c>
      <c r="I89" s="30"/>
      <c r="J89" s="30"/>
      <c r="K89" s="30"/>
    </row>
    <row r="90" spans="1:14" x14ac:dyDescent="0.25">
      <c r="A90" s="26" t="s">
        <v>197</v>
      </c>
      <c r="B90" s="31" t="s">
        <v>16</v>
      </c>
      <c r="C90" s="26"/>
      <c r="D90" s="30"/>
      <c r="E90" s="30"/>
      <c r="F90" s="30"/>
      <c r="G90" s="30">
        <v>175000</v>
      </c>
      <c r="H90" s="30">
        <v>200000</v>
      </c>
      <c r="I90" s="30"/>
      <c r="J90" s="30"/>
      <c r="K90" s="30"/>
    </row>
    <row r="91" spans="1:14" x14ac:dyDescent="0.25">
      <c r="A91" s="26" t="s">
        <v>198</v>
      </c>
      <c r="B91" s="31" t="s">
        <v>19</v>
      </c>
      <c r="C91" s="26"/>
      <c r="D91" s="30"/>
      <c r="E91" s="30"/>
      <c r="F91" s="30"/>
      <c r="G91" s="30"/>
      <c r="H91" s="30"/>
      <c r="I91" s="30"/>
      <c r="J91" s="30"/>
      <c r="K91" s="30">
        <f>G93</f>
        <v>1100000</v>
      </c>
    </row>
    <row r="92" spans="1:14" x14ac:dyDescent="0.25">
      <c r="A92" s="26" t="s">
        <v>199</v>
      </c>
      <c r="B92" s="31" t="s">
        <v>19</v>
      </c>
      <c r="C92" s="26"/>
      <c r="D92" s="30"/>
      <c r="E92" s="30"/>
      <c r="F92" s="30"/>
      <c r="G92" s="30"/>
      <c r="H92" s="30"/>
      <c r="I92" s="30">
        <f>G93</f>
        <v>1100000</v>
      </c>
      <c r="J92" s="30"/>
      <c r="K92" s="30"/>
    </row>
    <row r="93" spans="1:14" s="26" customFormat="1" x14ac:dyDescent="0.25">
      <c r="A93" s="26" t="s">
        <v>240</v>
      </c>
      <c r="B93" s="31" t="s">
        <v>19</v>
      </c>
      <c r="D93" s="30"/>
      <c r="E93" s="30"/>
      <c r="F93" s="30"/>
      <c r="G93" s="30">
        <v>1100000</v>
      </c>
      <c r="H93" s="30"/>
      <c r="I93" s="30"/>
      <c r="J93" s="30"/>
      <c r="K93" s="30"/>
      <c r="L93" s="30"/>
      <c r="M93" s="30"/>
      <c r="N93" s="30"/>
    </row>
    <row r="94" spans="1:14" x14ac:dyDescent="0.25">
      <c r="A94" s="26" t="s">
        <v>200</v>
      </c>
      <c r="B94" s="31" t="s">
        <v>16</v>
      </c>
      <c r="C94" s="26"/>
      <c r="D94" s="30"/>
      <c r="E94" s="30">
        <v>50000</v>
      </c>
      <c r="F94" s="30"/>
      <c r="G94" s="30"/>
      <c r="H94" s="30"/>
      <c r="I94" s="30"/>
      <c r="J94" s="30"/>
      <c r="K94" s="30"/>
    </row>
    <row r="96" spans="1:14" s="4" customFormat="1" ht="15.75" thickBot="1" x14ac:dyDescent="0.3">
      <c r="A96" s="4" t="s">
        <v>34</v>
      </c>
      <c r="B96" s="2"/>
      <c r="D96" s="9">
        <f t="shared" ref="D96:N96" si="1">SUM(D68:D95)</f>
        <v>700000</v>
      </c>
      <c r="E96" s="9">
        <f t="shared" si="1"/>
        <v>465000</v>
      </c>
      <c r="F96" s="9">
        <f t="shared" si="1"/>
        <v>85000</v>
      </c>
      <c r="G96" s="9">
        <f t="shared" si="1"/>
        <v>1860000</v>
      </c>
      <c r="H96" s="9">
        <f t="shared" si="1"/>
        <v>1740000</v>
      </c>
      <c r="I96" s="9">
        <f t="shared" si="1"/>
        <v>1145000</v>
      </c>
      <c r="J96" s="9">
        <f t="shared" si="1"/>
        <v>45000</v>
      </c>
      <c r="K96" s="9">
        <f t="shared" si="1"/>
        <v>1145000</v>
      </c>
      <c r="L96" s="9">
        <f t="shared" si="1"/>
        <v>45000</v>
      </c>
      <c r="M96" s="9">
        <f t="shared" si="1"/>
        <v>45000</v>
      </c>
      <c r="N96" s="9">
        <f t="shared" si="1"/>
        <v>45000</v>
      </c>
    </row>
    <row r="97" spans="1:14" ht="15.75" thickTop="1" x14ac:dyDescent="0.25"/>
    <row r="98" spans="1:14" s="4" customFormat="1" x14ac:dyDescent="0.25">
      <c r="A98" s="4" t="s">
        <v>35</v>
      </c>
      <c r="B98" s="2"/>
      <c r="D98" s="10">
        <f t="shared" ref="D98:N98" si="2">D96+D63</f>
        <v>735000</v>
      </c>
      <c r="E98" s="10">
        <f t="shared" si="2"/>
        <v>1173000</v>
      </c>
      <c r="F98" s="10">
        <f t="shared" si="2"/>
        <v>1335000</v>
      </c>
      <c r="G98" s="10">
        <f t="shared" si="2"/>
        <v>5078333</v>
      </c>
      <c r="H98" s="10">
        <f t="shared" si="2"/>
        <v>4081333</v>
      </c>
      <c r="I98" s="10">
        <f t="shared" si="2"/>
        <v>2098333</v>
      </c>
      <c r="J98" s="10">
        <f t="shared" si="2"/>
        <v>155000</v>
      </c>
      <c r="K98" s="10">
        <f t="shared" si="2"/>
        <v>1255000</v>
      </c>
      <c r="L98" s="10">
        <f t="shared" si="2"/>
        <v>155000</v>
      </c>
      <c r="M98" s="10">
        <f t="shared" si="2"/>
        <v>155000</v>
      </c>
      <c r="N98" s="10">
        <f t="shared" si="2"/>
        <v>155000</v>
      </c>
    </row>
    <row r="99" spans="1:14" x14ac:dyDescent="0.25">
      <c r="D99" s="8"/>
      <c r="E99" s="8"/>
      <c r="F99" s="8"/>
      <c r="G99" s="8"/>
      <c r="H99" s="8"/>
      <c r="I99" s="8"/>
      <c r="J99" s="8"/>
      <c r="K99" s="8"/>
      <c r="L99" s="8"/>
      <c r="M99" s="8"/>
      <c r="N99" s="8"/>
    </row>
    <row r="100" spans="1:14" x14ac:dyDescent="0.25">
      <c r="A100" s="28" t="s">
        <v>394</v>
      </c>
      <c r="B100" s="27"/>
      <c r="C100" s="28"/>
      <c r="D100" s="29">
        <f>SUM(D9:D27)+SUM(D66:D79)</f>
        <v>35000</v>
      </c>
      <c r="E100" s="29">
        <f t="shared" ref="E100:N100" si="3">SUM(E9:E27)+SUM(E66:E79)</f>
        <v>288000</v>
      </c>
      <c r="F100" s="29">
        <f t="shared" si="3"/>
        <v>255000</v>
      </c>
      <c r="G100" s="29">
        <f t="shared" si="3"/>
        <v>195000</v>
      </c>
      <c r="H100" s="29">
        <f t="shared" si="3"/>
        <v>248000</v>
      </c>
      <c r="I100" s="29">
        <f t="shared" si="3"/>
        <v>190000</v>
      </c>
      <c r="J100" s="29">
        <f t="shared" si="3"/>
        <v>155000</v>
      </c>
      <c r="K100" s="29">
        <f t="shared" si="3"/>
        <v>155000</v>
      </c>
      <c r="L100" s="29">
        <f t="shared" si="3"/>
        <v>155000</v>
      </c>
      <c r="M100" s="29">
        <f t="shared" si="3"/>
        <v>155000</v>
      </c>
      <c r="N100" s="29">
        <f t="shared" si="3"/>
        <v>155000</v>
      </c>
    </row>
    <row r="101" spans="1:14" x14ac:dyDescent="0.25">
      <c r="A101" s="28" t="s">
        <v>395</v>
      </c>
      <c r="B101" s="27"/>
      <c r="C101" s="28"/>
      <c r="D101" s="29">
        <f>SUM(D30:D61)+SUM(D82:D94)</f>
        <v>700000</v>
      </c>
      <c r="E101" s="29">
        <f t="shared" ref="E101:N101" si="4">SUM(E30:E61)+SUM(E82:E94)</f>
        <v>885000</v>
      </c>
      <c r="F101" s="29">
        <f t="shared" si="4"/>
        <v>1080000</v>
      </c>
      <c r="G101" s="29">
        <f t="shared" si="4"/>
        <v>4883333</v>
      </c>
      <c r="H101" s="29">
        <f t="shared" si="4"/>
        <v>3833333</v>
      </c>
      <c r="I101" s="29">
        <f t="shared" si="4"/>
        <v>1908333</v>
      </c>
      <c r="J101" s="29">
        <f t="shared" si="4"/>
        <v>0</v>
      </c>
      <c r="K101" s="29">
        <f t="shared" si="4"/>
        <v>1100000</v>
      </c>
      <c r="L101" s="29">
        <f t="shared" si="4"/>
        <v>0</v>
      </c>
      <c r="M101" s="29">
        <f t="shared" si="4"/>
        <v>0</v>
      </c>
      <c r="N101" s="29">
        <f t="shared" si="4"/>
        <v>0</v>
      </c>
    </row>
    <row r="102" spans="1:14" ht="15.75" thickBot="1" x14ac:dyDescent="0.3">
      <c r="D102" s="7">
        <f>SUM(D100:D101)</f>
        <v>735000</v>
      </c>
      <c r="E102" s="7">
        <f t="shared" ref="E102:N102" si="5">SUM(E100:E101)</f>
        <v>1173000</v>
      </c>
      <c r="F102" s="7">
        <f t="shared" si="5"/>
        <v>1335000</v>
      </c>
      <c r="G102" s="7">
        <f t="shared" si="5"/>
        <v>5078333</v>
      </c>
      <c r="H102" s="7">
        <f t="shared" si="5"/>
        <v>4081333</v>
      </c>
      <c r="I102" s="7">
        <f t="shared" si="5"/>
        <v>2098333</v>
      </c>
      <c r="J102" s="7">
        <f t="shared" si="5"/>
        <v>155000</v>
      </c>
      <c r="K102" s="7">
        <f t="shared" si="5"/>
        <v>1255000</v>
      </c>
      <c r="L102" s="7">
        <f t="shared" si="5"/>
        <v>155000</v>
      </c>
      <c r="M102" s="7">
        <f t="shared" si="5"/>
        <v>155000</v>
      </c>
      <c r="N102" s="7">
        <f t="shared" si="5"/>
        <v>155000</v>
      </c>
    </row>
    <row r="103" spans="1:14" ht="15.75" thickTop="1" x14ac:dyDescent="0.25">
      <c r="D103" s="94">
        <f>D102-D98</f>
        <v>0</v>
      </c>
      <c r="E103" s="94">
        <f t="shared" ref="E103:N103" si="6">E102-E98</f>
        <v>0</v>
      </c>
      <c r="F103" s="94">
        <f t="shared" si="6"/>
        <v>0</v>
      </c>
      <c r="G103" s="94">
        <f t="shared" si="6"/>
        <v>0</v>
      </c>
      <c r="H103" s="94">
        <f t="shared" si="6"/>
        <v>0</v>
      </c>
      <c r="I103" s="94">
        <f t="shared" si="6"/>
        <v>0</v>
      </c>
      <c r="J103" s="94">
        <f t="shared" si="6"/>
        <v>0</v>
      </c>
      <c r="K103" s="94">
        <f t="shared" si="6"/>
        <v>0</v>
      </c>
      <c r="L103" s="94">
        <f t="shared" si="6"/>
        <v>0</v>
      </c>
      <c r="M103" s="94">
        <f t="shared" si="6"/>
        <v>0</v>
      </c>
      <c r="N103" s="94">
        <f t="shared" si="6"/>
        <v>0</v>
      </c>
    </row>
    <row r="105" spans="1:14" x14ac:dyDescent="0.25">
      <c r="A105" t="s">
        <v>16</v>
      </c>
      <c r="D105" s="6">
        <f t="shared" ref="D105:N111" si="7">SUMIF($B$10:$B$95,$A105,D$10:D$95)</f>
        <v>35000</v>
      </c>
      <c r="E105" s="6">
        <f t="shared" si="7"/>
        <v>1173000</v>
      </c>
      <c r="F105" s="6">
        <f t="shared" si="7"/>
        <v>1335000</v>
      </c>
      <c r="G105" s="6">
        <f t="shared" si="7"/>
        <v>1278333</v>
      </c>
      <c r="H105" s="6">
        <f t="shared" si="7"/>
        <v>1306333</v>
      </c>
      <c r="I105" s="6">
        <f t="shared" si="7"/>
        <v>998333</v>
      </c>
      <c r="J105" s="6">
        <f t="shared" si="7"/>
        <v>155000</v>
      </c>
      <c r="K105" s="6">
        <f t="shared" si="7"/>
        <v>155000</v>
      </c>
      <c r="L105" s="6">
        <f t="shared" si="7"/>
        <v>155000</v>
      </c>
      <c r="M105" s="6">
        <f t="shared" si="7"/>
        <v>155000</v>
      </c>
      <c r="N105" s="6">
        <f t="shared" si="7"/>
        <v>155000</v>
      </c>
    </row>
    <row r="106" spans="1:14" x14ac:dyDescent="0.25">
      <c r="A106" t="s">
        <v>37</v>
      </c>
      <c r="D106" s="6">
        <f t="shared" si="7"/>
        <v>0</v>
      </c>
      <c r="E106" s="6">
        <f t="shared" si="7"/>
        <v>0</v>
      </c>
      <c r="F106" s="6">
        <f t="shared" si="7"/>
        <v>0</v>
      </c>
      <c r="G106" s="6">
        <f t="shared" si="7"/>
        <v>0</v>
      </c>
      <c r="H106" s="6">
        <f t="shared" si="7"/>
        <v>0</v>
      </c>
      <c r="I106" s="6">
        <f t="shared" si="7"/>
        <v>0</v>
      </c>
      <c r="J106" s="6">
        <f t="shared" si="7"/>
        <v>0</v>
      </c>
      <c r="K106" s="6">
        <f t="shared" si="7"/>
        <v>0</v>
      </c>
      <c r="L106" s="6">
        <f t="shared" si="7"/>
        <v>0</v>
      </c>
      <c r="M106" s="6">
        <f t="shared" si="7"/>
        <v>0</v>
      </c>
      <c r="N106" s="6">
        <f t="shared" si="7"/>
        <v>0</v>
      </c>
    </row>
    <row r="107" spans="1:14" x14ac:dyDescent="0.25">
      <c r="A107" t="s">
        <v>38</v>
      </c>
      <c r="D107" s="6">
        <f t="shared" si="7"/>
        <v>0</v>
      </c>
      <c r="E107" s="6">
        <f t="shared" si="7"/>
        <v>0</v>
      </c>
      <c r="F107" s="6">
        <f t="shared" si="7"/>
        <v>0</v>
      </c>
      <c r="G107" s="6">
        <f t="shared" si="7"/>
        <v>0</v>
      </c>
      <c r="H107" s="6">
        <f t="shared" si="7"/>
        <v>0</v>
      </c>
      <c r="I107" s="6">
        <f t="shared" si="7"/>
        <v>0</v>
      </c>
      <c r="J107" s="6">
        <f t="shared" si="7"/>
        <v>0</v>
      </c>
      <c r="K107" s="6">
        <f t="shared" si="7"/>
        <v>0</v>
      </c>
      <c r="L107" s="6">
        <f t="shared" si="7"/>
        <v>0</v>
      </c>
      <c r="M107" s="6">
        <f t="shared" si="7"/>
        <v>0</v>
      </c>
      <c r="N107" s="6">
        <f t="shared" si="7"/>
        <v>0</v>
      </c>
    </row>
    <row r="108" spans="1:14" x14ac:dyDescent="0.25">
      <c r="A108" t="s">
        <v>19</v>
      </c>
      <c r="D108" s="6">
        <f t="shared" si="7"/>
        <v>515000</v>
      </c>
      <c r="E108" s="6">
        <f t="shared" si="7"/>
        <v>0</v>
      </c>
      <c r="F108" s="6">
        <f t="shared" si="7"/>
        <v>0</v>
      </c>
      <c r="G108" s="6">
        <f t="shared" si="7"/>
        <v>3000000</v>
      </c>
      <c r="H108" s="6">
        <f t="shared" si="7"/>
        <v>2775000</v>
      </c>
      <c r="I108" s="6">
        <f t="shared" si="7"/>
        <v>1100000</v>
      </c>
      <c r="J108" s="6">
        <f t="shared" si="7"/>
        <v>0</v>
      </c>
      <c r="K108" s="6">
        <f t="shared" si="7"/>
        <v>1100000</v>
      </c>
      <c r="L108" s="6">
        <f t="shared" si="7"/>
        <v>0</v>
      </c>
      <c r="M108" s="6">
        <f t="shared" si="7"/>
        <v>0</v>
      </c>
      <c r="N108" s="6">
        <f t="shared" si="7"/>
        <v>0</v>
      </c>
    </row>
    <row r="109" spans="1:14" x14ac:dyDescent="0.25">
      <c r="A109" t="s">
        <v>243</v>
      </c>
      <c r="D109" s="6">
        <f t="shared" si="7"/>
        <v>185000</v>
      </c>
      <c r="E109" s="6">
        <f t="shared" si="7"/>
        <v>0</v>
      </c>
      <c r="F109" s="6">
        <f t="shared" si="7"/>
        <v>0</v>
      </c>
      <c r="G109" s="6">
        <f t="shared" si="7"/>
        <v>0</v>
      </c>
      <c r="H109" s="6">
        <f t="shared" si="7"/>
        <v>0</v>
      </c>
      <c r="I109" s="6">
        <f t="shared" si="7"/>
        <v>0</v>
      </c>
      <c r="J109" s="6">
        <f t="shared" si="7"/>
        <v>0</v>
      </c>
      <c r="K109" s="6">
        <f t="shared" si="7"/>
        <v>0</v>
      </c>
      <c r="L109" s="6">
        <f t="shared" si="7"/>
        <v>0</v>
      </c>
      <c r="M109" s="6">
        <f t="shared" si="7"/>
        <v>0</v>
      </c>
      <c r="N109" s="6">
        <f t="shared" si="7"/>
        <v>0</v>
      </c>
    </row>
    <row r="110" spans="1:14" x14ac:dyDescent="0.25">
      <c r="A110" t="s">
        <v>13</v>
      </c>
      <c r="D110" s="6">
        <f t="shared" si="7"/>
        <v>0</v>
      </c>
      <c r="E110" s="6">
        <f t="shared" si="7"/>
        <v>0</v>
      </c>
      <c r="F110" s="6">
        <f t="shared" si="7"/>
        <v>0</v>
      </c>
      <c r="G110" s="6">
        <f t="shared" si="7"/>
        <v>800000</v>
      </c>
      <c r="H110" s="6">
        <f t="shared" si="7"/>
        <v>0</v>
      </c>
      <c r="I110" s="6">
        <f t="shared" si="7"/>
        <v>0</v>
      </c>
      <c r="J110" s="6">
        <f t="shared" si="7"/>
        <v>0</v>
      </c>
      <c r="K110" s="6">
        <f t="shared" si="7"/>
        <v>0</v>
      </c>
      <c r="L110" s="6">
        <f t="shared" si="7"/>
        <v>0</v>
      </c>
      <c r="M110" s="6">
        <f t="shared" si="7"/>
        <v>0</v>
      </c>
      <c r="N110" s="6">
        <f t="shared" si="7"/>
        <v>0</v>
      </c>
    </row>
    <row r="111" spans="1:14" x14ac:dyDescent="0.25">
      <c r="A111" t="s">
        <v>50</v>
      </c>
      <c r="D111" s="6">
        <f t="shared" si="7"/>
        <v>0</v>
      </c>
      <c r="E111" s="6">
        <f t="shared" si="7"/>
        <v>0</v>
      </c>
      <c r="F111" s="6">
        <f t="shared" si="7"/>
        <v>0</v>
      </c>
      <c r="G111" s="6">
        <f t="shared" si="7"/>
        <v>0</v>
      </c>
      <c r="H111" s="6">
        <f t="shared" si="7"/>
        <v>0</v>
      </c>
      <c r="I111" s="6">
        <f t="shared" si="7"/>
        <v>0</v>
      </c>
      <c r="J111" s="6">
        <f t="shared" si="7"/>
        <v>0</v>
      </c>
      <c r="K111" s="6">
        <f t="shared" si="7"/>
        <v>0</v>
      </c>
      <c r="L111" s="6">
        <f t="shared" si="7"/>
        <v>0</v>
      </c>
      <c r="M111" s="6">
        <f t="shared" si="7"/>
        <v>0</v>
      </c>
      <c r="N111" s="6">
        <f t="shared" si="7"/>
        <v>0</v>
      </c>
    </row>
    <row r="112" spans="1:14" ht="15.75" thickBot="1" x14ac:dyDescent="0.3">
      <c r="D112" s="7">
        <f t="shared" ref="D112:N112" si="8">SUM(D105:D111)</f>
        <v>735000</v>
      </c>
      <c r="E112" s="7">
        <f t="shared" si="8"/>
        <v>1173000</v>
      </c>
      <c r="F112" s="7">
        <f t="shared" si="8"/>
        <v>1335000</v>
      </c>
      <c r="G112" s="7">
        <f t="shared" si="8"/>
        <v>5078333</v>
      </c>
      <c r="H112" s="7">
        <f t="shared" si="8"/>
        <v>4081333</v>
      </c>
      <c r="I112" s="7">
        <f t="shared" si="8"/>
        <v>2098333</v>
      </c>
      <c r="J112" s="7">
        <f t="shared" si="8"/>
        <v>155000</v>
      </c>
      <c r="K112" s="7">
        <f t="shared" si="8"/>
        <v>1255000</v>
      </c>
      <c r="L112" s="7">
        <f t="shared" si="8"/>
        <v>155000</v>
      </c>
      <c r="M112" s="7">
        <f t="shared" si="8"/>
        <v>155000</v>
      </c>
      <c r="N112" s="7">
        <f t="shared" si="8"/>
        <v>155000</v>
      </c>
    </row>
    <row r="113" spans="1:14" ht="15.75" thickTop="1" x14ac:dyDescent="0.25">
      <c r="D113" s="8">
        <f>D112-D98</f>
        <v>0</v>
      </c>
      <c r="E113" s="8">
        <f t="shared" ref="E113:N113" si="9">E112-E98</f>
        <v>0</v>
      </c>
      <c r="F113" s="8">
        <f t="shared" si="9"/>
        <v>0</v>
      </c>
      <c r="G113" s="8">
        <f t="shared" si="9"/>
        <v>0</v>
      </c>
      <c r="H113" s="8">
        <f t="shared" si="9"/>
        <v>0</v>
      </c>
      <c r="I113" s="8">
        <f t="shared" si="9"/>
        <v>0</v>
      </c>
      <c r="J113" s="8">
        <f t="shared" si="9"/>
        <v>0</v>
      </c>
      <c r="K113" s="8">
        <f t="shared" si="9"/>
        <v>0</v>
      </c>
      <c r="L113" s="8">
        <f t="shared" si="9"/>
        <v>0</v>
      </c>
      <c r="M113" s="8">
        <f t="shared" si="9"/>
        <v>0</v>
      </c>
      <c r="N113" s="8">
        <f t="shared" si="9"/>
        <v>0</v>
      </c>
    </row>
    <row r="116" spans="1:14" x14ac:dyDescent="0.25">
      <c r="A116" s="72" t="s">
        <v>314</v>
      </c>
      <c r="B116" s="73"/>
      <c r="C116" s="74"/>
      <c r="D116" s="75"/>
      <c r="E116" s="75"/>
      <c r="F116" s="75"/>
      <c r="G116" s="75"/>
      <c r="H116" s="75"/>
      <c r="I116" s="75"/>
      <c r="J116" s="75"/>
      <c r="K116" s="75"/>
      <c r="L116" s="75"/>
      <c r="M116" s="75"/>
      <c r="N116" s="75"/>
    </row>
    <row r="117" spans="1:14" x14ac:dyDescent="0.25">
      <c r="A117" s="72" t="s">
        <v>316</v>
      </c>
      <c r="B117" s="73"/>
      <c r="C117" s="74"/>
      <c r="D117" s="75"/>
      <c r="E117" s="75"/>
      <c r="F117" s="75"/>
      <c r="G117" s="75"/>
      <c r="H117" s="75"/>
      <c r="I117" s="75"/>
      <c r="J117" s="75"/>
      <c r="K117" s="75"/>
      <c r="L117" s="75"/>
      <c r="M117" s="75"/>
      <c r="N117" s="75"/>
    </row>
    <row r="118" spans="1:14" x14ac:dyDescent="0.25">
      <c r="A118" s="72" t="s">
        <v>315</v>
      </c>
      <c r="B118" s="73"/>
      <c r="C118" s="74"/>
      <c r="D118" s="75"/>
      <c r="E118" s="75"/>
      <c r="F118" s="75"/>
      <c r="G118" s="75"/>
      <c r="H118" s="75"/>
      <c r="I118" s="75"/>
      <c r="J118" s="75"/>
      <c r="K118" s="75"/>
      <c r="L118" s="75"/>
      <c r="M118" s="75"/>
      <c r="N118" s="75"/>
    </row>
    <row r="119" spans="1:14" x14ac:dyDescent="0.25">
      <c r="A119" s="72" t="s">
        <v>365</v>
      </c>
      <c r="B119" s="73"/>
      <c r="C119" s="74"/>
      <c r="D119" s="75">
        <f>D112</f>
        <v>735000</v>
      </c>
      <c r="E119" s="75">
        <f t="shared" ref="E119:N119" si="10">E112</f>
        <v>1173000</v>
      </c>
      <c r="F119" s="75">
        <f t="shared" si="10"/>
        <v>1335000</v>
      </c>
      <c r="G119" s="75">
        <f t="shared" si="10"/>
        <v>5078333</v>
      </c>
      <c r="H119" s="75">
        <f t="shared" si="10"/>
        <v>4081333</v>
      </c>
      <c r="I119" s="75">
        <f t="shared" si="10"/>
        <v>2098333</v>
      </c>
      <c r="J119" s="75">
        <f t="shared" si="10"/>
        <v>155000</v>
      </c>
      <c r="K119" s="75">
        <f t="shared" si="10"/>
        <v>1255000</v>
      </c>
      <c r="L119" s="75">
        <f t="shared" si="10"/>
        <v>155000</v>
      </c>
      <c r="M119" s="75">
        <f t="shared" si="10"/>
        <v>155000</v>
      </c>
      <c r="N119" s="75">
        <f t="shared" si="10"/>
        <v>155000</v>
      </c>
    </row>
    <row r="120" spans="1:14" x14ac:dyDescent="0.25">
      <c r="A120" s="72" t="s">
        <v>366</v>
      </c>
      <c r="B120" s="73"/>
      <c r="C120" s="74"/>
      <c r="D120" s="75"/>
      <c r="E120" s="75"/>
      <c r="F120" s="75"/>
      <c r="G120" s="75"/>
      <c r="H120" s="75"/>
      <c r="I120" s="75"/>
      <c r="J120" s="75"/>
      <c r="K120" s="75"/>
      <c r="L120" s="75"/>
      <c r="M120" s="75"/>
      <c r="N120" s="75"/>
    </row>
    <row r="121" spans="1:14" x14ac:dyDescent="0.25">
      <c r="A121" s="72" t="s">
        <v>367</v>
      </c>
      <c r="B121" s="73"/>
      <c r="C121" s="74"/>
      <c r="D121" s="75"/>
      <c r="E121" s="75"/>
      <c r="F121" s="75"/>
      <c r="G121" s="75"/>
      <c r="H121" s="75"/>
      <c r="I121" s="75"/>
      <c r="J121" s="75"/>
      <c r="K121" s="75"/>
      <c r="L121" s="75"/>
      <c r="M121" s="75"/>
      <c r="N121" s="75"/>
    </row>
    <row r="122" spans="1:14" x14ac:dyDescent="0.25">
      <c r="A122" s="72" t="s">
        <v>1</v>
      </c>
      <c r="B122" s="73"/>
      <c r="C122" s="74"/>
      <c r="D122" s="75"/>
      <c r="E122" s="75"/>
      <c r="F122" s="75"/>
      <c r="G122" s="75"/>
      <c r="H122" s="75"/>
      <c r="I122" s="75"/>
      <c r="J122" s="75"/>
      <c r="K122" s="75"/>
      <c r="L122" s="75"/>
      <c r="M122" s="75"/>
      <c r="N122" s="75"/>
    </row>
    <row r="125" spans="1:14" x14ac:dyDescent="0.25">
      <c r="A125" t="s">
        <v>55</v>
      </c>
    </row>
    <row r="126" spans="1:14" x14ac:dyDescent="0.25">
      <c r="A126" t="s">
        <v>56</v>
      </c>
    </row>
    <row r="127" spans="1:14" x14ac:dyDescent="0.25">
      <c r="A127" t="s">
        <v>370</v>
      </c>
    </row>
    <row r="128" spans="1:14" x14ac:dyDescent="0.25">
      <c r="A128" t="s">
        <v>57</v>
      </c>
    </row>
    <row r="129" spans="1:1" x14ac:dyDescent="0.25">
      <c r="A129" t="s">
        <v>244</v>
      </c>
    </row>
    <row r="130" spans="1:1" x14ac:dyDescent="0.25">
      <c r="A130" t="s">
        <v>58</v>
      </c>
    </row>
    <row r="131" spans="1:1" x14ac:dyDescent="0.25">
      <c r="A131" t="s">
        <v>59</v>
      </c>
    </row>
  </sheetData>
  <customSheetViews>
    <customSheetView guid="{BB410D8C-36DE-400F-AB69-DB51CF9CA663}" showPageBreaks="1" fitToPage="1" printArea="1" state="hidden" topLeftCell="A4">
      <selection activeCell="G68" sqref="G68"/>
      <pageMargins left="0.4" right="0.4" top="0.4" bottom="0.4" header="0" footer="0"/>
      <pageSetup scale="38" orientation="portrait" r:id="rId1"/>
    </customSheetView>
  </customSheetViews>
  <pageMargins left="0.4" right="0.4" top="0.4" bottom="0.4" header="0" footer="0"/>
  <pageSetup scale="38" orientation="portrait"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4"/>
  <sheetViews>
    <sheetView workbookViewId="0">
      <selection activeCell="G68" sqref="G68"/>
    </sheetView>
  </sheetViews>
  <sheetFormatPr defaultRowHeight="15" x14ac:dyDescent="0.25"/>
  <cols>
    <col min="1" max="1" width="89.140625" customWidth="1"/>
    <col min="2" max="2" width="8.28515625" style="1" customWidth="1"/>
    <col min="3" max="3" width="2.85546875" customWidth="1"/>
    <col min="4" max="4" width="11.140625" style="6" customWidth="1"/>
    <col min="5" max="6" width="10.140625" style="6" customWidth="1"/>
    <col min="7" max="7" width="9.140625" style="6"/>
    <col min="8" max="11" width="10.140625" style="6" customWidth="1"/>
    <col min="12" max="12" width="9.140625" style="6"/>
    <col min="13" max="14" width="10.140625" style="6" customWidth="1"/>
    <col min="17" max="17" width="13.28515625" bestFit="1" customWidth="1"/>
  </cols>
  <sheetData>
    <row r="1" spans="1:14" ht="21" x14ac:dyDescent="0.35">
      <c r="A1" s="17" t="s">
        <v>62</v>
      </c>
    </row>
    <row r="2" spans="1:14" ht="21" x14ac:dyDescent="0.35">
      <c r="A2" s="17" t="s">
        <v>68</v>
      </c>
    </row>
    <row r="3" spans="1:14" ht="21" x14ac:dyDescent="0.35">
      <c r="A3" s="17" t="s">
        <v>64</v>
      </c>
      <c r="D3"/>
      <c r="E3"/>
      <c r="F3"/>
      <c r="G3"/>
      <c r="H3"/>
      <c r="I3"/>
      <c r="J3"/>
      <c r="K3"/>
      <c r="L3"/>
      <c r="M3"/>
      <c r="N3"/>
    </row>
    <row r="4" spans="1:14" x14ac:dyDescent="0.25">
      <c r="D4"/>
      <c r="E4"/>
      <c r="F4"/>
      <c r="G4"/>
      <c r="H4"/>
      <c r="I4"/>
      <c r="J4"/>
      <c r="K4"/>
      <c r="L4"/>
      <c r="M4"/>
      <c r="N4"/>
    </row>
    <row r="5" spans="1:14" x14ac:dyDescent="0.25">
      <c r="D5"/>
      <c r="E5"/>
      <c r="F5"/>
      <c r="G5"/>
      <c r="H5"/>
      <c r="I5"/>
      <c r="J5"/>
      <c r="K5"/>
      <c r="L5"/>
      <c r="M5"/>
      <c r="N5"/>
    </row>
    <row r="6" spans="1:14" x14ac:dyDescent="0.25">
      <c r="D6" s="3" t="s">
        <v>2</v>
      </c>
      <c r="E6" s="3" t="s">
        <v>3</v>
      </c>
      <c r="F6" s="3" t="s">
        <v>4</v>
      </c>
      <c r="G6" s="3" t="s">
        <v>5</v>
      </c>
      <c r="H6" s="3" t="s">
        <v>6</v>
      </c>
      <c r="I6" s="3" t="s">
        <v>7</v>
      </c>
      <c r="J6" s="3" t="s">
        <v>8</v>
      </c>
      <c r="K6" s="3" t="s">
        <v>9</v>
      </c>
      <c r="L6" s="3" t="s">
        <v>10</v>
      </c>
      <c r="M6" s="3" t="s">
        <v>11</v>
      </c>
      <c r="N6" s="3" t="s">
        <v>45</v>
      </c>
    </row>
    <row r="7" spans="1:14" x14ac:dyDescent="0.25">
      <c r="D7"/>
      <c r="E7"/>
      <c r="F7"/>
      <c r="G7"/>
      <c r="H7"/>
      <c r="I7"/>
      <c r="J7"/>
      <c r="K7"/>
      <c r="L7"/>
      <c r="M7"/>
      <c r="N7"/>
    </row>
    <row r="8" spans="1:14" x14ac:dyDescent="0.25">
      <c r="A8" s="5" t="s">
        <v>0</v>
      </c>
      <c r="D8"/>
      <c r="E8"/>
      <c r="F8"/>
      <c r="G8"/>
      <c r="H8"/>
      <c r="I8"/>
      <c r="J8"/>
      <c r="K8"/>
      <c r="L8"/>
      <c r="M8"/>
      <c r="N8"/>
    </row>
    <row r="9" spans="1:14" x14ac:dyDescent="0.25">
      <c r="A9" t="s">
        <v>77</v>
      </c>
      <c r="B9" s="1" t="s">
        <v>19</v>
      </c>
      <c r="D9" s="18"/>
    </row>
    <row r="10" spans="1:14" x14ac:dyDescent="0.25">
      <c r="A10" t="s">
        <v>99</v>
      </c>
      <c r="B10" s="1" t="s">
        <v>19</v>
      </c>
      <c r="F10" s="6">
        <v>1000000</v>
      </c>
    </row>
    <row r="11" spans="1:14" x14ac:dyDescent="0.25">
      <c r="A11" t="s">
        <v>301</v>
      </c>
      <c r="B11" s="1" t="s">
        <v>19</v>
      </c>
      <c r="D11" s="21">
        <v>200000</v>
      </c>
      <c r="E11" s="6">
        <f>1300000-D11-192200</f>
        <v>907800</v>
      </c>
    </row>
    <row r="12" spans="1:14" x14ac:dyDescent="0.25">
      <c r="A12" t="s">
        <v>300</v>
      </c>
      <c r="B12" s="1" t="s">
        <v>19</v>
      </c>
      <c r="D12" s="6">
        <v>800000</v>
      </c>
      <c r="E12" s="6">
        <f>1225000-D12</f>
        <v>425000</v>
      </c>
    </row>
    <row r="13" spans="1:14" x14ac:dyDescent="0.25">
      <c r="A13" t="s">
        <v>287</v>
      </c>
      <c r="B13" s="1" t="s">
        <v>38</v>
      </c>
      <c r="E13" s="6">
        <f>978000*0.8</f>
        <v>782400</v>
      </c>
    </row>
    <row r="14" spans="1:14" x14ac:dyDescent="0.25">
      <c r="A14" t="s">
        <v>287</v>
      </c>
      <c r="B14" s="1" t="s">
        <v>16</v>
      </c>
      <c r="E14" s="6">
        <f>978000*0.2</f>
        <v>195600</v>
      </c>
    </row>
    <row r="15" spans="1:14" x14ac:dyDescent="0.25">
      <c r="A15" t="s">
        <v>205</v>
      </c>
      <c r="B15" s="1" t="s">
        <v>16</v>
      </c>
      <c r="F15" s="6">
        <v>500000</v>
      </c>
      <c r="G15" s="6">
        <v>500000</v>
      </c>
      <c r="H15" s="6">
        <v>250000</v>
      </c>
      <c r="I15" s="6">
        <v>250000</v>
      </c>
      <c r="J15" s="6">
        <v>250000</v>
      </c>
      <c r="K15" s="6">
        <v>250000</v>
      </c>
      <c r="L15" s="6">
        <v>250000</v>
      </c>
      <c r="M15" s="6">
        <v>250000</v>
      </c>
      <c r="N15" s="6">
        <v>250000</v>
      </c>
    </row>
    <row r="17" spans="1:14" s="4" customFormat="1" ht="15.75" thickBot="1" x14ac:dyDescent="0.3">
      <c r="A17" s="4" t="s">
        <v>36</v>
      </c>
      <c r="B17" s="2"/>
      <c r="D17" s="9">
        <f t="shared" ref="D17:N17" si="0">SUM(D9:D16)</f>
        <v>1000000</v>
      </c>
      <c r="E17" s="9">
        <f t="shared" si="0"/>
        <v>2310800</v>
      </c>
      <c r="F17" s="9">
        <f t="shared" si="0"/>
        <v>1500000</v>
      </c>
      <c r="G17" s="9">
        <f t="shared" si="0"/>
        <v>500000</v>
      </c>
      <c r="H17" s="9">
        <f t="shared" si="0"/>
        <v>250000</v>
      </c>
      <c r="I17" s="9">
        <f t="shared" si="0"/>
        <v>250000</v>
      </c>
      <c r="J17" s="9">
        <f t="shared" si="0"/>
        <v>250000</v>
      </c>
      <c r="K17" s="9">
        <f t="shared" si="0"/>
        <v>250000</v>
      </c>
      <c r="L17" s="9">
        <f t="shared" si="0"/>
        <v>250000</v>
      </c>
      <c r="M17" s="9">
        <f t="shared" si="0"/>
        <v>250000</v>
      </c>
      <c r="N17" s="9">
        <f t="shared" si="0"/>
        <v>250000</v>
      </c>
    </row>
    <row r="18" spans="1:14" ht="15.75" thickTop="1" x14ac:dyDescent="0.25"/>
    <row r="19" spans="1:14" x14ac:dyDescent="0.25">
      <c r="A19" s="5" t="s">
        <v>1</v>
      </c>
    </row>
    <row r="25" spans="1:14" s="4" customFormat="1" ht="15.75" thickBot="1" x14ac:dyDescent="0.3">
      <c r="A25" s="4" t="s">
        <v>34</v>
      </c>
      <c r="B25" s="2"/>
      <c r="D25" s="9">
        <f>SUM(D20:D24)</f>
        <v>0</v>
      </c>
      <c r="E25" s="9">
        <f t="shared" ref="E25:N25" si="1">SUM(E20:E24)</f>
        <v>0</v>
      </c>
      <c r="F25" s="9">
        <f t="shared" si="1"/>
        <v>0</v>
      </c>
      <c r="G25" s="9">
        <f t="shared" si="1"/>
        <v>0</v>
      </c>
      <c r="H25" s="9">
        <f t="shared" si="1"/>
        <v>0</v>
      </c>
      <c r="I25" s="9">
        <f t="shared" si="1"/>
        <v>0</v>
      </c>
      <c r="J25" s="9">
        <f t="shared" si="1"/>
        <v>0</v>
      </c>
      <c r="K25" s="9">
        <f t="shared" si="1"/>
        <v>0</v>
      </c>
      <c r="L25" s="9">
        <f t="shared" si="1"/>
        <v>0</v>
      </c>
      <c r="M25" s="9">
        <f t="shared" si="1"/>
        <v>0</v>
      </c>
      <c r="N25" s="9">
        <f t="shared" si="1"/>
        <v>0</v>
      </c>
    </row>
    <row r="26" spans="1:14" ht="15.75" thickTop="1" x14ac:dyDescent="0.25"/>
    <row r="27" spans="1:14" s="4" customFormat="1" x14ac:dyDescent="0.25">
      <c r="A27" s="4" t="s">
        <v>35</v>
      </c>
      <c r="B27" s="2"/>
      <c r="D27" s="10">
        <f>D25+D17</f>
        <v>1000000</v>
      </c>
      <c r="E27" s="10">
        <f t="shared" ref="E27:N27" si="2">E25+E17</f>
        <v>2310800</v>
      </c>
      <c r="F27" s="10">
        <f t="shared" si="2"/>
        <v>1500000</v>
      </c>
      <c r="G27" s="10">
        <f t="shared" si="2"/>
        <v>500000</v>
      </c>
      <c r="H27" s="10">
        <f t="shared" si="2"/>
        <v>250000</v>
      </c>
      <c r="I27" s="10">
        <f t="shared" si="2"/>
        <v>250000</v>
      </c>
      <c r="J27" s="10">
        <f t="shared" si="2"/>
        <v>250000</v>
      </c>
      <c r="K27" s="10">
        <f t="shared" si="2"/>
        <v>250000</v>
      </c>
      <c r="L27" s="10">
        <f t="shared" si="2"/>
        <v>250000</v>
      </c>
      <c r="M27" s="10">
        <f t="shared" si="2"/>
        <v>250000</v>
      </c>
      <c r="N27" s="10">
        <f t="shared" si="2"/>
        <v>250000</v>
      </c>
    </row>
    <row r="31" spans="1:14" x14ac:dyDescent="0.25">
      <c r="A31" t="s">
        <v>16</v>
      </c>
      <c r="D31" s="6">
        <f t="shared" ref="D31:N37" si="3">SUMIF($B$9:$B$24,$A31,D$9:D$24)</f>
        <v>0</v>
      </c>
      <c r="E31" s="6">
        <f t="shared" si="3"/>
        <v>195600</v>
      </c>
      <c r="F31" s="6">
        <f t="shared" si="3"/>
        <v>500000</v>
      </c>
      <c r="G31" s="6">
        <f t="shared" si="3"/>
        <v>500000</v>
      </c>
      <c r="H31" s="6">
        <f t="shared" si="3"/>
        <v>250000</v>
      </c>
      <c r="I31" s="6">
        <f t="shared" si="3"/>
        <v>250000</v>
      </c>
      <c r="J31" s="6">
        <f t="shared" si="3"/>
        <v>250000</v>
      </c>
      <c r="K31" s="6">
        <f t="shared" si="3"/>
        <v>250000</v>
      </c>
      <c r="L31" s="6">
        <f t="shared" si="3"/>
        <v>250000</v>
      </c>
      <c r="M31" s="6">
        <f t="shared" si="3"/>
        <v>250000</v>
      </c>
      <c r="N31" s="6">
        <f t="shared" si="3"/>
        <v>250000</v>
      </c>
    </row>
    <row r="32" spans="1:14" x14ac:dyDescent="0.25">
      <c r="A32" t="s">
        <v>37</v>
      </c>
      <c r="D32" s="6">
        <f t="shared" si="3"/>
        <v>0</v>
      </c>
      <c r="E32" s="6">
        <f t="shared" si="3"/>
        <v>0</v>
      </c>
      <c r="F32" s="6">
        <f t="shared" si="3"/>
        <v>0</v>
      </c>
      <c r="G32" s="6">
        <f t="shared" si="3"/>
        <v>0</v>
      </c>
      <c r="H32" s="6">
        <f t="shared" si="3"/>
        <v>0</v>
      </c>
      <c r="I32" s="6">
        <f t="shared" si="3"/>
        <v>0</v>
      </c>
      <c r="J32" s="6">
        <f t="shared" si="3"/>
        <v>0</v>
      </c>
      <c r="K32" s="6">
        <f t="shared" si="3"/>
        <v>0</v>
      </c>
      <c r="L32" s="6">
        <f t="shared" si="3"/>
        <v>0</v>
      </c>
      <c r="M32" s="6">
        <f t="shared" si="3"/>
        <v>0</v>
      </c>
      <c r="N32" s="6">
        <f t="shared" si="3"/>
        <v>0</v>
      </c>
    </row>
    <row r="33" spans="1:17" x14ac:dyDescent="0.25">
      <c r="A33" t="s">
        <v>38</v>
      </c>
      <c r="D33" s="6">
        <f t="shared" si="3"/>
        <v>0</v>
      </c>
      <c r="E33" s="6">
        <f t="shared" si="3"/>
        <v>782400</v>
      </c>
      <c r="F33" s="6">
        <f t="shared" si="3"/>
        <v>0</v>
      </c>
      <c r="G33" s="6">
        <f t="shared" si="3"/>
        <v>0</v>
      </c>
      <c r="H33" s="6">
        <f t="shared" si="3"/>
        <v>0</v>
      </c>
      <c r="I33" s="6">
        <f t="shared" si="3"/>
        <v>0</v>
      </c>
      <c r="J33" s="6">
        <f t="shared" si="3"/>
        <v>0</v>
      </c>
      <c r="K33" s="6">
        <f t="shared" si="3"/>
        <v>0</v>
      </c>
      <c r="L33" s="6">
        <f t="shared" si="3"/>
        <v>0</v>
      </c>
      <c r="M33" s="6">
        <f t="shared" si="3"/>
        <v>0</v>
      </c>
      <c r="N33" s="6">
        <f t="shared" si="3"/>
        <v>0</v>
      </c>
    </row>
    <row r="34" spans="1:17" x14ac:dyDescent="0.25">
      <c r="A34" t="s">
        <v>19</v>
      </c>
      <c r="D34" s="6">
        <f t="shared" si="3"/>
        <v>1000000</v>
      </c>
      <c r="E34" s="6">
        <f t="shared" si="3"/>
        <v>1332800</v>
      </c>
      <c r="F34" s="6">
        <f t="shared" si="3"/>
        <v>1000000</v>
      </c>
      <c r="G34" s="6">
        <f t="shared" si="3"/>
        <v>0</v>
      </c>
      <c r="H34" s="6">
        <f t="shared" si="3"/>
        <v>0</v>
      </c>
      <c r="I34" s="6">
        <f t="shared" si="3"/>
        <v>0</v>
      </c>
      <c r="J34" s="6">
        <f t="shared" si="3"/>
        <v>0</v>
      </c>
      <c r="K34" s="6">
        <f t="shared" si="3"/>
        <v>0</v>
      </c>
      <c r="L34" s="6">
        <f t="shared" si="3"/>
        <v>0</v>
      </c>
      <c r="M34" s="6">
        <f t="shared" si="3"/>
        <v>0</v>
      </c>
      <c r="N34" s="6">
        <f t="shared" si="3"/>
        <v>0</v>
      </c>
    </row>
    <row r="35" spans="1:17" x14ac:dyDescent="0.25">
      <c r="A35" t="s">
        <v>243</v>
      </c>
      <c r="D35" s="6">
        <f t="shared" si="3"/>
        <v>0</v>
      </c>
      <c r="E35" s="6">
        <f t="shared" si="3"/>
        <v>0</v>
      </c>
      <c r="F35" s="6">
        <f t="shared" si="3"/>
        <v>0</v>
      </c>
      <c r="G35" s="6">
        <f t="shared" si="3"/>
        <v>0</v>
      </c>
      <c r="H35" s="6">
        <f t="shared" si="3"/>
        <v>0</v>
      </c>
      <c r="I35" s="6">
        <f t="shared" si="3"/>
        <v>0</v>
      </c>
      <c r="J35" s="6">
        <f t="shared" si="3"/>
        <v>0</v>
      </c>
      <c r="K35" s="6">
        <f t="shared" si="3"/>
        <v>0</v>
      </c>
      <c r="L35" s="6">
        <f t="shared" si="3"/>
        <v>0</v>
      </c>
      <c r="M35" s="6">
        <f t="shared" si="3"/>
        <v>0</v>
      </c>
      <c r="N35" s="6">
        <f t="shared" si="3"/>
        <v>0</v>
      </c>
    </row>
    <row r="36" spans="1:17" x14ac:dyDescent="0.25">
      <c r="A36" t="s">
        <v>13</v>
      </c>
      <c r="D36" s="6">
        <f t="shared" si="3"/>
        <v>0</v>
      </c>
      <c r="E36" s="6">
        <f t="shared" si="3"/>
        <v>0</v>
      </c>
      <c r="F36" s="6">
        <f t="shared" si="3"/>
        <v>0</v>
      </c>
      <c r="G36" s="6">
        <f t="shared" si="3"/>
        <v>0</v>
      </c>
      <c r="H36" s="6">
        <f t="shared" si="3"/>
        <v>0</v>
      </c>
      <c r="I36" s="6">
        <f t="shared" si="3"/>
        <v>0</v>
      </c>
      <c r="J36" s="6">
        <f t="shared" si="3"/>
        <v>0</v>
      </c>
      <c r="K36" s="6">
        <f t="shared" si="3"/>
        <v>0</v>
      </c>
      <c r="L36" s="6">
        <f t="shared" si="3"/>
        <v>0</v>
      </c>
      <c r="M36" s="6">
        <f t="shared" si="3"/>
        <v>0</v>
      </c>
      <c r="N36" s="6">
        <f t="shared" si="3"/>
        <v>0</v>
      </c>
    </row>
    <row r="37" spans="1:17" x14ac:dyDescent="0.25">
      <c r="A37" t="s">
        <v>50</v>
      </c>
      <c r="D37" s="6">
        <f t="shared" si="3"/>
        <v>0</v>
      </c>
      <c r="E37" s="6">
        <f t="shared" si="3"/>
        <v>0</v>
      </c>
      <c r="F37" s="6">
        <f t="shared" si="3"/>
        <v>0</v>
      </c>
      <c r="G37" s="6">
        <f t="shared" si="3"/>
        <v>0</v>
      </c>
      <c r="H37" s="6">
        <f t="shared" si="3"/>
        <v>0</v>
      </c>
      <c r="I37" s="6">
        <f t="shared" si="3"/>
        <v>0</v>
      </c>
      <c r="J37" s="6">
        <f t="shared" si="3"/>
        <v>0</v>
      </c>
      <c r="K37" s="6">
        <f t="shared" si="3"/>
        <v>0</v>
      </c>
      <c r="L37" s="6">
        <f t="shared" si="3"/>
        <v>0</v>
      </c>
      <c r="M37" s="6">
        <f t="shared" si="3"/>
        <v>0</v>
      </c>
      <c r="N37" s="6">
        <f t="shared" si="3"/>
        <v>0</v>
      </c>
    </row>
    <row r="38" spans="1:17" ht="15.75" thickBot="1" x14ac:dyDescent="0.3">
      <c r="D38" s="7">
        <f t="shared" ref="D38:N38" si="4">SUM(D31:D37)</f>
        <v>1000000</v>
      </c>
      <c r="E38" s="7">
        <f t="shared" si="4"/>
        <v>2310800</v>
      </c>
      <c r="F38" s="7">
        <f t="shared" si="4"/>
        <v>1500000</v>
      </c>
      <c r="G38" s="7">
        <f t="shared" si="4"/>
        <v>500000</v>
      </c>
      <c r="H38" s="7">
        <f t="shared" si="4"/>
        <v>250000</v>
      </c>
      <c r="I38" s="7">
        <f t="shared" si="4"/>
        <v>250000</v>
      </c>
      <c r="J38" s="7">
        <f t="shared" si="4"/>
        <v>250000</v>
      </c>
      <c r="K38" s="7">
        <f t="shared" si="4"/>
        <v>250000</v>
      </c>
      <c r="L38" s="7">
        <f t="shared" si="4"/>
        <v>250000</v>
      </c>
      <c r="M38" s="7">
        <f t="shared" si="4"/>
        <v>250000</v>
      </c>
      <c r="N38" s="7">
        <f t="shared" si="4"/>
        <v>250000</v>
      </c>
    </row>
    <row r="39" spans="1:17" ht="15.75" thickTop="1" x14ac:dyDescent="0.25">
      <c r="D39" s="8">
        <f>D38-D27</f>
        <v>0</v>
      </c>
      <c r="E39" s="8">
        <f t="shared" ref="E39:N39" si="5">E38-E27</f>
        <v>0</v>
      </c>
      <c r="F39" s="8">
        <f t="shared" si="5"/>
        <v>0</v>
      </c>
      <c r="G39" s="8">
        <f t="shared" si="5"/>
        <v>0</v>
      </c>
      <c r="H39" s="8">
        <f t="shared" si="5"/>
        <v>0</v>
      </c>
      <c r="I39" s="8">
        <f t="shared" si="5"/>
        <v>0</v>
      </c>
      <c r="J39" s="8">
        <f t="shared" si="5"/>
        <v>0</v>
      </c>
      <c r="K39" s="8">
        <f t="shared" si="5"/>
        <v>0</v>
      </c>
      <c r="L39" s="8">
        <f t="shared" si="5"/>
        <v>0</v>
      </c>
      <c r="M39" s="8">
        <f t="shared" si="5"/>
        <v>0</v>
      </c>
      <c r="N39" s="8">
        <f t="shared" si="5"/>
        <v>0</v>
      </c>
      <c r="Q39" s="8"/>
    </row>
    <row r="42" spans="1:17" x14ac:dyDescent="0.25">
      <c r="A42" s="5" t="s">
        <v>72</v>
      </c>
    </row>
    <row r="43" spans="1:17" x14ac:dyDescent="0.25">
      <c r="A43" t="s">
        <v>73</v>
      </c>
    </row>
    <row r="44" spans="1:17" x14ac:dyDescent="0.25">
      <c r="A44" t="s">
        <v>74</v>
      </c>
    </row>
    <row r="45" spans="1:17" x14ac:dyDescent="0.25">
      <c r="A45" t="s">
        <v>76</v>
      </c>
    </row>
    <row r="46" spans="1:17" x14ac:dyDescent="0.25">
      <c r="A46" t="s">
        <v>75</v>
      </c>
    </row>
    <row r="49" spans="1:17" x14ac:dyDescent="0.25">
      <c r="A49" s="72" t="s">
        <v>314</v>
      </c>
      <c r="P49" s="6"/>
      <c r="Q49" s="8"/>
    </row>
    <row r="50" spans="1:17" x14ac:dyDescent="0.25">
      <c r="A50" s="72" t="s">
        <v>316</v>
      </c>
      <c r="Q50" s="8"/>
    </row>
    <row r="51" spans="1:17" x14ac:dyDescent="0.25">
      <c r="A51" s="72" t="s">
        <v>315</v>
      </c>
      <c r="Q51" s="8"/>
    </row>
    <row r="52" spans="1:17" x14ac:dyDescent="0.25">
      <c r="A52" s="72" t="s">
        <v>365</v>
      </c>
      <c r="D52" s="6">
        <f>D38</f>
        <v>1000000</v>
      </c>
      <c r="E52" s="6">
        <f t="shared" ref="E52:N52" si="6">E38</f>
        <v>2310800</v>
      </c>
      <c r="F52" s="6">
        <f t="shared" si="6"/>
        <v>1500000</v>
      </c>
      <c r="G52" s="6">
        <f t="shared" si="6"/>
        <v>500000</v>
      </c>
      <c r="H52" s="6">
        <f t="shared" si="6"/>
        <v>250000</v>
      </c>
      <c r="I52" s="6">
        <f t="shared" si="6"/>
        <v>250000</v>
      </c>
      <c r="J52" s="6">
        <f t="shared" si="6"/>
        <v>250000</v>
      </c>
      <c r="K52" s="6">
        <f t="shared" si="6"/>
        <v>250000</v>
      </c>
      <c r="L52" s="6">
        <f t="shared" si="6"/>
        <v>250000</v>
      </c>
      <c r="M52" s="6">
        <f t="shared" si="6"/>
        <v>250000</v>
      </c>
      <c r="N52" s="6">
        <f t="shared" si="6"/>
        <v>250000</v>
      </c>
      <c r="Q52" s="8"/>
    </row>
    <row r="53" spans="1:17" x14ac:dyDescent="0.25">
      <c r="A53" s="72" t="s">
        <v>366</v>
      </c>
      <c r="Q53" s="8"/>
    </row>
    <row r="54" spans="1:17" x14ac:dyDescent="0.25">
      <c r="A54" s="72" t="s">
        <v>367</v>
      </c>
      <c r="Q54" s="8"/>
    </row>
    <row r="55" spans="1:17" x14ac:dyDescent="0.25">
      <c r="A55" s="72" t="s">
        <v>1</v>
      </c>
      <c r="Q55" s="8"/>
    </row>
    <row r="56" spans="1:17" x14ac:dyDescent="0.25">
      <c r="Q56" s="8"/>
    </row>
    <row r="57" spans="1:17" x14ac:dyDescent="0.25">
      <c r="Q57" s="8"/>
    </row>
    <row r="58" spans="1:17" x14ac:dyDescent="0.25">
      <c r="A58" t="s">
        <v>55</v>
      </c>
      <c r="Q58" s="8"/>
    </row>
    <row r="59" spans="1:17" x14ac:dyDescent="0.25">
      <c r="A59" t="s">
        <v>56</v>
      </c>
      <c r="P59" s="6"/>
      <c r="Q59" s="8"/>
    </row>
    <row r="60" spans="1:17" x14ac:dyDescent="0.25">
      <c r="A60" t="s">
        <v>370</v>
      </c>
    </row>
    <row r="61" spans="1:17" x14ac:dyDescent="0.25">
      <c r="A61" t="s">
        <v>57</v>
      </c>
    </row>
    <row r="62" spans="1:17" x14ac:dyDescent="0.25">
      <c r="A62" t="s">
        <v>244</v>
      </c>
    </row>
    <row r="63" spans="1:17" x14ac:dyDescent="0.25">
      <c r="A63" t="s">
        <v>58</v>
      </c>
    </row>
    <row r="64" spans="1:17" x14ac:dyDescent="0.25">
      <c r="A64" t="s">
        <v>59</v>
      </c>
    </row>
  </sheetData>
  <customSheetViews>
    <customSheetView guid="{BB410D8C-36DE-400F-AB69-DB51CF9CA663}" fitToPage="1" state="hidden">
      <selection activeCell="G68" sqref="G68"/>
      <pageMargins left="0.4" right="0.4" top="0.4" bottom="0.4" header="0" footer="0"/>
      <pageSetup scale="46" orientation="portrait" r:id="rId1"/>
    </customSheetView>
  </customSheetViews>
  <pageMargins left="0.4" right="0.4" top="0.4" bottom="0.4" header="0" footer="0"/>
  <pageSetup scale="46"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01"/>
  <sheetViews>
    <sheetView zoomScale="70" zoomScaleNormal="70" workbookViewId="0">
      <selection activeCell="A3" sqref="A3"/>
    </sheetView>
  </sheetViews>
  <sheetFormatPr defaultColWidth="9.140625" defaultRowHeight="15" outlineLevelRow="1" x14ac:dyDescent="0.25"/>
  <cols>
    <col min="1" max="1" width="13.140625" style="43" bestFit="1" customWidth="1"/>
    <col min="2" max="2" width="93.28515625" style="40" bestFit="1" customWidth="1"/>
    <col min="3" max="3" width="29.7109375" style="40" bestFit="1" customWidth="1"/>
    <col min="4" max="4" width="18.28515625" style="40" bestFit="1" customWidth="1"/>
    <col min="5" max="5" width="11.5703125" style="40" bestFit="1" customWidth="1"/>
    <col min="6" max="6" width="3.7109375" style="40" customWidth="1"/>
    <col min="7" max="7" width="13.140625" style="40" bestFit="1" customWidth="1"/>
    <col min="8" max="8" width="11.28515625" style="41" bestFit="1" customWidth="1"/>
    <col min="9" max="10" width="12.42578125" style="40" bestFit="1" customWidth="1"/>
    <col min="11" max="11" width="11.28515625" style="40" bestFit="1" customWidth="1"/>
    <col min="12" max="16384" width="9.140625" style="40"/>
  </cols>
  <sheetData>
    <row r="1" spans="1:12" ht="21" x14ac:dyDescent="0.35">
      <c r="A1" s="39" t="s">
        <v>62</v>
      </c>
    </row>
    <row r="2" spans="1:12" ht="21" x14ac:dyDescent="0.35">
      <c r="A2" s="39" t="s">
        <v>281</v>
      </c>
    </row>
    <row r="3" spans="1:12" ht="21" x14ac:dyDescent="0.35">
      <c r="A3" s="67" t="s">
        <v>309</v>
      </c>
    </row>
    <row r="4" spans="1:12" x14ac:dyDescent="0.25">
      <c r="A4" s="42"/>
    </row>
    <row r="5" spans="1:12" x14ac:dyDescent="0.25">
      <c r="A5" s="42"/>
    </row>
    <row r="6" spans="1:12" hidden="1" outlineLevel="1" x14ac:dyDescent="0.25">
      <c r="G6" s="44">
        <v>5</v>
      </c>
      <c r="H6" s="45">
        <v>6</v>
      </c>
      <c r="I6" s="44">
        <v>7</v>
      </c>
      <c r="J6" s="44">
        <v>8</v>
      </c>
      <c r="K6" s="44">
        <v>9</v>
      </c>
    </row>
    <row r="7" spans="1:12" collapsed="1" x14ac:dyDescent="0.25">
      <c r="A7" s="46" t="s">
        <v>206</v>
      </c>
      <c r="B7" s="46" t="s">
        <v>274</v>
      </c>
      <c r="C7" s="46" t="s">
        <v>246</v>
      </c>
      <c r="D7" s="46" t="s">
        <v>275</v>
      </c>
      <c r="E7" s="46" t="s">
        <v>270</v>
      </c>
      <c r="G7" s="46" t="s">
        <v>3</v>
      </c>
      <c r="H7" s="47" t="s">
        <v>284</v>
      </c>
      <c r="I7" s="46" t="s">
        <v>19</v>
      </c>
      <c r="J7" s="46" t="s">
        <v>16</v>
      </c>
      <c r="K7" s="46" t="s">
        <v>285</v>
      </c>
    </row>
    <row r="8" spans="1:12" x14ac:dyDescent="0.25">
      <c r="E8" s="43"/>
    </row>
    <row r="9" spans="1:12" x14ac:dyDescent="0.25">
      <c r="A9" s="48" t="s">
        <v>208</v>
      </c>
      <c r="B9" s="40" t="s">
        <v>207</v>
      </c>
      <c r="C9" s="40" t="s">
        <v>101</v>
      </c>
      <c r="D9" s="40" t="s">
        <v>271</v>
      </c>
      <c r="E9" s="43" t="s">
        <v>16</v>
      </c>
      <c r="G9" s="49">
        <f>IF(ISNA(VLOOKUP($B9,'Other Capital Needs'!$C$51:$P$95,G$6,0)),0,VLOOKUP($B9,'Other Capital Needs'!$C$51:$P$95,G$6,0))+IF(ISNA(VLOOKUP('Project Details by Yr'!$B9,'Public Grounds'!$A$11:$N$49,G$6,0)),0,VLOOKUP('Project Details by Yr'!$B9,'Public Grounds'!$A$11:$N$49,G$6,0))+IF(ISNA(VLOOKUP('Project Details by Yr'!$B9,'Public Buildings'!$A$10:$N$96,G$6,0)),0,VLOOKUP('Project Details by Yr'!$B9,'Public Buildings'!$A$10:$N$96,G$6,0))+IF(ISNA(VLOOKUP('Project Details by Yr'!$B9,Bridges!$A$9:$N$24,G$6,0)),0,VLOOKUP('Project Details by Yr'!$B9,Bridges!$A$9:$N$24,G$6,0))+IF(ISNA(VLOOKUP('Project Details by Yr'!$B9,'Parking Lots &amp; Playgrounds'!$A$9:$N$33,G$6,0)),0,VLOOKUP('Project Details by Yr'!$B9,'Parking Lots &amp; Playgrounds'!$A$9:$N$33,G$6,0))+IF(ISNA(VLOOKUP($B9,Vehicles!$B$9:$O$50,G$6,0)),0,VLOOKUP($B9,Vehicles!$B$9:$O$50,G$6,0))</f>
        <v>0</v>
      </c>
      <c r="H9" s="50"/>
      <c r="I9" s="49">
        <f t="shared" ref="I9:I70" si="0">IF($H9=1,IF($E9="Bond",$G9,0),0)</f>
        <v>0</v>
      </c>
      <c r="J9" s="49">
        <f t="shared" ref="J9:J70" si="1">IF($H9=1,IF($E9="GF",$G9,0),0)</f>
        <v>0</v>
      </c>
      <c r="K9" s="49">
        <f t="shared" ref="K9:K70" si="2">IF($H9=1,IF($E9="Grant",$G9,0),0)</f>
        <v>0</v>
      </c>
    </row>
    <row r="10" spans="1:12" x14ac:dyDescent="0.25">
      <c r="A10" s="48" t="s">
        <v>208</v>
      </c>
      <c r="B10" s="40" t="s">
        <v>283</v>
      </c>
      <c r="C10" s="40" t="s">
        <v>101</v>
      </c>
      <c r="D10" s="40" t="s">
        <v>271</v>
      </c>
      <c r="E10" s="43" t="s">
        <v>16</v>
      </c>
      <c r="G10" s="49">
        <f>IF(ISNA(VLOOKUP($B10,'Other Capital Needs'!$C$51:$P$95,G$6,0)),0,VLOOKUP($B10,'Other Capital Needs'!$C$51:$P$95,G$6,0))+IF(ISNA(VLOOKUP('Project Details by Yr'!$B10,'Public Grounds'!$A$11:$N$49,G$6,0)),0,VLOOKUP('Project Details by Yr'!$B10,'Public Grounds'!$A$11:$N$49,G$6,0))+IF(ISNA(VLOOKUP('Project Details by Yr'!$B10,'Public Buildings'!$A$10:$N$96,G$6,0)),0,VLOOKUP('Project Details by Yr'!$B10,'Public Buildings'!$A$10:$N$96,G$6,0))+IF(ISNA(VLOOKUP('Project Details by Yr'!$B10,Bridges!$A$9:$N$24,G$6,0)),0,VLOOKUP('Project Details by Yr'!$B10,Bridges!$A$9:$N$24,G$6,0))+IF(ISNA(VLOOKUP('Project Details by Yr'!$B10,'Parking Lots &amp; Playgrounds'!$A$9:$N$33,G$6,0)),0,VLOOKUP('Project Details by Yr'!$B10,'Parking Lots &amp; Playgrounds'!$A$9:$N$33,G$6,0))+IF(ISNA(VLOOKUP($B10,Vehicles!$B$9:$O$50,G$6,0)),0,VLOOKUP($B10,Vehicles!$B$9:$O$50,G$6,0))</f>
        <v>0</v>
      </c>
      <c r="H10" s="50"/>
      <c r="I10" s="49">
        <f t="shared" si="0"/>
        <v>0</v>
      </c>
      <c r="J10" s="51">
        <f t="shared" si="1"/>
        <v>0</v>
      </c>
      <c r="K10" s="49">
        <f t="shared" si="2"/>
        <v>0</v>
      </c>
    </row>
    <row r="11" spans="1:12" x14ac:dyDescent="0.25">
      <c r="A11" s="48" t="s">
        <v>210</v>
      </c>
      <c r="B11" s="40" t="s">
        <v>204</v>
      </c>
      <c r="C11" s="40" t="s">
        <v>101</v>
      </c>
      <c r="D11" s="40" t="s">
        <v>271</v>
      </c>
      <c r="E11" s="43" t="s">
        <v>16</v>
      </c>
      <c r="G11" s="49">
        <f>IF(ISNA(VLOOKUP($B11,'Other Capital Needs'!$C$51:$P$95,G$6,0)),0,VLOOKUP($B11,'Other Capital Needs'!$C$51:$P$95,G$6,0))+IF(ISNA(VLOOKUP('Project Details by Yr'!$B11,'Public Grounds'!$A$11:$N$49,G$6,0)),0,VLOOKUP('Project Details by Yr'!$B11,'Public Grounds'!$A$11:$N$49,G$6,0))+IF(ISNA(VLOOKUP('Project Details by Yr'!$B11,'Public Buildings'!$A$10:$N$96,G$6,0)),0,VLOOKUP('Project Details by Yr'!$B11,'Public Buildings'!$A$10:$N$96,G$6,0))+IF(ISNA(VLOOKUP('Project Details by Yr'!$B11,Bridges!$A$9:$N$24,G$6,0)),0,VLOOKUP('Project Details by Yr'!$B11,Bridges!$A$9:$N$24,G$6,0))+IF(ISNA(VLOOKUP('Project Details by Yr'!$B11,'Parking Lots &amp; Playgrounds'!$A$9:$N$33,G$6,0)),0,VLOOKUP('Project Details by Yr'!$B11,'Parking Lots &amp; Playgrounds'!$A$9:$N$33,G$6,0))+IF(ISNA(VLOOKUP($B11,Vehicles!$B$9:$O$50,G$6,0)),0,VLOOKUP($B11,Vehicles!$B$9:$O$50,G$6,0))</f>
        <v>100179</v>
      </c>
      <c r="H11" s="50">
        <v>1</v>
      </c>
      <c r="I11" s="49">
        <f t="shared" si="0"/>
        <v>0</v>
      </c>
      <c r="J11" s="49">
        <f t="shared" si="1"/>
        <v>100179</v>
      </c>
      <c r="K11" s="49">
        <f t="shared" si="2"/>
        <v>0</v>
      </c>
    </row>
    <row r="12" spans="1:12" x14ac:dyDescent="0.25">
      <c r="A12" s="48" t="s">
        <v>209</v>
      </c>
      <c r="B12" s="40" t="s">
        <v>107</v>
      </c>
      <c r="C12" s="40" t="s">
        <v>101</v>
      </c>
      <c r="D12" s="40" t="s">
        <v>271</v>
      </c>
      <c r="E12" s="43" t="s">
        <v>16</v>
      </c>
      <c r="G12" s="49">
        <f>IF(ISNA(VLOOKUP($B12,'Other Capital Needs'!$C$51:$P$95,G$6,0)),0,VLOOKUP($B12,'Other Capital Needs'!$C$51:$P$95,G$6,0))+IF(ISNA(VLOOKUP('Project Details by Yr'!$B12,'Public Grounds'!$A$11:$N$49,G$6,0)),0,VLOOKUP('Project Details by Yr'!$B12,'Public Grounds'!$A$11:$N$49,G$6,0))+IF(ISNA(VLOOKUP('Project Details by Yr'!$B12,'Public Buildings'!$A$10:$N$96,G$6,0)),0,VLOOKUP('Project Details by Yr'!$B12,'Public Buildings'!$A$10:$N$96,G$6,0))+IF(ISNA(VLOOKUP('Project Details by Yr'!$B12,Bridges!$A$9:$N$24,G$6,0)),0,VLOOKUP('Project Details by Yr'!$B12,Bridges!$A$9:$N$24,G$6,0))+IF(ISNA(VLOOKUP('Project Details by Yr'!$B12,'Parking Lots &amp; Playgrounds'!$A$9:$N$33,G$6,0)),0,VLOOKUP('Project Details by Yr'!$B12,'Parking Lots &amp; Playgrounds'!$A$9:$N$33,G$6,0))+IF(ISNA(VLOOKUP($B12,Vehicles!$B$9:$O$50,G$6,0)),0,VLOOKUP($B12,Vehicles!$B$9:$O$50,G$6,0))</f>
        <v>50000</v>
      </c>
      <c r="H12" s="50">
        <v>1</v>
      </c>
      <c r="I12" s="49">
        <f t="shared" si="0"/>
        <v>0</v>
      </c>
      <c r="J12" s="49">
        <f t="shared" si="1"/>
        <v>50000</v>
      </c>
      <c r="K12" s="49">
        <f t="shared" si="2"/>
        <v>0</v>
      </c>
    </row>
    <row r="13" spans="1:12" x14ac:dyDescent="0.25">
      <c r="A13" s="43">
        <v>17</v>
      </c>
      <c r="B13" s="40" t="s">
        <v>148</v>
      </c>
      <c r="C13" s="40" t="s">
        <v>101</v>
      </c>
      <c r="D13" s="40" t="s">
        <v>271</v>
      </c>
      <c r="E13" s="43" t="s">
        <v>16</v>
      </c>
      <c r="G13" s="49">
        <f>IF(ISNA(VLOOKUP($B13,'Other Capital Needs'!$C$51:$P$95,G$6,0)),0,VLOOKUP($B13,'Other Capital Needs'!$C$51:$P$95,G$6,0))+IF(ISNA(VLOOKUP('Project Details by Yr'!$B13,'Public Grounds'!$A$11:$N$49,G$6,0)),0,VLOOKUP('Project Details by Yr'!$B13,'Public Grounds'!$A$11:$N$49,G$6,0))+IF(ISNA(VLOOKUP('Project Details by Yr'!$B13,'Public Buildings'!$A$10:$N$96,G$6,0)),0,VLOOKUP('Project Details by Yr'!$B13,'Public Buildings'!$A$10:$N$96,G$6,0))+IF(ISNA(VLOOKUP('Project Details by Yr'!$B13,Bridges!$A$9:$N$24,G$6,0)),0,VLOOKUP('Project Details by Yr'!$B13,Bridges!$A$9:$N$24,G$6,0))+IF(ISNA(VLOOKUP('Project Details by Yr'!$B13,'Parking Lots &amp; Playgrounds'!$A$9:$N$33,G$6,0)),0,VLOOKUP('Project Details by Yr'!$B13,'Parking Lots &amp; Playgrounds'!$A$9:$N$33,G$6,0))+IF(ISNA(VLOOKUP($B13,Vehicles!$B$9:$O$50,G$6,0)),0,VLOOKUP($B13,Vehicles!$B$9:$O$50,G$6,0))</f>
        <v>0</v>
      </c>
      <c r="H13" s="50"/>
      <c r="I13" s="49">
        <f t="shared" si="0"/>
        <v>0</v>
      </c>
      <c r="J13" s="49">
        <f t="shared" si="1"/>
        <v>0</v>
      </c>
      <c r="K13" s="49">
        <f t="shared" si="2"/>
        <v>0</v>
      </c>
      <c r="L13" s="52"/>
    </row>
    <row r="14" spans="1:12" x14ac:dyDescent="0.25">
      <c r="A14" s="43">
        <v>31</v>
      </c>
      <c r="B14" s="40" t="s">
        <v>151</v>
      </c>
      <c r="C14" s="40" t="s">
        <v>101</v>
      </c>
      <c r="D14" s="40" t="s">
        <v>271</v>
      </c>
      <c r="E14" s="43" t="s">
        <v>16</v>
      </c>
      <c r="G14" s="49">
        <f>IF(ISNA(VLOOKUP($B14,'Other Capital Needs'!$C$51:$P$95,G$6,0)),0,VLOOKUP($B14,'Other Capital Needs'!$C$51:$P$95,G$6,0))+IF(ISNA(VLOOKUP('Project Details by Yr'!$B14,'Public Grounds'!$A$11:$N$49,G$6,0)),0,VLOOKUP('Project Details by Yr'!$B14,'Public Grounds'!$A$11:$N$49,G$6,0))+IF(ISNA(VLOOKUP('Project Details by Yr'!$B14,'Public Buildings'!$A$10:$N$96,G$6,0)),0,VLOOKUP('Project Details by Yr'!$B14,'Public Buildings'!$A$10:$N$96,G$6,0))+IF(ISNA(VLOOKUP('Project Details by Yr'!$B14,Bridges!$A$9:$N$24,G$6,0)),0,VLOOKUP('Project Details by Yr'!$B14,Bridges!$A$9:$N$24,G$6,0))+IF(ISNA(VLOOKUP('Project Details by Yr'!$B14,'Parking Lots &amp; Playgrounds'!$A$9:$N$33,G$6,0)),0,VLOOKUP('Project Details by Yr'!$B14,'Parking Lots &amp; Playgrounds'!$A$9:$N$33,G$6,0))+IF(ISNA(VLOOKUP($B14,Vehicles!$B$9:$O$50,G$6,0)),0,VLOOKUP($B14,Vehicles!$B$9:$O$50,G$6,0))</f>
        <v>0</v>
      </c>
      <c r="H14" s="50"/>
      <c r="I14" s="49">
        <f t="shared" si="0"/>
        <v>0</v>
      </c>
      <c r="J14" s="49">
        <f t="shared" si="1"/>
        <v>0</v>
      </c>
      <c r="K14" s="49">
        <f t="shared" si="2"/>
        <v>0</v>
      </c>
      <c r="L14" s="52"/>
    </row>
    <row r="15" spans="1:12" x14ac:dyDescent="0.25">
      <c r="A15" s="43">
        <v>31</v>
      </c>
      <c r="B15" s="40" t="s">
        <v>153</v>
      </c>
      <c r="C15" s="40" t="s">
        <v>101</v>
      </c>
      <c r="D15" s="40" t="s">
        <v>271</v>
      </c>
      <c r="E15" s="43" t="s">
        <v>16</v>
      </c>
      <c r="G15" s="49">
        <f>IF(ISNA(VLOOKUP($B15,'Other Capital Needs'!$C$51:$P$95,G$6,0)),0,VLOOKUP($B15,'Other Capital Needs'!$C$51:$P$95,G$6,0))+IF(ISNA(VLOOKUP('Project Details by Yr'!$B15,'Public Grounds'!$A$11:$N$49,G$6,0)),0,VLOOKUP('Project Details by Yr'!$B15,'Public Grounds'!$A$11:$N$49,G$6,0))+IF(ISNA(VLOOKUP('Project Details by Yr'!$B15,'Public Buildings'!$A$10:$N$96,G$6,0)),0,VLOOKUP('Project Details by Yr'!$B15,'Public Buildings'!$A$10:$N$96,G$6,0))+IF(ISNA(VLOOKUP('Project Details by Yr'!$B15,Bridges!$A$9:$N$24,G$6,0)),0,VLOOKUP('Project Details by Yr'!$B15,Bridges!$A$9:$N$24,G$6,0))+IF(ISNA(VLOOKUP('Project Details by Yr'!$B15,'Parking Lots &amp; Playgrounds'!$A$9:$N$33,G$6,0)),0,VLOOKUP('Project Details by Yr'!$B15,'Parking Lots &amp; Playgrounds'!$A$9:$N$33,G$6,0))+IF(ISNA(VLOOKUP($B15,Vehicles!$B$9:$O$50,G$6,0)),0,VLOOKUP($B15,Vehicles!$B$9:$O$50,G$6,0))</f>
        <v>0</v>
      </c>
      <c r="H15" s="50"/>
      <c r="I15" s="49">
        <f t="shared" si="0"/>
        <v>0</v>
      </c>
      <c r="J15" s="49">
        <f t="shared" si="1"/>
        <v>0</v>
      </c>
      <c r="K15" s="49">
        <f t="shared" si="2"/>
        <v>0</v>
      </c>
      <c r="L15" s="52" t="s">
        <v>305</v>
      </c>
    </row>
    <row r="16" spans="1:12" x14ac:dyDescent="0.25">
      <c r="A16" s="43">
        <v>31</v>
      </c>
      <c r="B16" s="40" t="s">
        <v>155</v>
      </c>
      <c r="C16" s="40" t="s">
        <v>101</v>
      </c>
      <c r="D16" s="40" t="s">
        <v>271</v>
      </c>
      <c r="E16" s="43" t="s">
        <v>16</v>
      </c>
      <c r="G16" s="49">
        <f>IF(ISNA(VLOOKUP($B16,'Other Capital Needs'!$C$51:$P$95,G$6,0)),0,VLOOKUP($B16,'Other Capital Needs'!$C$51:$P$95,G$6,0))+IF(ISNA(VLOOKUP('Project Details by Yr'!$B16,'Public Grounds'!$A$11:$N$49,G$6,0)),0,VLOOKUP('Project Details by Yr'!$B16,'Public Grounds'!$A$11:$N$49,G$6,0))+IF(ISNA(VLOOKUP('Project Details by Yr'!$B16,'Public Buildings'!$A$10:$N$96,G$6,0)),0,VLOOKUP('Project Details by Yr'!$B16,'Public Buildings'!$A$10:$N$96,G$6,0))+IF(ISNA(VLOOKUP('Project Details by Yr'!$B16,Bridges!$A$9:$N$24,G$6,0)),0,VLOOKUP('Project Details by Yr'!$B16,Bridges!$A$9:$N$24,G$6,0))+IF(ISNA(VLOOKUP('Project Details by Yr'!$B16,'Parking Lots &amp; Playgrounds'!$A$9:$N$33,G$6,0)),0,VLOOKUP('Project Details by Yr'!$B16,'Parking Lots &amp; Playgrounds'!$A$9:$N$33,G$6,0))+IF(ISNA(VLOOKUP($B16,Vehicles!$B$9:$O$50,G$6,0)),0,VLOOKUP($B16,Vehicles!$B$9:$O$50,G$6,0))</f>
        <v>0</v>
      </c>
      <c r="H16" s="50"/>
      <c r="I16" s="49">
        <f t="shared" si="0"/>
        <v>0</v>
      </c>
      <c r="J16" s="49">
        <f t="shared" si="1"/>
        <v>0</v>
      </c>
      <c r="K16" s="49">
        <f t="shared" si="2"/>
        <v>0</v>
      </c>
      <c r="L16" s="52" t="s">
        <v>305</v>
      </c>
    </row>
    <row r="17" spans="1:14" x14ac:dyDescent="0.25">
      <c r="A17" s="43">
        <v>31</v>
      </c>
      <c r="B17" s="40" t="s">
        <v>156</v>
      </c>
      <c r="C17" s="40" t="s">
        <v>101</v>
      </c>
      <c r="D17" s="40" t="s">
        <v>271</v>
      </c>
      <c r="E17" s="43" t="s">
        <v>16</v>
      </c>
      <c r="G17" s="49">
        <f>IF(ISNA(VLOOKUP($B17,'Other Capital Needs'!$C$51:$P$95,G$6,0)),0,VLOOKUP($B17,'Other Capital Needs'!$C$51:$P$95,G$6,0))+IF(ISNA(VLOOKUP('Project Details by Yr'!$B17,'Public Grounds'!$A$11:$N$49,G$6,0)),0,VLOOKUP('Project Details by Yr'!$B17,'Public Grounds'!$A$11:$N$49,G$6,0))+IF(ISNA(VLOOKUP('Project Details by Yr'!$B17,'Public Buildings'!$A$10:$N$96,G$6,0)),0,VLOOKUP('Project Details by Yr'!$B17,'Public Buildings'!$A$10:$N$96,G$6,0))+IF(ISNA(VLOOKUP('Project Details by Yr'!$B17,Bridges!$A$9:$N$24,G$6,0)),0,VLOOKUP('Project Details by Yr'!$B17,Bridges!$A$9:$N$24,G$6,0))+IF(ISNA(VLOOKUP('Project Details by Yr'!$B17,'Parking Lots &amp; Playgrounds'!$A$9:$N$33,G$6,0)),0,VLOOKUP('Project Details by Yr'!$B17,'Parking Lots &amp; Playgrounds'!$A$9:$N$33,G$6,0))+IF(ISNA(VLOOKUP($B17,Vehicles!$B$9:$O$50,G$6,0)),0,VLOOKUP($B17,Vehicles!$B$9:$O$50,G$6,0))</f>
        <v>0</v>
      </c>
      <c r="H17" s="50"/>
      <c r="I17" s="49">
        <f t="shared" si="0"/>
        <v>0</v>
      </c>
      <c r="J17" s="49">
        <f t="shared" si="1"/>
        <v>0</v>
      </c>
      <c r="K17" s="49">
        <f t="shared" si="2"/>
        <v>0</v>
      </c>
      <c r="L17" s="52" t="s">
        <v>305</v>
      </c>
    </row>
    <row r="18" spans="1:14" x14ac:dyDescent="0.25">
      <c r="A18" s="53">
        <v>32</v>
      </c>
      <c r="B18" s="54" t="s">
        <v>165</v>
      </c>
      <c r="C18" s="40" t="s">
        <v>101</v>
      </c>
      <c r="D18" s="40" t="s">
        <v>271</v>
      </c>
      <c r="E18" s="53" t="s">
        <v>16</v>
      </c>
      <c r="G18" s="49">
        <f>IF(ISNA(VLOOKUP($B18,'Other Capital Needs'!$C$51:$P$95,G$6,0)),0,VLOOKUP($B18,'Other Capital Needs'!$C$51:$P$95,G$6,0))+IF(ISNA(VLOOKUP('Project Details by Yr'!$B18,'Public Grounds'!$A$11:$N$49,G$6,0)),0,VLOOKUP('Project Details by Yr'!$B18,'Public Grounds'!$A$11:$N$49,G$6,0))+IF(ISNA(VLOOKUP('Project Details by Yr'!$B18,'Public Buildings'!$A$10:$N$96,G$6,0)),0,VLOOKUP('Project Details by Yr'!$B18,'Public Buildings'!$A$10:$N$96,G$6,0))+IF(ISNA(VLOOKUP('Project Details by Yr'!$B18,Bridges!$A$9:$N$24,G$6,0)),0,VLOOKUP('Project Details by Yr'!$B18,Bridges!$A$9:$N$24,G$6,0))+IF(ISNA(VLOOKUP('Project Details by Yr'!$B18,'Parking Lots &amp; Playgrounds'!$A$9:$N$33,G$6,0)),0,VLOOKUP('Project Details by Yr'!$B18,'Parking Lots &amp; Playgrounds'!$A$9:$N$33,G$6,0))+IF(ISNA(VLOOKUP($B18,Vehicles!$B$9:$O$50,G$6,0)),0,VLOOKUP($B18,Vehicles!$B$9:$O$50,G$6,0))</f>
        <v>0</v>
      </c>
      <c r="H18" s="50">
        <v>1</v>
      </c>
      <c r="I18" s="49">
        <f t="shared" si="0"/>
        <v>0</v>
      </c>
      <c r="J18" s="49">
        <f t="shared" si="1"/>
        <v>0</v>
      </c>
      <c r="K18" s="49">
        <f t="shared" si="2"/>
        <v>0</v>
      </c>
    </row>
    <row r="19" spans="1:14" x14ac:dyDescent="0.25">
      <c r="A19" s="53">
        <v>32</v>
      </c>
      <c r="B19" s="54" t="s">
        <v>166</v>
      </c>
      <c r="C19" s="40" t="s">
        <v>101</v>
      </c>
      <c r="D19" s="40" t="s">
        <v>271</v>
      </c>
      <c r="E19" s="53" t="s">
        <v>16</v>
      </c>
      <c r="G19" s="49">
        <f>IF(ISNA(VLOOKUP($B19,'Other Capital Needs'!$C$51:$P$95,G$6,0)),0,VLOOKUP($B19,'Other Capital Needs'!$C$51:$P$95,G$6,0))+IF(ISNA(VLOOKUP('Project Details by Yr'!$B19,'Public Grounds'!$A$11:$N$49,G$6,0)),0,VLOOKUP('Project Details by Yr'!$B19,'Public Grounds'!$A$11:$N$49,G$6,0))+IF(ISNA(VLOOKUP('Project Details by Yr'!$B19,'Public Buildings'!$A$10:$N$96,G$6,0)),0,VLOOKUP('Project Details by Yr'!$B19,'Public Buildings'!$A$10:$N$96,G$6,0))+IF(ISNA(VLOOKUP('Project Details by Yr'!$B19,Bridges!$A$9:$N$24,G$6,0)),0,VLOOKUP('Project Details by Yr'!$B19,Bridges!$A$9:$N$24,G$6,0))+IF(ISNA(VLOOKUP('Project Details by Yr'!$B19,'Parking Lots &amp; Playgrounds'!$A$9:$N$33,G$6,0)),0,VLOOKUP('Project Details by Yr'!$B19,'Parking Lots &amp; Playgrounds'!$A$9:$N$33,G$6,0))+IF(ISNA(VLOOKUP($B19,Vehicles!$B$9:$O$50,G$6,0)),0,VLOOKUP($B19,Vehicles!$B$9:$O$50,G$6,0))</f>
        <v>0</v>
      </c>
      <c r="H19" s="50">
        <v>1</v>
      </c>
      <c r="I19" s="49">
        <f t="shared" si="0"/>
        <v>0</v>
      </c>
      <c r="J19" s="49">
        <f t="shared" si="1"/>
        <v>0</v>
      </c>
      <c r="K19" s="49">
        <f t="shared" si="2"/>
        <v>0</v>
      </c>
    </row>
    <row r="20" spans="1:14" x14ac:dyDescent="0.25">
      <c r="A20" s="53">
        <v>32</v>
      </c>
      <c r="B20" s="54" t="s">
        <v>167</v>
      </c>
      <c r="C20" s="40" t="s">
        <v>101</v>
      </c>
      <c r="D20" s="40" t="s">
        <v>271</v>
      </c>
      <c r="E20" s="53" t="s">
        <v>16</v>
      </c>
      <c r="G20" s="49">
        <f>IF(ISNA(VLOOKUP($B20,'Other Capital Needs'!$C$51:$P$95,G$6,0)),0,VLOOKUP($B20,'Other Capital Needs'!$C$51:$P$95,G$6,0))+IF(ISNA(VLOOKUP('Project Details by Yr'!$B20,'Public Grounds'!$A$11:$N$49,G$6,0)),0,VLOOKUP('Project Details by Yr'!$B20,'Public Grounds'!$A$11:$N$49,G$6,0))+IF(ISNA(VLOOKUP('Project Details by Yr'!$B20,'Public Buildings'!$A$10:$N$96,G$6,0)),0,VLOOKUP('Project Details by Yr'!$B20,'Public Buildings'!$A$10:$N$96,G$6,0))+IF(ISNA(VLOOKUP('Project Details by Yr'!$B20,Bridges!$A$9:$N$24,G$6,0)),0,VLOOKUP('Project Details by Yr'!$B20,Bridges!$A$9:$N$24,G$6,0))+IF(ISNA(VLOOKUP('Project Details by Yr'!$B20,'Parking Lots &amp; Playgrounds'!$A$9:$N$33,G$6,0)),0,VLOOKUP('Project Details by Yr'!$B20,'Parking Lots &amp; Playgrounds'!$A$9:$N$33,G$6,0))+IF(ISNA(VLOOKUP($B20,Vehicles!$B$9:$O$50,G$6,0)),0,VLOOKUP($B20,Vehicles!$B$9:$O$50,G$6,0))</f>
        <v>0</v>
      </c>
      <c r="H20" s="50">
        <v>1</v>
      </c>
      <c r="I20" s="49">
        <f t="shared" si="0"/>
        <v>0</v>
      </c>
      <c r="J20" s="49">
        <f t="shared" si="1"/>
        <v>0</v>
      </c>
      <c r="K20" s="49">
        <f t="shared" si="2"/>
        <v>0</v>
      </c>
    </row>
    <row r="21" spans="1:14" x14ac:dyDescent="0.25">
      <c r="A21" s="53">
        <v>32</v>
      </c>
      <c r="B21" s="54" t="s">
        <v>168</v>
      </c>
      <c r="C21" s="40" t="s">
        <v>101</v>
      </c>
      <c r="D21" s="40" t="s">
        <v>271</v>
      </c>
      <c r="E21" s="53" t="s">
        <v>16</v>
      </c>
      <c r="G21" s="49">
        <f>IF(ISNA(VLOOKUP($B21,'Other Capital Needs'!$C$51:$P$95,G$6,0)),0,VLOOKUP($B21,'Other Capital Needs'!$C$51:$P$95,G$6,0))+IF(ISNA(VLOOKUP('Project Details by Yr'!$B21,'Public Grounds'!$A$11:$N$49,G$6,0)),0,VLOOKUP('Project Details by Yr'!$B21,'Public Grounds'!$A$11:$N$49,G$6,0))+IF(ISNA(VLOOKUP('Project Details by Yr'!$B21,'Public Buildings'!$A$10:$N$96,G$6,0)),0,VLOOKUP('Project Details by Yr'!$B21,'Public Buildings'!$A$10:$N$96,G$6,0))+IF(ISNA(VLOOKUP('Project Details by Yr'!$B21,Bridges!$A$9:$N$24,G$6,0)),0,VLOOKUP('Project Details by Yr'!$B21,Bridges!$A$9:$N$24,G$6,0))+IF(ISNA(VLOOKUP('Project Details by Yr'!$B21,'Parking Lots &amp; Playgrounds'!$A$9:$N$33,G$6,0)),0,VLOOKUP('Project Details by Yr'!$B21,'Parking Lots &amp; Playgrounds'!$A$9:$N$33,G$6,0))+IF(ISNA(VLOOKUP($B21,Vehicles!$B$9:$O$50,G$6,0)),0,VLOOKUP($B21,Vehicles!$B$9:$O$50,G$6,0))</f>
        <v>0</v>
      </c>
      <c r="H21" s="50">
        <v>1</v>
      </c>
      <c r="I21" s="49">
        <f t="shared" si="0"/>
        <v>0</v>
      </c>
      <c r="J21" s="49">
        <f t="shared" si="1"/>
        <v>0</v>
      </c>
      <c r="K21" s="49">
        <f t="shared" si="2"/>
        <v>0</v>
      </c>
      <c r="M21" s="52" t="s">
        <v>294</v>
      </c>
    </row>
    <row r="22" spans="1:14" x14ac:dyDescent="0.25">
      <c r="A22" s="53">
        <v>32</v>
      </c>
      <c r="B22" s="54" t="s">
        <v>169</v>
      </c>
      <c r="C22" s="40" t="s">
        <v>101</v>
      </c>
      <c r="D22" s="40" t="s">
        <v>271</v>
      </c>
      <c r="E22" s="53" t="s">
        <v>16</v>
      </c>
      <c r="G22" s="49">
        <f>IF(ISNA(VLOOKUP($B22,'Other Capital Needs'!$C$51:$P$95,G$6,0)),0,VLOOKUP($B22,'Other Capital Needs'!$C$51:$P$95,G$6,0))+IF(ISNA(VLOOKUP('Project Details by Yr'!$B22,'Public Grounds'!$A$11:$N$49,G$6,0)),0,VLOOKUP('Project Details by Yr'!$B22,'Public Grounds'!$A$11:$N$49,G$6,0))+IF(ISNA(VLOOKUP('Project Details by Yr'!$B22,'Public Buildings'!$A$10:$N$96,G$6,0)),0,VLOOKUP('Project Details by Yr'!$B22,'Public Buildings'!$A$10:$N$96,G$6,0))+IF(ISNA(VLOOKUP('Project Details by Yr'!$B22,Bridges!$A$9:$N$24,G$6,0)),0,VLOOKUP('Project Details by Yr'!$B22,Bridges!$A$9:$N$24,G$6,0))+IF(ISNA(VLOOKUP('Project Details by Yr'!$B22,'Parking Lots &amp; Playgrounds'!$A$9:$N$33,G$6,0)),0,VLOOKUP('Project Details by Yr'!$B22,'Parking Lots &amp; Playgrounds'!$A$9:$N$33,G$6,0))+IF(ISNA(VLOOKUP($B22,Vehicles!$B$9:$O$50,G$6,0)),0,VLOOKUP($B22,Vehicles!$B$9:$O$50,G$6,0))</f>
        <v>0</v>
      </c>
      <c r="H22" s="50">
        <v>1</v>
      </c>
      <c r="I22" s="49">
        <f t="shared" si="0"/>
        <v>0</v>
      </c>
      <c r="J22" s="49">
        <f t="shared" si="1"/>
        <v>0</v>
      </c>
      <c r="K22" s="49">
        <f t="shared" si="2"/>
        <v>0</v>
      </c>
    </row>
    <row r="23" spans="1:14" x14ac:dyDescent="0.25">
      <c r="A23" s="53">
        <v>32</v>
      </c>
      <c r="B23" s="54" t="s">
        <v>173</v>
      </c>
      <c r="C23" s="40" t="s">
        <v>101</v>
      </c>
      <c r="D23" s="40" t="s">
        <v>271</v>
      </c>
      <c r="E23" s="53" t="s">
        <v>16</v>
      </c>
      <c r="G23" s="49">
        <f>IF(ISNA(VLOOKUP($B23,'Other Capital Needs'!$C$51:$P$95,G$6,0)),0,VLOOKUP($B23,'Other Capital Needs'!$C$51:$P$95,G$6,0))+IF(ISNA(VLOOKUP('Project Details by Yr'!$B23,'Public Grounds'!$A$11:$N$49,G$6,0)),0,VLOOKUP('Project Details by Yr'!$B23,'Public Grounds'!$A$11:$N$49,G$6,0))+IF(ISNA(VLOOKUP('Project Details by Yr'!$B23,'Public Buildings'!$A$10:$N$96,G$6,0)),0,VLOOKUP('Project Details by Yr'!$B23,'Public Buildings'!$A$10:$N$96,G$6,0))+IF(ISNA(VLOOKUP('Project Details by Yr'!$B23,Bridges!$A$9:$N$24,G$6,0)),0,VLOOKUP('Project Details by Yr'!$B23,Bridges!$A$9:$N$24,G$6,0))+IF(ISNA(VLOOKUP('Project Details by Yr'!$B23,'Parking Lots &amp; Playgrounds'!$A$9:$N$33,G$6,0)),0,VLOOKUP('Project Details by Yr'!$B23,'Parking Lots &amp; Playgrounds'!$A$9:$N$33,G$6,0))+IF(ISNA(VLOOKUP($B23,Vehicles!$B$9:$O$50,G$6,0)),0,VLOOKUP($B23,Vehicles!$B$9:$O$50,G$6,0))</f>
        <v>138000</v>
      </c>
      <c r="H23" s="50">
        <v>1</v>
      </c>
      <c r="I23" s="49">
        <f t="shared" si="0"/>
        <v>0</v>
      </c>
      <c r="J23" s="49">
        <f t="shared" si="1"/>
        <v>138000</v>
      </c>
      <c r="K23" s="49">
        <f t="shared" si="2"/>
        <v>0</v>
      </c>
    </row>
    <row r="24" spans="1:14" x14ac:dyDescent="0.25">
      <c r="A24" s="53">
        <v>32</v>
      </c>
      <c r="B24" s="54" t="s">
        <v>175</v>
      </c>
      <c r="C24" s="54" t="s">
        <v>101</v>
      </c>
      <c r="D24" s="54" t="s">
        <v>271</v>
      </c>
      <c r="E24" s="53" t="s">
        <v>16</v>
      </c>
      <c r="F24" s="54"/>
      <c r="G24" s="49">
        <f>IF(ISNA(VLOOKUP($B24,'Other Capital Needs'!$C$51:$P$95,G$6,0)),0,VLOOKUP($B24,'Other Capital Needs'!$C$51:$P$95,G$6,0))+IF(ISNA(VLOOKUP('Project Details by Yr'!$B24,'Public Grounds'!$A$11:$N$49,G$6,0)),0,VLOOKUP('Project Details by Yr'!$B24,'Public Grounds'!$A$11:$N$49,G$6,0))+IF(ISNA(VLOOKUP('Project Details by Yr'!$B24,'Public Buildings'!$A$10:$N$96,G$6,0)),0,VLOOKUP('Project Details by Yr'!$B24,'Public Buildings'!$A$10:$N$96,G$6,0))+IF(ISNA(VLOOKUP('Project Details by Yr'!$B24,Bridges!$A$9:$N$24,G$6,0)),0,VLOOKUP('Project Details by Yr'!$B24,Bridges!$A$9:$N$24,G$6,0))+IF(ISNA(VLOOKUP('Project Details by Yr'!$B24,'Parking Lots &amp; Playgrounds'!$A$9:$N$33,G$6,0)),0,VLOOKUP('Project Details by Yr'!$B24,'Parking Lots &amp; Playgrounds'!$A$9:$N$33,G$6,0))+IF(ISNA(VLOOKUP($B24,Vehicles!$B$9:$O$50,G$6,0)),0,VLOOKUP($B24,Vehicles!$B$9:$O$50,G$6,0))</f>
        <v>0</v>
      </c>
      <c r="H24" s="50">
        <v>1</v>
      </c>
      <c r="I24" s="49">
        <f t="shared" si="0"/>
        <v>0</v>
      </c>
      <c r="J24" s="49">
        <f t="shared" si="1"/>
        <v>0</v>
      </c>
      <c r="K24" s="49">
        <f t="shared" si="2"/>
        <v>0</v>
      </c>
    </row>
    <row r="25" spans="1:14" x14ac:dyDescent="0.25">
      <c r="A25" s="53">
        <v>36</v>
      </c>
      <c r="B25" s="54" t="s">
        <v>177</v>
      </c>
      <c r="C25" s="54" t="s">
        <v>101</v>
      </c>
      <c r="D25" s="54" t="s">
        <v>271</v>
      </c>
      <c r="E25" s="53" t="s">
        <v>16</v>
      </c>
      <c r="F25" s="54"/>
      <c r="G25" s="49">
        <f>IF(ISNA(VLOOKUP($B25,'Other Capital Needs'!$C$51:$P$95,G$6,0)),0,VLOOKUP($B25,'Other Capital Needs'!$C$51:$P$95,G$6,0))+IF(ISNA(VLOOKUP('Project Details by Yr'!$B25,'Public Grounds'!$A$11:$N$49,G$6,0)),0,VLOOKUP('Project Details by Yr'!$B25,'Public Grounds'!$A$11:$N$49,G$6,0))+IF(ISNA(VLOOKUP('Project Details by Yr'!$B25,'Public Buildings'!$A$10:$N$96,G$6,0)),0,VLOOKUP('Project Details by Yr'!$B25,'Public Buildings'!$A$10:$N$96,G$6,0))+IF(ISNA(VLOOKUP('Project Details by Yr'!$B25,Bridges!$A$9:$N$24,G$6,0)),0,VLOOKUP('Project Details by Yr'!$B25,Bridges!$A$9:$N$24,G$6,0))+IF(ISNA(VLOOKUP('Project Details by Yr'!$B25,'Parking Lots &amp; Playgrounds'!$A$9:$N$33,G$6,0)),0,VLOOKUP('Project Details by Yr'!$B25,'Parking Lots &amp; Playgrounds'!$A$9:$N$33,G$6,0))+IF(ISNA(VLOOKUP($B25,Vehicles!$B$9:$O$50,G$6,0)),0,VLOOKUP($B25,Vehicles!$B$9:$O$50,G$6,0))</f>
        <v>0</v>
      </c>
      <c r="H25" s="50">
        <v>1</v>
      </c>
      <c r="I25" s="49">
        <f t="shared" si="0"/>
        <v>0</v>
      </c>
      <c r="J25" s="49">
        <f t="shared" si="1"/>
        <v>0</v>
      </c>
      <c r="K25" s="49">
        <f t="shared" si="2"/>
        <v>0</v>
      </c>
    </row>
    <row r="26" spans="1:14" x14ac:dyDescent="0.25">
      <c r="A26" s="53">
        <v>36</v>
      </c>
      <c r="B26" s="54" t="s">
        <v>178</v>
      </c>
      <c r="C26" s="54" t="s">
        <v>101</v>
      </c>
      <c r="D26" s="54" t="s">
        <v>271</v>
      </c>
      <c r="E26" s="53" t="s">
        <v>16</v>
      </c>
      <c r="F26" s="54"/>
      <c r="G26" s="49">
        <f>IF(ISNA(VLOOKUP($B26,'Other Capital Needs'!$C$51:$P$95,G$6,0)),0,VLOOKUP($B26,'Other Capital Needs'!$C$51:$P$95,G$6,0))+IF(ISNA(VLOOKUP('Project Details by Yr'!$B26,'Public Grounds'!$A$11:$N$49,G$6,0)),0,VLOOKUP('Project Details by Yr'!$B26,'Public Grounds'!$A$11:$N$49,G$6,0))+IF(ISNA(VLOOKUP('Project Details by Yr'!$B26,'Public Buildings'!$A$10:$N$96,G$6,0)),0,VLOOKUP('Project Details by Yr'!$B26,'Public Buildings'!$A$10:$N$96,G$6,0))+IF(ISNA(VLOOKUP('Project Details by Yr'!$B26,Bridges!$A$9:$N$24,G$6,0)),0,VLOOKUP('Project Details by Yr'!$B26,Bridges!$A$9:$N$24,G$6,0))+IF(ISNA(VLOOKUP('Project Details by Yr'!$B26,'Parking Lots &amp; Playgrounds'!$A$9:$N$33,G$6,0)),0,VLOOKUP('Project Details by Yr'!$B26,'Parking Lots &amp; Playgrounds'!$A$9:$N$33,G$6,0))+IF(ISNA(VLOOKUP($B26,Vehicles!$B$9:$O$50,G$6,0)),0,VLOOKUP($B26,Vehicles!$B$9:$O$50,G$6,0))</f>
        <v>50000</v>
      </c>
      <c r="H26" s="50">
        <v>1</v>
      </c>
      <c r="I26" s="49">
        <f t="shared" si="0"/>
        <v>0</v>
      </c>
      <c r="J26" s="49">
        <f t="shared" si="1"/>
        <v>50000</v>
      </c>
      <c r="K26" s="49">
        <f t="shared" si="2"/>
        <v>0</v>
      </c>
    </row>
    <row r="27" spans="1:14" x14ac:dyDescent="0.25">
      <c r="A27" s="53">
        <v>36</v>
      </c>
      <c r="B27" s="54" t="s">
        <v>179</v>
      </c>
      <c r="C27" s="54" t="s">
        <v>101</v>
      </c>
      <c r="D27" s="54" t="s">
        <v>271</v>
      </c>
      <c r="E27" s="53" t="s">
        <v>285</v>
      </c>
      <c r="F27" s="54"/>
      <c r="G27" s="49">
        <f>IF(ISNA(VLOOKUP($B27,'Other Capital Needs'!$C$51:$P$95,G$6,0)),0,VLOOKUP($B27,'Other Capital Needs'!$C$51:$P$95,G$6,0))+IF(ISNA(VLOOKUP('Project Details by Yr'!$B27,'Public Grounds'!$A$11:$N$49,G$6,0)),0,VLOOKUP('Project Details by Yr'!$B27,'Public Grounds'!$A$11:$N$49,G$6,0))+IF(ISNA(VLOOKUP('Project Details by Yr'!$B27,'Public Buildings'!$A$10:$N$96,G$6,0)),0,VLOOKUP('Project Details by Yr'!$B27,'Public Buildings'!$A$10:$N$96,G$6,0))+IF(ISNA(VLOOKUP('Project Details by Yr'!$B27,Bridges!$A$9:$N$24,G$6,0)),0,VLOOKUP('Project Details by Yr'!$B27,Bridges!$A$9:$N$24,G$6,0))+IF(ISNA(VLOOKUP('Project Details by Yr'!$B27,'Parking Lots &amp; Playgrounds'!$A$9:$N$33,G$6,0)),0,VLOOKUP('Project Details by Yr'!$B27,'Parking Lots &amp; Playgrounds'!$A$9:$N$33,G$6,0))+IF(ISNA(VLOOKUP($B27,Vehicles!$B$9:$O$50,G$6,0)),0,VLOOKUP($B27,Vehicles!$B$9:$O$50,G$6,0))</f>
        <v>120000</v>
      </c>
      <c r="H27" s="50">
        <v>1</v>
      </c>
      <c r="I27" s="49">
        <f t="shared" si="0"/>
        <v>0</v>
      </c>
      <c r="J27" s="49">
        <f t="shared" si="1"/>
        <v>0</v>
      </c>
      <c r="K27" s="49">
        <f t="shared" si="2"/>
        <v>120000</v>
      </c>
    </row>
    <row r="28" spans="1:14" x14ac:dyDescent="0.25">
      <c r="A28" s="53">
        <v>36</v>
      </c>
      <c r="B28" s="54" t="s">
        <v>180</v>
      </c>
      <c r="C28" s="54" t="s">
        <v>101</v>
      </c>
      <c r="D28" s="54" t="s">
        <v>271</v>
      </c>
      <c r="E28" s="53" t="s">
        <v>16</v>
      </c>
      <c r="F28" s="54"/>
      <c r="G28" s="49">
        <f>IF(ISNA(VLOOKUP($B28,'Other Capital Needs'!$C$51:$P$95,G$6,0)),0,VLOOKUP($B28,'Other Capital Needs'!$C$51:$P$95,G$6,0))+IF(ISNA(VLOOKUP('Project Details by Yr'!$B28,'Public Grounds'!$A$11:$N$49,G$6,0)),0,VLOOKUP('Project Details by Yr'!$B28,'Public Grounds'!$A$11:$N$49,G$6,0))+IF(ISNA(VLOOKUP('Project Details by Yr'!$B28,'Public Buildings'!$A$10:$N$96,G$6,0)),0,VLOOKUP('Project Details by Yr'!$B28,'Public Buildings'!$A$10:$N$96,G$6,0))+IF(ISNA(VLOOKUP('Project Details by Yr'!$B28,Bridges!$A$9:$N$24,G$6,0)),0,VLOOKUP('Project Details by Yr'!$B28,Bridges!$A$9:$N$24,G$6,0))+IF(ISNA(VLOOKUP('Project Details by Yr'!$B28,'Parking Lots &amp; Playgrounds'!$A$9:$N$33,G$6,0)),0,VLOOKUP('Project Details by Yr'!$B28,'Parking Lots &amp; Playgrounds'!$A$9:$N$33,G$6,0))+IF(ISNA(VLOOKUP($B28,Vehicles!$B$9:$O$50,G$6,0)),0,VLOOKUP($B28,Vehicles!$B$9:$O$50,G$6,0))</f>
        <v>0</v>
      </c>
      <c r="H28" s="50">
        <v>1</v>
      </c>
      <c r="I28" s="49">
        <f t="shared" si="0"/>
        <v>0</v>
      </c>
      <c r="J28" s="49">
        <f t="shared" si="1"/>
        <v>0</v>
      </c>
      <c r="K28" s="49">
        <f t="shared" si="2"/>
        <v>0</v>
      </c>
    </row>
    <row r="29" spans="1:14" x14ac:dyDescent="0.25">
      <c r="A29" s="53">
        <v>36</v>
      </c>
      <c r="B29" s="54" t="s">
        <v>110</v>
      </c>
      <c r="C29" s="54" t="s">
        <v>101</v>
      </c>
      <c r="D29" s="54" t="s">
        <v>271</v>
      </c>
      <c r="E29" s="53" t="s">
        <v>19</v>
      </c>
      <c r="F29" s="54"/>
      <c r="G29" s="49">
        <f>IF(ISNA(VLOOKUP($B29,'Other Capital Needs'!$C$51:$P$95,G$6,0)),0,VLOOKUP($B29,'Other Capital Needs'!$C$51:$P$95,G$6,0))+IF(ISNA(VLOOKUP('Project Details by Yr'!$B29,'Public Grounds'!$A$11:$N$49,G$6,0)),0,VLOOKUP('Project Details by Yr'!$B29,'Public Grounds'!$A$11:$N$49,G$6,0))+IF(ISNA(VLOOKUP('Project Details by Yr'!$B29,'Public Buildings'!$A$10:$N$96,G$6,0)),0,VLOOKUP('Project Details by Yr'!$B29,'Public Buildings'!$A$10:$N$96,G$6,0))+IF(ISNA(VLOOKUP('Project Details by Yr'!$B29,Bridges!$A$9:$N$24,G$6,0)),0,VLOOKUP('Project Details by Yr'!$B29,Bridges!$A$9:$N$24,G$6,0))+IF(ISNA(VLOOKUP('Project Details by Yr'!$B29,'Parking Lots &amp; Playgrounds'!$A$9:$N$33,G$6,0)),0,VLOOKUP('Project Details by Yr'!$B29,'Parking Lots &amp; Playgrounds'!$A$9:$N$33,G$6,0))+IF(ISNA(VLOOKUP($B29,Vehicles!$B$9:$O$50,G$6,0)),0,VLOOKUP($B29,Vehicles!$B$9:$O$50,G$6,0))</f>
        <v>1400000</v>
      </c>
      <c r="H29" s="50">
        <v>1</v>
      </c>
      <c r="I29" s="51">
        <f t="shared" si="0"/>
        <v>1400000</v>
      </c>
      <c r="J29" s="49">
        <f t="shared" si="1"/>
        <v>0</v>
      </c>
      <c r="K29" s="49">
        <f t="shared" si="2"/>
        <v>0</v>
      </c>
      <c r="L29" s="55" t="s">
        <v>304</v>
      </c>
      <c r="M29" s="56"/>
      <c r="N29" s="56"/>
    </row>
    <row r="30" spans="1:14" x14ac:dyDescent="0.25">
      <c r="A30" s="53">
        <v>42</v>
      </c>
      <c r="B30" s="54" t="s">
        <v>182</v>
      </c>
      <c r="C30" s="54" t="s">
        <v>101</v>
      </c>
      <c r="D30" s="54" t="s">
        <v>271</v>
      </c>
      <c r="E30" s="53" t="s">
        <v>16</v>
      </c>
      <c r="F30" s="54"/>
      <c r="G30" s="49">
        <f>IF(ISNA(VLOOKUP($B30,'Other Capital Needs'!$C$51:$P$95,G$6,0)),0,VLOOKUP($B30,'Other Capital Needs'!$C$51:$P$95,G$6,0))+IF(ISNA(VLOOKUP('Project Details by Yr'!$B30,'Public Grounds'!$A$11:$N$49,G$6,0)),0,VLOOKUP('Project Details by Yr'!$B30,'Public Grounds'!$A$11:$N$49,G$6,0))+IF(ISNA(VLOOKUP('Project Details by Yr'!$B30,'Public Buildings'!$A$10:$N$96,G$6,0)),0,VLOOKUP('Project Details by Yr'!$B30,'Public Buildings'!$A$10:$N$96,G$6,0))+IF(ISNA(VLOOKUP('Project Details by Yr'!$B30,Bridges!$A$9:$N$24,G$6,0)),0,VLOOKUP('Project Details by Yr'!$B30,Bridges!$A$9:$N$24,G$6,0))+IF(ISNA(VLOOKUP('Project Details by Yr'!$B30,'Parking Lots &amp; Playgrounds'!$A$9:$N$33,G$6,0)),0,VLOOKUP('Project Details by Yr'!$B30,'Parking Lots &amp; Playgrounds'!$A$9:$N$33,G$6,0))+IF(ISNA(VLOOKUP($B30,Vehicles!$B$9:$O$50,G$6,0)),0,VLOOKUP($B30,Vehicles!$B$9:$O$50,G$6,0))</f>
        <v>0</v>
      </c>
      <c r="H30" s="50"/>
      <c r="I30" s="49">
        <f t="shared" si="0"/>
        <v>0</v>
      </c>
      <c r="J30" s="49">
        <f t="shared" si="1"/>
        <v>0</v>
      </c>
      <c r="K30" s="49">
        <f t="shared" si="2"/>
        <v>0</v>
      </c>
      <c r="L30" s="52" t="s">
        <v>291</v>
      </c>
    </row>
    <row r="31" spans="1:14" x14ac:dyDescent="0.25">
      <c r="A31" s="53">
        <v>42</v>
      </c>
      <c r="B31" s="54" t="s">
        <v>183</v>
      </c>
      <c r="C31" s="54" t="s">
        <v>101</v>
      </c>
      <c r="D31" s="54" t="s">
        <v>271</v>
      </c>
      <c r="E31" s="53" t="s">
        <v>16</v>
      </c>
      <c r="F31" s="54"/>
      <c r="G31" s="49">
        <f>IF(ISNA(VLOOKUP($B31,'Other Capital Needs'!$C$51:$P$95,G$6,0)),0,VLOOKUP($B31,'Other Capital Needs'!$C$51:$P$95,G$6,0))+IF(ISNA(VLOOKUP('Project Details by Yr'!$B31,'Public Grounds'!$A$11:$N$49,G$6,0)),0,VLOOKUP('Project Details by Yr'!$B31,'Public Grounds'!$A$11:$N$49,G$6,0))+IF(ISNA(VLOOKUP('Project Details by Yr'!$B31,'Public Buildings'!$A$10:$N$96,G$6,0)),0,VLOOKUP('Project Details by Yr'!$B31,'Public Buildings'!$A$10:$N$96,G$6,0))+IF(ISNA(VLOOKUP('Project Details by Yr'!$B31,Bridges!$A$9:$N$24,G$6,0)),0,VLOOKUP('Project Details by Yr'!$B31,Bridges!$A$9:$N$24,G$6,0))+IF(ISNA(VLOOKUP('Project Details by Yr'!$B31,'Parking Lots &amp; Playgrounds'!$A$9:$N$33,G$6,0)),0,VLOOKUP('Project Details by Yr'!$B31,'Parking Lots &amp; Playgrounds'!$A$9:$N$33,G$6,0))+IF(ISNA(VLOOKUP($B31,Vehicles!$B$9:$O$50,G$6,0)),0,VLOOKUP($B31,Vehicles!$B$9:$O$50,G$6,0))</f>
        <v>0</v>
      </c>
      <c r="H31" s="50"/>
      <c r="I31" s="49">
        <f t="shared" si="0"/>
        <v>0</v>
      </c>
      <c r="J31" s="49">
        <f t="shared" si="1"/>
        <v>0</v>
      </c>
      <c r="K31" s="49">
        <f t="shared" si="2"/>
        <v>0</v>
      </c>
      <c r="L31" s="52" t="s">
        <v>292</v>
      </c>
    </row>
    <row r="32" spans="1:14" x14ac:dyDescent="0.25">
      <c r="A32" s="53">
        <v>43</v>
      </c>
      <c r="B32" t="s">
        <v>307</v>
      </c>
      <c r="C32" s="54" t="s">
        <v>101</v>
      </c>
      <c r="D32" s="54" t="s">
        <v>271</v>
      </c>
      <c r="E32" s="53" t="s">
        <v>16</v>
      </c>
      <c r="F32" s="54"/>
      <c r="G32" s="49">
        <f>IF(ISNA(VLOOKUP($B32,'Other Capital Needs'!$C$51:$P$95,G$6,0)),0,VLOOKUP($B32,'Other Capital Needs'!$C$51:$P$95,G$6,0))+IF(ISNA(VLOOKUP('Project Details by Yr'!$B32,'Public Grounds'!$A$11:$N$49,G$6,0)),0,VLOOKUP('Project Details by Yr'!$B32,'Public Grounds'!$A$11:$N$49,G$6,0))+IF(ISNA(VLOOKUP('Project Details by Yr'!$B32,'Public Buildings'!$A$10:$N$96,G$6,0)),0,VLOOKUP('Project Details by Yr'!$B32,'Public Buildings'!$A$10:$N$96,G$6,0))+IF(ISNA(VLOOKUP('Project Details by Yr'!$B32,Bridges!$A$9:$N$24,G$6,0)),0,VLOOKUP('Project Details by Yr'!$B32,Bridges!$A$9:$N$24,G$6,0))+IF(ISNA(VLOOKUP('Project Details by Yr'!$B32,'Parking Lots &amp; Playgrounds'!$A$9:$N$33,G$6,0)),0,VLOOKUP('Project Details by Yr'!$B32,'Parking Lots &amp; Playgrounds'!$A$9:$N$33,G$6,0))+IF(ISNA(VLOOKUP($B32,Vehicles!$B$9:$O$50,G$6,0)),0,VLOOKUP($B32,Vehicles!$B$9:$O$50,G$6,0))</f>
        <v>0</v>
      </c>
      <c r="H32" s="50">
        <v>1</v>
      </c>
      <c r="I32" s="49">
        <f t="shared" si="0"/>
        <v>0</v>
      </c>
      <c r="J32" s="49">
        <f t="shared" si="1"/>
        <v>0</v>
      </c>
      <c r="K32" s="49">
        <f t="shared" si="2"/>
        <v>0</v>
      </c>
      <c r="L32" s="52"/>
    </row>
    <row r="33" spans="1:12" x14ac:dyDescent="0.25">
      <c r="A33" s="43">
        <v>43</v>
      </c>
      <c r="B33" s="40" t="s">
        <v>185</v>
      </c>
      <c r="C33" s="40" t="s">
        <v>101</v>
      </c>
      <c r="D33" s="40" t="s">
        <v>271</v>
      </c>
      <c r="E33" s="43" t="s">
        <v>16</v>
      </c>
      <c r="G33" s="49">
        <f>IF(ISNA(VLOOKUP($B33,'Other Capital Needs'!$C$51:$P$95,G$6,0)),0,VLOOKUP($B33,'Other Capital Needs'!$C$51:$P$95,G$6,0))+IF(ISNA(VLOOKUP('Project Details by Yr'!$B33,'Public Grounds'!$A$11:$N$49,G$6,0)),0,VLOOKUP('Project Details by Yr'!$B33,'Public Grounds'!$A$11:$N$49,G$6,0))+IF(ISNA(VLOOKUP('Project Details by Yr'!$B33,'Public Buildings'!$A$10:$N$96,G$6,0)),0,VLOOKUP('Project Details by Yr'!$B33,'Public Buildings'!$A$10:$N$96,G$6,0))+IF(ISNA(VLOOKUP('Project Details by Yr'!$B33,Bridges!$A$9:$N$24,G$6,0)),0,VLOOKUP('Project Details by Yr'!$B33,Bridges!$A$9:$N$24,G$6,0))+IF(ISNA(VLOOKUP('Project Details by Yr'!$B33,'Parking Lots &amp; Playgrounds'!$A$9:$N$33,G$6,0)),0,VLOOKUP('Project Details by Yr'!$B33,'Parking Lots &amp; Playgrounds'!$A$9:$N$33,G$6,0))+IF(ISNA(VLOOKUP($B33,Vehicles!$B$9:$O$50,G$6,0)),0,VLOOKUP($B33,Vehicles!$B$9:$O$50,G$6,0))</f>
        <v>0</v>
      </c>
      <c r="H33" s="50"/>
      <c r="I33" s="49">
        <f t="shared" si="0"/>
        <v>0</v>
      </c>
      <c r="J33" s="49">
        <f t="shared" si="1"/>
        <v>0</v>
      </c>
      <c r="K33" s="49">
        <f t="shared" si="2"/>
        <v>0</v>
      </c>
      <c r="L33" s="52" t="s">
        <v>293</v>
      </c>
    </row>
    <row r="34" spans="1:12" x14ac:dyDescent="0.25">
      <c r="A34" s="43">
        <v>53</v>
      </c>
      <c r="B34" s="40" t="s">
        <v>189</v>
      </c>
      <c r="C34" s="40" t="s">
        <v>101</v>
      </c>
      <c r="D34" s="40" t="s">
        <v>271</v>
      </c>
      <c r="E34" s="43" t="s">
        <v>16</v>
      </c>
      <c r="G34" s="49">
        <f>IF(ISNA(VLOOKUP($B34,'Other Capital Needs'!$C$51:$P$95,G$6,0)),0,VLOOKUP($B34,'Other Capital Needs'!$C$51:$P$95,G$6,0))+IF(ISNA(VLOOKUP('Project Details by Yr'!$B34,'Public Grounds'!$A$11:$N$49,G$6,0)),0,VLOOKUP('Project Details by Yr'!$B34,'Public Grounds'!$A$11:$N$49,G$6,0))+IF(ISNA(VLOOKUP('Project Details by Yr'!$B34,'Public Buildings'!$A$10:$N$96,G$6,0)),0,VLOOKUP('Project Details by Yr'!$B34,'Public Buildings'!$A$10:$N$96,G$6,0))+IF(ISNA(VLOOKUP('Project Details by Yr'!$B34,Bridges!$A$9:$N$24,G$6,0)),0,VLOOKUP('Project Details by Yr'!$B34,Bridges!$A$9:$N$24,G$6,0))+IF(ISNA(VLOOKUP('Project Details by Yr'!$B34,'Parking Lots &amp; Playgrounds'!$A$9:$N$33,G$6,0)),0,VLOOKUP('Project Details by Yr'!$B34,'Parking Lots &amp; Playgrounds'!$A$9:$N$33,G$6,0))+IF(ISNA(VLOOKUP($B34,Vehicles!$B$9:$O$50,G$6,0)),0,VLOOKUP($B34,Vehicles!$B$9:$O$50,G$6,0))</f>
        <v>0</v>
      </c>
      <c r="H34" s="50"/>
      <c r="I34" s="49">
        <f t="shared" si="0"/>
        <v>0</v>
      </c>
      <c r="J34" s="49">
        <f t="shared" si="1"/>
        <v>0</v>
      </c>
      <c r="K34" s="49">
        <f t="shared" si="2"/>
        <v>0</v>
      </c>
      <c r="L34" s="52" t="s">
        <v>290</v>
      </c>
    </row>
    <row r="35" spans="1:12" x14ac:dyDescent="0.25">
      <c r="A35" s="43">
        <v>53</v>
      </c>
      <c r="B35" s="40" t="s">
        <v>190</v>
      </c>
      <c r="C35" s="40" t="s">
        <v>101</v>
      </c>
      <c r="D35" s="40" t="s">
        <v>271</v>
      </c>
      <c r="E35" s="43" t="s">
        <v>16</v>
      </c>
      <c r="G35" s="49">
        <f>IF(ISNA(VLOOKUP($B35,'Other Capital Needs'!$C$51:$P$95,G$6,0)),0,VLOOKUP($B35,'Other Capital Needs'!$C$51:$P$95,G$6,0))+IF(ISNA(VLOOKUP('Project Details by Yr'!$B35,'Public Grounds'!$A$11:$N$49,G$6,0)),0,VLOOKUP('Project Details by Yr'!$B35,'Public Grounds'!$A$11:$N$49,G$6,0))+IF(ISNA(VLOOKUP('Project Details by Yr'!$B35,'Public Buildings'!$A$10:$N$96,G$6,0)),0,VLOOKUP('Project Details by Yr'!$B35,'Public Buildings'!$A$10:$N$96,G$6,0))+IF(ISNA(VLOOKUP('Project Details by Yr'!$B35,Bridges!$A$9:$N$24,G$6,0)),0,VLOOKUP('Project Details by Yr'!$B35,Bridges!$A$9:$N$24,G$6,0))+IF(ISNA(VLOOKUP('Project Details by Yr'!$B35,'Parking Lots &amp; Playgrounds'!$A$9:$N$33,G$6,0)),0,VLOOKUP('Project Details by Yr'!$B35,'Parking Lots &amp; Playgrounds'!$A$9:$N$33,G$6,0))+IF(ISNA(VLOOKUP($B35,Vehicles!$B$9:$O$50,G$6,0)),0,VLOOKUP($B35,Vehicles!$B$9:$O$50,G$6,0))</f>
        <v>0</v>
      </c>
      <c r="H35" s="50"/>
      <c r="I35" s="49">
        <f t="shared" si="0"/>
        <v>0</v>
      </c>
      <c r="J35" s="49">
        <f t="shared" si="1"/>
        <v>0</v>
      </c>
      <c r="K35" s="49">
        <f t="shared" si="2"/>
        <v>0</v>
      </c>
      <c r="L35" s="52" t="s">
        <v>290</v>
      </c>
    </row>
    <row r="36" spans="1:12" x14ac:dyDescent="0.25">
      <c r="B36" s="40" t="s">
        <v>12</v>
      </c>
      <c r="C36" s="54" t="s">
        <v>46</v>
      </c>
      <c r="D36" s="54" t="s">
        <v>271</v>
      </c>
      <c r="E36" s="43" t="s">
        <v>16</v>
      </c>
      <c r="G36" s="49">
        <f>IF(ISNA(VLOOKUP($B36,'Other Capital Needs'!$C$51:$P$95,G$6,0)),0,VLOOKUP($B36,'Other Capital Needs'!$C$51:$P$95,G$6,0))+IF(ISNA(VLOOKUP('Project Details by Yr'!$B36,'Public Grounds'!$A$11:$N$49,G$6,0)),0,VLOOKUP('Project Details by Yr'!$B36,'Public Grounds'!$A$11:$N$49,G$6,0))+IF(ISNA(VLOOKUP('Project Details by Yr'!$B36,'Public Buildings'!$A$10:$N$96,G$6,0)),0,VLOOKUP('Project Details by Yr'!$B36,'Public Buildings'!$A$10:$N$96,G$6,0))+IF(ISNA(VLOOKUP('Project Details by Yr'!$B36,Bridges!$A$9:$N$24,G$6,0)),0,VLOOKUP('Project Details by Yr'!$B36,Bridges!$A$9:$N$24,G$6,0))+IF(ISNA(VLOOKUP('Project Details by Yr'!$B36,'Parking Lots &amp; Playgrounds'!$A$9:$N$33,G$6,0)),0,VLOOKUP('Project Details by Yr'!$B36,'Parking Lots &amp; Playgrounds'!$A$9:$N$33,G$6,0))+IF(ISNA(VLOOKUP($B36,Vehicles!$B$9:$O$50,G$6,0)),0,VLOOKUP($B36,Vehicles!$B$9:$O$50,G$6,0))</f>
        <v>892000</v>
      </c>
      <c r="H36" s="50">
        <v>1</v>
      </c>
      <c r="I36" s="49">
        <f t="shared" si="0"/>
        <v>0</v>
      </c>
      <c r="J36" s="51">
        <f t="shared" si="1"/>
        <v>892000</v>
      </c>
      <c r="K36" s="49">
        <f t="shared" si="2"/>
        <v>0</v>
      </c>
    </row>
    <row r="37" spans="1:12" x14ac:dyDescent="0.25">
      <c r="B37" s="40" t="s">
        <v>282</v>
      </c>
      <c r="C37" s="54" t="s">
        <v>46</v>
      </c>
      <c r="D37" s="54" t="s">
        <v>271</v>
      </c>
      <c r="E37" s="43" t="s">
        <v>16</v>
      </c>
      <c r="G37" s="49">
        <f>IF(ISNA(VLOOKUP($B37,'Other Capital Needs'!$C$51:$P$95,G$6,0)),0,VLOOKUP($B37,'Other Capital Needs'!$C$51:$P$95,G$6,0))+IF(ISNA(VLOOKUP('Project Details by Yr'!$B37,'Public Grounds'!$A$11:$N$49,G$6,0)),0,VLOOKUP('Project Details by Yr'!$B37,'Public Grounds'!$A$11:$N$49,G$6,0))+IF(ISNA(VLOOKUP('Project Details by Yr'!$B37,'Public Buildings'!$A$10:$N$96,G$6,0)),0,VLOOKUP('Project Details by Yr'!$B37,'Public Buildings'!$A$10:$N$96,G$6,0))+IF(ISNA(VLOOKUP('Project Details by Yr'!$B37,Bridges!$A$9:$N$24,G$6,0)),0,VLOOKUP('Project Details by Yr'!$B37,Bridges!$A$9:$N$24,G$6,0))+IF(ISNA(VLOOKUP('Project Details by Yr'!$B37,'Parking Lots &amp; Playgrounds'!$A$9:$N$33,G$6,0)),0,VLOOKUP('Project Details by Yr'!$B37,'Parking Lots &amp; Playgrounds'!$A$9:$N$33,G$6,0))+IF(ISNA(VLOOKUP($B37,Vehicles!$B$9:$O$50,G$6,0)),0,VLOOKUP($B37,Vehicles!$B$9:$O$50,G$6,0))</f>
        <v>0</v>
      </c>
      <c r="H37" s="50">
        <v>1</v>
      </c>
      <c r="I37" s="49">
        <f t="shared" si="0"/>
        <v>0</v>
      </c>
      <c r="J37" s="49">
        <f t="shared" si="1"/>
        <v>0</v>
      </c>
      <c r="K37" s="49">
        <f t="shared" si="2"/>
        <v>0</v>
      </c>
    </row>
    <row r="38" spans="1:12" x14ac:dyDescent="0.25">
      <c r="B38" s="40" t="s">
        <v>20</v>
      </c>
      <c r="C38" s="54" t="s">
        <v>46</v>
      </c>
      <c r="D38" s="54" t="s">
        <v>271</v>
      </c>
      <c r="E38" s="43" t="s">
        <v>16</v>
      </c>
      <c r="G38" s="49">
        <f>IF(ISNA(VLOOKUP($B38,'Other Capital Needs'!$C$51:$P$95,G$6,0)),0,VLOOKUP($B38,'Other Capital Needs'!$C$51:$P$95,G$6,0))+IF(ISNA(VLOOKUP('Project Details by Yr'!$B38,'Public Grounds'!$A$11:$N$49,G$6,0)),0,VLOOKUP('Project Details by Yr'!$B38,'Public Grounds'!$A$11:$N$49,G$6,0))+IF(ISNA(VLOOKUP('Project Details by Yr'!$B38,'Public Buildings'!$A$10:$N$96,G$6,0)),0,VLOOKUP('Project Details by Yr'!$B38,'Public Buildings'!$A$10:$N$96,G$6,0))+IF(ISNA(VLOOKUP('Project Details by Yr'!$B38,Bridges!$A$9:$N$24,G$6,0)),0,VLOOKUP('Project Details by Yr'!$B38,Bridges!$A$9:$N$24,G$6,0))+IF(ISNA(VLOOKUP('Project Details by Yr'!$B38,'Parking Lots &amp; Playgrounds'!$A$9:$N$33,G$6,0)),0,VLOOKUP('Project Details by Yr'!$B38,'Parking Lots &amp; Playgrounds'!$A$9:$N$33,G$6,0))+IF(ISNA(VLOOKUP($B38,Vehicles!$B$9:$O$50,G$6,0)),0,VLOOKUP($B38,Vehicles!$B$9:$O$50,G$6,0))</f>
        <v>105000</v>
      </c>
      <c r="H38" s="50"/>
      <c r="I38" s="49">
        <f t="shared" si="0"/>
        <v>0</v>
      </c>
      <c r="J38" s="49">
        <f t="shared" si="1"/>
        <v>0</v>
      </c>
      <c r="K38" s="49">
        <f t="shared" si="2"/>
        <v>0</v>
      </c>
    </row>
    <row r="39" spans="1:12" x14ac:dyDescent="0.25">
      <c r="B39" s="40" t="s">
        <v>21</v>
      </c>
      <c r="C39" s="54" t="s">
        <v>46</v>
      </c>
      <c r="D39" s="54" t="s">
        <v>271</v>
      </c>
      <c r="E39" s="43" t="s">
        <v>16</v>
      </c>
      <c r="G39" s="49">
        <f>IF(ISNA(VLOOKUP($B39,'Other Capital Needs'!$C$51:$P$95,G$6,0)),0,VLOOKUP($B39,'Other Capital Needs'!$C$51:$P$95,G$6,0))+IF(ISNA(VLOOKUP('Project Details by Yr'!$B39,'Public Grounds'!$A$11:$N$49,G$6,0)),0,VLOOKUP('Project Details by Yr'!$B39,'Public Grounds'!$A$11:$N$49,G$6,0))+IF(ISNA(VLOOKUP('Project Details by Yr'!$B39,'Public Buildings'!$A$10:$N$96,G$6,0)),0,VLOOKUP('Project Details by Yr'!$B39,'Public Buildings'!$A$10:$N$96,G$6,0))+IF(ISNA(VLOOKUP('Project Details by Yr'!$B39,Bridges!$A$9:$N$24,G$6,0)),0,VLOOKUP('Project Details by Yr'!$B39,Bridges!$A$9:$N$24,G$6,0))+IF(ISNA(VLOOKUP('Project Details by Yr'!$B39,'Parking Lots &amp; Playgrounds'!$A$9:$N$33,G$6,0)),0,VLOOKUP('Project Details by Yr'!$B39,'Parking Lots &amp; Playgrounds'!$A$9:$N$33,G$6,0))+IF(ISNA(VLOOKUP($B39,Vehicles!$B$9:$O$50,G$6,0)),0,VLOOKUP($B39,Vehicles!$B$9:$O$50,G$6,0))</f>
        <v>0</v>
      </c>
      <c r="H39" s="50"/>
      <c r="I39" s="49">
        <f t="shared" si="0"/>
        <v>0</v>
      </c>
      <c r="J39" s="49">
        <f t="shared" si="1"/>
        <v>0</v>
      </c>
      <c r="K39" s="49">
        <f t="shared" si="2"/>
        <v>0</v>
      </c>
    </row>
    <row r="40" spans="1:12" x14ac:dyDescent="0.25">
      <c r="B40" s="40" t="s">
        <v>22</v>
      </c>
      <c r="C40" s="54" t="s">
        <v>46</v>
      </c>
      <c r="D40" s="54" t="s">
        <v>271</v>
      </c>
      <c r="E40" s="43" t="s">
        <v>16</v>
      </c>
      <c r="G40" s="49">
        <f>IF(ISNA(VLOOKUP($B40,'Other Capital Needs'!$C$51:$P$95,G$6,0)),0,VLOOKUP($B40,'Other Capital Needs'!$C$51:$P$95,G$6,0))+IF(ISNA(VLOOKUP('Project Details by Yr'!$B40,'Public Grounds'!$A$11:$N$49,G$6,0)),0,VLOOKUP('Project Details by Yr'!$B40,'Public Grounds'!$A$11:$N$49,G$6,0))+IF(ISNA(VLOOKUP('Project Details by Yr'!$B40,'Public Buildings'!$A$10:$N$96,G$6,0)),0,VLOOKUP('Project Details by Yr'!$B40,'Public Buildings'!$A$10:$N$96,G$6,0))+IF(ISNA(VLOOKUP('Project Details by Yr'!$B40,Bridges!$A$9:$N$24,G$6,0)),0,VLOOKUP('Project Details by Yr'!$B40,Bridges!$A$9:$N$24,G$6,0))+IF(ISNA(VLOOKUP('Project Details by Yr'!$B40,'Parking Lots &amp; Playgrounds'!$A$9:$N$33,G$6,0)),0,VLOOKUP('Project Details by Yr'!$B40,'Parking Lots &amp; Playgrounds'!$A$9:$N$33,G$6,0))+IF(ISNA(VLOOKUP($B40,Vehicles!$B$9:$O$50,G$6,0)),0,VLOOKUP($B40,Vehicles!$B$9:$O$50,G$6,0))</f>
        <v>10000</v>
      </c>
      <c r="H40" s="50"/>
      <c r="I40" s="49">
        <f t="shared" si="0"/>
        <v>0</v>
      </c>
      <c r="J40" s="49">
        <f t="shared" si="1"/>
        <v>0</v>
      </c>
      <c r="K40" s="49">
        <f t="shared" si="2"/>
        <v>0</v>
      </c>
    </row>
    <row r="41" spans="1:12" x14ac:dyDescent="0.25">
      <c r="B41" s="40" t="s">
        <v>23</v>
      </c>
      <c r="C41" s="54" t="s">
        <v>46</v>
      </c>
      <c r="D41" s="54" t="s">
        <v>271</v>
      </c>
      <c r="E41" s="43" t="s">
        <v>16</v>
      </c>
      <c r="G41" s="49">
        <f>IF(ISNA(VLOOKUP($B41,'Other Capital Needs'!$C$51:$P$95,G$6,0)),0,VLOOKUP($B41,'Other Capital Needs'!$C$51:$P$95,G$6,0))+IF(ISNA(VLOOKUP('Project Details by Yr'!$B41,'Public Grounds'!$A$11:$N$49,G$6,0)),0,VLOOKUP('Project Details by Yr'!$B41,'Public Grounds'!$A$11:$N$49,G$6,0))+IF(ISNA(VLOOKUP('Project Details by Yr'!$B41,'Public Buildings'!$A$10:$N$96,G$6,0)),0,VLOOKUP('Project Details by Yr'!$B41,'Public Buildings'!$A$10:$N$96,G$6,0))+IF(ISNA(VLOOKUP('Project Details by Yr'!$B41,Bridges!$A$9:$N$24,G$6,0)),0,VLOOKUP('Project Details by Yr'!$B41,Bridges!$A$9:$N$24,G$6,0))+IF(ISNA(VLOOKUP('Project Details by Yr'!$B41,'Parking Lots &amp; Playgrounds'!$A$9:$N$33,G$6,0)),0,VLOOKUP('Project Details by Yr'!$B41,'Parking Lots &amp; Playgrounds'!$A$9:$N$33,G$6,0))+IF(ISNA(VLOOKUP($B41,Vehicles!$B$9:$O$50,G$6,0)),0,VLOOKUP($B41,Vehicles!$B$9:$O$50,G$6,0))</f>
        <v>15000</v>
      </c>
      <c r="H41" s="50"/>
      <c r="I41" s="49">
        <f t="shared" si="0"/>
        <v>0</v>
      </c>
      <c r="J41" s="49">
        <f t="shared" si="1"/>
        <v>0</v>
      </c>
      <c r="K41" s="49">
        <f t="shared" si="2"/>
        <v>0</v>
      </c>
    </row>
    <row r="42" spans="1:12" x14ac:dyDescent="0.25">
      <c r="B42" s="40" t="s">
        <v>17</v>
      </c>
      <c r="C42" s="54" t="s">
        <v>46</v>
      </c>
      <c r="D42" s="54" t="s">
        <v>271</v>
      </c>
      <c r="E42" s="43" t="s">
        <v>16</v>
      </c>
      <c r="G42" s="49">
        <f>IF(ISNA(VLOOKUP($B42,'Other Capital Needs'!$C$51:$P$95,G$6,0)),0,VLOOKUP($B42,'Other Capital Needs'!$C$51:$P$95,G$6,0))+IF(ISNA(VLOOKUP('Project Details by Yr'!$B42,'Public Grounds'!$A$11:$N$49,G$6,0)),0,VLOOKUP('Project Details by Yr'!$B42,'Public Grounds'!$A$11:$N$49,G$6,0))+IF(ISNA(VLOOKUP('Project Details by Yr'!$B42,'Public Buildings'!$A$10:$N$96,G$6,0)),0,VLOOKUP('Project Details by Yr'!$B42,'Public Buildings'!$A$10:$N$96,G$6,0))+IF(ISNA(VLOOKUP('Project Details by Yr'!$B42,Bridges!$A$9:$N$24,G$6,0)),0,VLOOKUP('Project Details by Yr'!$B42,Bridges!$A$9:$N$24,G$6,0))+IF(ISNA(VLOOKUP('Project Details by Yr'!$B42,'Parking Lots &amp; Playgrounds'!$A$9:$N$33,G$6,0)),0,VLOOKUP('Project Details by Yr'!$B42,'Parking Lots &amp; Playgrounds'!$A$9:$N$33,G$6,0))+IF(ISNA(VLOOKUP($B42,Vehicles!$B$9:$O$50,G$6,0)),0,VLOOKUP($B42,Vehicles!$B$9:$O$50,G$6,0))</f>
        <v>0</v>
      </c>
      <c r="H42" s="50">
        <v>1</v>
      </c>
      <c r="I42" s="49">
        <f t="shared" si="0"/>
        <v>0</v>
      </c>
      <c r="J42" s="51">
        <v>186750</v>
      </c>
      <c r="K42" s="49">
        <f t="shared" si="2"/>
        <v>0</v>
      </c>
      <c r="L42" s="52"/>
    </row>
    <row r="43" spans="1:12" x14ac:dyDescent="0.25">
      <c r="B43" s="40" t="s">
        <v>212</v>
      </c>
      <c r="C43" s="40" t="s">
        <v>47</v>
      </c>
      <c r="D43" s="40" t="s">
        <v>271</v>
      </c>
      <c r="E43" s="43" t="s">
        <v>16</v>
      </c>
      <c r="G43" s="49">
        <f>IF(ISNA(VLOOKUP($B43,'Other Capital Needs'!$C$51:$P$95,G$6,0)),0,VLOOKUP($B43,'Other Capital Needs'!$C$51:$P$95,G$6,0))+IF(ISNA(VLOOKUP('Project Details by Yr'!$B43,'Public Grounds'!$A$11:$N$49,G$6,0)),0,VLOOKUP('Project Details by Yr'!$B43,'Public Grounds'!$A$11:$N$49,G$6,0))+IF(ISNA(VLOOKUP('Project Details by Yr'!$B43,'Public Buildings'!$A$10:$N$96,G$6,0)),0,VLOOKUP('Project Details by Yr'!$B43,'Public Buildings'!$A$10:$N$96,G$6,0))+IF(ISNA(VLOOKUP('Project Details by Yr'!$B43,Bridges!$A$9:$N$24,G$6,0)),0,VLOOKUP('Project Details by Yr'!$B43,Bridges!$A$9:$N$24,G$6,0))+IF(ISNA(VLOOKUP('Project Details by Yr'!$B43,'Parking Lots &amp; Playgrounds'!$A$9:$N$33,G$6,0)),0,VLOOKUP('Project Details by Yr'!$B43,'Parking Lots &amp; Playgrounds'!$A$9:$N$33,G$6,0))+IF(ISNA(VLOOKUP($B43,Vehicles!$B$9:$O$50,G$6,0)),0,VLOOKUP($B43,Vehicles!$B$9:$O$50,G$6,0))</f>
        <v>0</v>
      </c>
      <c r="H43" s="50"/>
      <c r="I43" s="49">
        <f t="shared" si="0"/>
        <v>0</v>
      </c>
      <c r="J43" s="49">
        <f t="shared" si="1"/>
        <v>0</v>
      </c>
      <c r="K43" s="49">
        <f t="shared" si="2"/>
        <v>0</v>
      </c>
      <c r="L43" s="52" t="s">
        <v>289</v>
      </c>
    </row>
    <row r="44" spans="1:12" x14ac:dyDescent="0.25">
      <c r="B44" s="40" t="s">
        <v>213</v>
      </c>
      <c r="C44" s="40" t="s">
        <v>47</v>
      </c>
      <c r="D44" s="40" t="s">
        <v>271</v>
      </c>
      <c r="E44" s="43" t="s">
        <v>16</v>
      </c>
      <c r="G44" s="49">
        <f>IF(ISNA(VLOOKUP($B44,'Other Capital Needs'!$C$51:$P$95,G$6,0)),0,VLOOKUP($B44,'Other Capital Needs'!$C$51:$P$95,G$6,0))+IF(ISNA(VLOOKUP('Project Details by Yr'!$B44,'Public Grounds'!$A$11:$N$49,G$6,0)),0,VLOOKUP('Project Details by Yr'!$B44,'Public Grounds'!$A$11:$N$49,G$6,0))+IF(ISNA(VLOOKUP('Project Details by Yr'!$B44,'Public Buildings'!$A$10:$N$96,G$6,0)),0,VLOOKUP('Project Details by Yr'!$B44,'Public Buildings'!$A$10:$N$96,G$6,0))+IF(ISNA(VLOOKUP('Project Details by Yr'!$B44,Bridges!$A$9:$N$24,G$6,0)),0,VLOOKUP('Project Details by Yr'!$B44,Bridges!$A$9:$N$24,G$6,0))+IF(ISNA(VLOOKUP('Project Details by Yr'!$B44,'Parking Lots &amp; Playgrounds'!$A$9:$N$33,G$6,0)),0,VLOOKUP('Project Details by Yr'!$B44,'Parking Lots &amp; Playgrounds'!$A$9:$N$33,G$6,0))+IF(ISNA(VLOOKUP($B44,Vehicles!$B$9:$O$50,G$6,0)),0,VLOOKUP($B44,Vehicles!$B$9:$O$50,G$6,0))</f>
        <v>0</v>
      </c>
      <c r="H44" s="50"/>
      <c r="I44" s="49">
        <f t="shared" si="0"/>
        <v>0</v>
      </c>
      <c r="J44" s="49">
        <f t="shared" si="1"/>
        <v>0</v>
      </c>
      <c r="K44" s="49">
        <f t="shared" si="2"/>
        <v>0</v>
      </c>
      <c r="L44" s="52" t="s">
        <v>290</v>
      </c>
    </row>
    <row r="45" spans="1:12" x14ac:dyDescent="0.25">
      <c r="B45" s="40" t="s">
        <v>224</v>
      </c>
      <c r="C45" s="40" t="s">
        <v>47</v>
      </c>
      <c r="D45" s="40" t="s">
        <v>271</v>
      </c>
      <c r="E45" s="43" t="s">
        <v>16</v>
      </c>
      <c r="G45" s="49">
        <f>IF(ISNA(VLOOKUP($B45,'Other Capital Needs'!$C$51:$P$95,G$6,0)),0,VLOOKUP($B45,'Other Capital Needs'!$C$51:$P$95,G$6,0))+IF(ISNA(VLOOKUP('Project Details by Yr'!$B45,'Public Grounds'!$A$11:$N$49,G$6,0)),0,VLOOKUP('Project Details by Yr'!$B45,'Public Grounds'!$A$11:$N$49,G$6,0))+IF(ISNA(VLOOKUP('Project Details by Yr'!$B45,'Public Buildings'!$A$10:$N$96,G$6,0)),0,VLOOKUP('Project Details by Yr'!$B45,'Public Buildings'!$A$10:$N$96,G$6,0))+IF(ISNA(VLOOKUP('Project Details by Yr'!$B45,Bridges!$A$9:$N$24,G$6,0)),0,VLOOKUP('Project Details by Yr'!$B45,Bridges!$A$9:$N$24,G$6,0))+IF(ISNA(VLOOKUP('Project Details by Yr'!$B45,'Parking Lots &amp; Playgrounds'!$A$9:$N$33,G$6,0)),0,VLOOKUP('Project Details by Yr'!$B45,'Parking Lots &amp; Playgrounds'!$A$9:$N$33,G$6,0))+IF(ISNA(VLOOKUP($B45,Vehicles!$B$9:$O$50,G$6,0)),0,VLOOKUP($B45,Vehicles!$B$9:$O$50,G$6,0))</f>
        <v>45000</v>
      </c>
      <c r="H45" s="50"/>
      <c r="I45" s="49">
        <f t="shared" si="0"/>
        <v>0</v>
      </c>
      <c r="J45" s="49">
        <f t="shared" si="1"/>
        <v>0</v>
      </c>
      <c r="K45" s="49">
        <f t="shared" si="2"/>
        <v>0</v>
      </c>
    </row>
    <row r="46" spans="1:12" x14ac:dyDescent="0.25">
      <c r="B46" s="54" t="s">
        <v>217</v>
      </c>
      <c r="C46" s="54" t="s">
        <v>47</v>
      </c>
      <c r="D46" s="54" t="s">
        <v>271</v>
      </c>
      <c r="E46" s="53" t="s">
        <v>16</v>
      </c>
      <c r="F46" s="54"/>
      <c r="G46" s="49">
        <f>IF(ISNA(VLOOKUP($B46,'Other Capital Needs'!$C$51:$P$95,G$6,0)),0,VLOOKUP($B46,'Other Capital Needs'!$C$51:$P$95,G$6,0))+IF(ISNA(VLOOKUP('Project Details by Yr'!$B46,'Public Grounds'!$A$11:$N$49,G$6,0)),0,VLOOKUP('Project Details by Yr'!$B46,'Public Grounds'!$A$11:$N$49,G$6,0))+IF(ISNA(VLOOKUP('Project Details by Yr'!$B46,'Public Buildings'!$A$10:$N$96,G$6,0)),0,VLOOKUP('Project Details by Yr'!$B46,'Public Buildings'!$A$10:$N$96,G$6,0))+IF(ISNA(VLOOKUP('Project Details by Yr'!$B46,Bridges!$A$9:$N$24,G$6,0)),0,VLOOKUP('Project Details by Yr'!$B46,Bridges!$A$9:$N$24,G$6,0))+IF(ISNA(VLOOKUP('Project Details by Yr'!$B46,'Parking Lots &amp; Playgrounds'!$A$9:$N$33,G$6,0)),0,VLOOKUP('Project Details by Yr'!$B46,'Parking Lots &amp; Playgrounds'!$A$9:$N$33,G$6,0))+IF(ISNA(VLOOKUP($B46,Vehicles!$B$9:$O$50,G$6,0)),0,VLOOKUP($B46,Vehicles!$B$9:$O$50,G$6,0))</f>
        <v>0</v>
      </c>
      <c r="H46" s="50"/>
      <c r="I46" s="49">
        <f t="shared" si="0"/>
        <v>0</v>
      </c>
      <c r="J46" s="49">
        <f t="shared" si="1"/>
        <v>0</v>
      </c>
      <c r="K46" s="49">
        <f t="shared" si="2"/>
        <v>0</v>
      </c>
    </row>
    <row r="47" spans="1:12" x14ac:dyDescent="0.25">
      <c r="B47" s="54" t="s">
        <v>219</v>
      </c>
      <c r="C47" s="54" t="s">
        <v>279</v>
      </c>
      <c r="D47" s="54" t="s">
        <v>271</v>
      </c>
      <c r="E47" s="53" t="s">
        <v>16</v>
      </c>
      <c r="F47" s="54"/>
      <c r="G47" s="49">
        <f>IF(ISNA(VLOOKUP($B47,'Other Capital Needs'!$C$51:$P$95,G$6,0)),0,VLOOKUP($B47,'Other Capital Needs'!$C$51:$P$95,G$6,0))+IF(ISNA(VLOOKUP('Project Details by Yr'!$B47,'Public Grounds'!$A$11:$N$49,G$6,0)),0,VLOOKUP('Project Details by Yr'!$B47,'Public Grounds'!$A$11:$N$49,G$6,0))+IF(ISNA(VLOOKUP('Project Details by Yr'!$B47,'Public Buildings'!$A$10:$N$96,G$6,0)),0,VLOOKUP('Project Details by Yr'!$B47,'Public Buildings'!$A$10:$N$96,G$6,0))+IF(ISNA(VLOOKUP('Project Details by Yr'!$B47,Bridges!$A$9:$N$24,G$6,0)),0,VLOOKUP('Project Details by Yr'!$B47,Bridges!$A$9:$N$24,G$6,0))+IF(ISNA(VLOOKUP('Project Details by Yr'!$B47,'Parking Lots &amp; Playgrounds'!$A$9:$N$33,G$6,0)),0,VLOOKUP('Project Details by Yr'!$B47,'Parking Lots &amp; Playgrounds'!$A$9:$N$33,G$6,0))+IF(ISNA(VLOOKUP($B47,Vehicles!$B$9:$O$50,G$6,0)),0,VLOOKUP($B47,Vehicles!$B$9:$O$50,G$6,0))</f>
        <v>325000</v>
      </c>
      <c r="H47" s="50">
        <v>1</v>
      </c>
      <c r="I47" s="49">
        <f t="shared" si="0"/>
        <v>0</v>
      </c>
      <c r="J47" s="51">
        <f t="shared" si="1"/>
        <v>325000</v>
      </c>
      <c r="K47" s="49">
        <f t="shared" si="2"/>
        <v>0</v>
      </c>
    </row>
    <row r="48" spans="1:12" x14ac:dyDescent="0.25">
      <c r="B48" s="57" t="s">
        <v>227</v>
      </c>
      <c r="C48" s="40" t="s">
        <v>280</v>
      </c>
      <c r="D48" s="40" t="s">
        <v>271</v>
      </c>
      <c r="E48" s="43" t="s">
        <v>16</v>
      </c>
      <c r="G48" s="49">
        <f>IF(ISNA(VLOOKUP($B48,'Other Capital Needs'!$C$51:$P$95,G$6,0)),0,VLOOKUP($B48,'Other Capital Needs'!$C$51:$P$95,G$6,0))+IF(ISNA(VLOOKUP('Project Details by Yr'!$B48,'Public Grounds'!$A$11:$N$49,G$6,0)),0,VLOOKUP('Project Details by Yr'!$B48,'Public Grounds'!$A$11:$N$49,G$6,0))+IF(ISNA(VLOOKUP('Project Details by Yr'!$B48,'Public Buildings'!$A$10:$N$96,G$6,0)),0,VLOOKUP('Project Details by Yr'!$B48,'Public Buildings'!$A$10:$N$96,G$6,0))+IF(ISNA(VLOOKUP('Project Details by Yr'!$B48,Bridges!$A$9:$N$24,G$6,0)),0,VLOOKUP('Project Details by Yr'!$B48,Bridges!$A$9:$N$24,G$6,0))+IF(ISNA(VLOOKUP('Project Details by Yr'!$B48,'Parking Lots &amp; Playgrounds'!$A$9:$N$33,G$6,0)),0,VLOOKUP('Project Details by Yr'!$B48,'Parking Lots &amp; Playgrounds'!$A$9:$N$33,G$6,0))+IF(ISNA(VLOOKUP($B48,Vehicles!$B$9:$O$50,G$6,0)),0,VLOOKUP($B48,Vehicles!$B$9:$O$50,G$6,0))</f>
        <v>150000</v>
      </c>
      <c r="H48" s="50"/>
      <c r="I48" s="49">
        <f t="shared" si="0"/>
        <v>0</v>
      </c>
      <c r="J48" s="49">
        <f t="shared" si="1"/>
        <v>0</v>
      </c>
      <c r="K48" s="49">
        <f t="shared" si="2"/>
        <v>0</v>
      </c>
    </row>
    <row r="49" spans="2:12" x14ac:dyDescent="0.25">
      <c r="B49" s="40" t="s">
        <v>225</v>
      </c>
      <c r="C49" s="40" t="s">
        <v>47</v>
      </c>
      <c r="D49" s="40" t="s">
        <v>271</v>
      </c>
      <c r="E49" s="43" t="s">
        <v>16</v>
      </c>
      <c r="G49" s="49">
        <f>IF(ISNA(VLOOKUP($B49,'Other Capital Needs'!$C$51:$P$95,G$6,0)),0,VLOOKUP($B49,'Other Capital Needs'!$C$51:$P$95,G$6,0))+IF(ISNA(VLOOKUP('Project Details by Yr'!$B49,'Public Grounds'!$A$11:$N$49,G$6,0)),0,VLOOKUP('Project Details by Yr'!$B49,'Public Grounds'!$A$11:$N$49,G$6,0))+IF(ISNA(VLOOKUP('Project Details by Yr'!$B49,'Public Buildings'!$A$10:$N$96,G$6,0)),0,VLOOKUP('Project Details by Yr'!$B49,'Public Buildings'!$A$10:$N$96,G$6,0))+IF(ISNA(VLOOKUP('Project Details by Yr'!$B49,Bridges!$A$9:$N$24,G$6,0)),0,VLOOKUP('Project Details by Yr'!$B49,Bridges!$A$9:$N$24,G$6,0))+IF(ISNA(VLOOKUP('Project Details by Yr'!$B49,'Parking Lots &amp; Playgrounds'!$A$9:$N$33,G$6,0)),0,VLOOKUP('Project Details by Yr'!$B49,'Parking Lots &amp; Playgrounds'!$A$9:$N$33,G$6,0))+IF(ISNA(VLOOKUP($B49,Vehicles!$B$9:$O$50,G$6,0)),0,VLOOKUP($B49,Vehicles!$B$9:$O$50,G$6,0))</f>
        <v>25000</v>
      </c>
      <c r="H49" s="50">
        <v>1</v>
      </c>
      <c r="I49" s="49">
        <f t="shared" si="0"/>
        <v>0</v>
      </c>
      <c r="J49" s="49">
        <f t="shared" si="1"/>
        <v>25000</v>
      </c>
      <c r="K49" s="49">
        <f t="shared" si="2"/>
        <v>0</v>
      </c>
    </row>
    <row r="50" spans="2:12" x14ac:dyDescent="0.25">
      <c r="B50" s="40" t="s">
        <v>240</v>
      </c>
      <c r="C50" s="40" t="s">
        <v>47</v>
      </c>
      <c r="D50" s="40" t="s">
        <v>272</v>
      </c>
      <c r="E50" s="43" t="s">
        <v>19</v>
      </c>
      <c r="G50" s="49">
        <f>IF(ISNA(VLOOKUP($B50,'Other Capital Needs'!$C$51:$P$95,G$6,0)),0,VLOOKUP($B50,'Other Capital Needs'!$C$51:$P$95,G$6,0))+IF(ISNA(VLOOKUP('Project Details by Yr'!$B50,'Public Grounds'!$A$11:$N$49,G$6,0)),0,VLOOKUP('Project Details by Yr'!$B50,'Public Grounds'!$A$11:$N$49,G$6,0))+IF(ISNA(VLOOKUP('Project Details by Yr'!$B50,'Public Buildings'!$A$10:$N$96,G$6,0)),0,VLOOKUP('Project Details by Yr'!$B50,'Public Buildings'!$A$10:$N$96,G$6,0))+IF(ISNA(VLOOKUP('Project Details by Yr'!$B50,Bridges!$A$9:$N$24,G$6,0)),0,VLOOKUP('Project Details by Yr'!$B50,Bridges!$A$9:$N$24,G$6,0))+IF(ISNA(VLOOKUP('Project Details by Yr'!$B50,'Parking Lots &amp; Playgrounds'!$A$9:$N$33,G$6,0)),0,VLOOKUP('Project Details by Yr'!$B50,'Parking Lots &amp; Playgrounds'!$A$9:$N$33,G$6,0))+IF(ISNA(VLOOKUP($B50,Vehicles!$B$9:$O$50,G$6,0)),0,VLOOKUP($B50,Vehicles!$B$9:$O$50,G$6,0))</f>
        <v>0</v>
      </c>
      <c r="H50" s="50">
        <v>1</v>
      </c>
      <c r="I50" s="49">
        <f t="shared" si="0"/>
        <v>0</v>
      </c>
      <c r="J50" s="49">
        <f t="shared" si="1"/>
        <v>0</v>
      </c>
      <c r="K50" s="49">
        <f t="shared" si="2"/>
        <v>0</v>
      </c>
    </row>
    <row r="51" spans="2:12" x14ac:dyDescent="0.25">
      <c r="B51" s="40" t="s">
        <v>144</v>
      </c>
      <c r="C51" s="40" t="s">
        <v>47</v>
      </c>
      <c r="D51" s="40" t="s">
        <v>272</v>
      </c>
      <c r="E51" s="43" t="s">
        <v>16</v>
      </c>
      <c r="G51" s="49">
        <f>IF(ISNA(VLOOKUP($B51,'Other Capital Needs'!$C$51:$P$95,G$6,0)),0,VLOOKUP($B51,'Other Capital Needs'!$C$51:$P$95,G$6,0))+IF(ISNA(VLOOKUP('Project Details by Yr'!$B51,'Public Grounds'!$A$11:$N$49,G$6,0)),0,VLOOKUP('Project Details by Yr'!$B51,'Public Grounds'!$A$11:$N$49,G$6,0))+IF(ISNA(VLOOKUP('Project Details by Yr'!$B51,'Public Buildings'!$A$10:$N$96,G$6,0)),0,VLOOKUP('Project Details by Yr'!$B51,'Public Buildings'!$A$10:$N$96,G$6,0))+IF(ISNA(VLOOKUP('Project Details by Yr'!$B51,Bridges!$A$9:$N$24,G$6,0)),0,VLOOKUP('Project Details by Yr'!$B51,Bridges!$A$9:$N$24,G$6,0))+IF(ISNA(VLOOKUP('Project Details by Yr'!$B51,'Parking Lots &amp; Playgrounds'!$A$9:$N$33,G$6,0)),0,VLOOKUP('Project Details by Yr'!$B51,'Parking Lots &amp; Playgrounds'!$A$9:$N$33,G$6,0))+IF(ISNA(VLOOKUP($B51,Vehicles!$B$9:$O$50,G$6,0)),0,VLOOKUP($B51,Vehicles!$B$9:$O$50,G$6,0))</f>
        <v>0</v>
      </c>
      <c r="H51" s="50">
        <v>1</v>
      </c>
      <c r="I51" s="49">
        <f t="shared" si="0"/>
        <v>0</v>
      </c>
      <c r="J51" s="51">
        <f t="shared" si="1"/>
        <v>0</v>
      </c>
      <c r="K51" s="49">
        <f t="shared" si="2"/>
        <v>0</v>
      </c>
    </row>
    <row r="52" spans="2:12" x14ac:dyDescent="0.25">
      <c r="B52" s="40" t="s">
        <v>191</v>
      </c>
      <c r="C52" s="40" t="s">
        <v>47</v>
      </c>
      <c r="D52" s="40" t="s">
        <v>272</v>
      </c>
      <c r="E52" s="43" t="s">
        <v>16</v>
      </c>
      <c r="G52" s="49">
        <f>IF(ISNA(VLOOKUP($B52,'Other Capital Needs'!$C$51:$P$95,G$6,0)),0,VLOOKUP($B52,'Other Capital Needs'!$C$51:$P$95,G$6,0))+IF(ISNA(VLOOKUP('Project Details by Yr'!$B52,'Public Grounds'!$A$11:$N$49,G$6,0)),0,VLOOKUP('Project Details by Yr'!$B52,'Public Grounds'!$A$11:$N$49,G$6,0))+IF(ISNA(VLOOKUP('Project Details by Yr'!$B52,'Public Buildings'!$A$10:$N$96,G$6,0)),0,VLOOKUP('Project Details by Yr'!$B52,'Public Buildings'!$A$10:$N$96,G$6,0))+IF(ISNA(VLOOKUP('Project Details by Yr'!$B52,Bridges!$A$9:$N$24,G$6,0)),0,VLOOKUP('Project Details by Yr'!$B52,Bridges!$A$9:$N$24,G$6,0))+IF(ISNA(VLOOKUP('Project Details by Yr'!$B52,'Parking Lots &amp; Playgrounds'!$A$9:$N$33,G$6,0)),0,VLOOKUP('Project Details by Yr'!$B52,'Parking Lots &amp; Playgrounds'!$A$9:$N$33,G$6,0))+IF(ISNA(VLOOKUP($B52,Vehicles!$B$9:$O$50,G$6,0)),0,VLOOKUP($B52,Vehicles!$B$9:$O$50,G$6,0))</f>
        <v>10000</v>
      </c>
      <c r="H52" s="50">
        <v>1</v>
      </c>
      <c r="I52" s="49">
        <f t="shared" si="0"/>
        <v>0</v>
      </c>
      <c r="J52" s="49">
        <f t="shared" si="1"/>
        <v>10000</v>
      </c>
      <c r="K52" s="49">
        <f t="shared" si="2"/>
        <v>0</v>
      </c>
      <c r="L52" s="52" t="s">
        <v>303</v>
      </c>
    </row>
    <row r="53" spans="2:12" x14ac:dyDescent="0.25">
      <c r="B53" s="40" t="s">
        <v>192</v>
      </c>
      <c r="C53" s="40" t="s">
        <v>47</v>
      </c>
      <c r="D53" s="40" t="s">
        <v>272</v>
      </c>
      <c r="E53" s="43" t="s">
        <v>16</v>
      </c>
      <c r="G53" s="49">
        <f>IF(ISNA(VLOOKUP($B53,'Other Capital Needs'!$C$51:$P$95,G$6,0)),0,VLOOKUP($B53,'Other Capital Needs'!$C$51:$P$95,G$6,0))+IF(ISNA(VLOOKUP('Project Details by Yr'!$B53,'Public Grounds'!$A$11:$N$49,G$6,0)),0,VLOOKUP('Project Details by Yr'!$B53,'Public Grounds'!$A$11:$N$49,G$6,0))+IF(ISNA(VLOOKUP('Project Details by Yr'!$B53,'Public Buildings'!$A$10:$N$96,G$6,0)),0,VLOOKUP('Project Details by Yr'!$B53,'Public Buildings'!$A$10:$N$96,G$6,0))+IF(ISNA(VLOOKUP('Project Details by Yr'!$B53,Bridges!$A$9:$N$24,G$6,0)),0,VLOOKUP('Project Details by Yr'!$B53,Bridges!$A$9:$N$24,G$6,0))+IF(ISNA(VLOOKUP('Project Details by Yr'!$B53,'Parking Lots &amp; Playgrounds'!$A$9:$N$33,G$6,0)),0,VLOOKUP('Project Details by Yr'!$B53,'Parking Lots &amp; Playgrounds'!$A$9:$N$33,G$6,0))+IF(ISNA(VLOOKUP($B53,Vehicles!$B$9:$O$50,G$6,0)),0,VLOOKUP($B53,Vehicles!$B$9:$O$50,G$6,0))</f>
        <v>25000</v>
      </c>
      <c r="H53" s="50">
        <v>1</v>
      </c>
      <c r="I53" s="49">
        <f t="shared" si="0"/>
        <v>0</v>
      </c>
      <c r="J53" s="49">
        <f t="shared" si="1"/>
        <v>25000</v>
      </c>
      <c r="K53" s="49">
        <f t="shared" si="2"/>
        <v>0</v>
      </c>
      <c r="L53" s="52" t="s">
        <v>303</v>
      </c>
    </row>
    <row r="54" spans="2:12" x14ac:dyDescent="0.25">
      <c r="B54" s="40" t="s">
        <v>193</v>
      </c>
      <c r="C54" s="40" t="s">
        <v>47</v>
      </c>
      <c r="D54" s="40" t="s">
        <v>272</v>
      </c>
      <c r="E54" s="43" t="s">
        <v>16</v>
      </c>
      <c r="G54" s="49">
        <f>IF(ISNA(VLOOKUP($B54,'Other Capital Needs'!$C$51:$P$95,G$6,0)),0,VLOOKUP($B54,'Other Capital Needs'!$C$51:$P$95,G$6,0))+IF(ISNA(VLOOKUP('Project Details by Yr'!$B54,'Public Grounds'!$A$11:$N$49,G$6,0)),0,VLOOKUP('Project Details by Yr'!$B54,'Public Grounds'!$A$11:$N$49,G$6,0))+IF(ISNA(VLOOKUP('Project Details by Yr'!$B54,'Public Buildings'!$A$10:$N$96,G$6,0)),0,VLOOKUP('Project Details by Yr'!$B54,'Public Buildings'!$A$10:$N$96,G$6,0))+IF(ISNA(VLOOKUP('Project Details by Yr'!$B54,Bridges!$A$9:$N$24,G$6,0)),0,VLOOKUP('Project Details by Yr'!$B54,Bridges!$A$9:$N$24,G$6,0))+IF(ISNA(VLOOKUP('Project Details by Yr'!$B54,'Parking Lots &amp; Playgrounds'!$A$9:$N$33,G$6,0)),0,VLOOKUP('Project Details by Yr'!$B54,'Parking Lots &amp; Playgrounds'!$A$9:$N$33,G$6,0))+IF(ISNA(VLOOKUP($B54,Vehicles!$B$9:$O$50,G$6,0)),0,VLOOKUP($B54,Vehicles!$B$9:$O$50,G$6,0))</f>
        <v>10000</v>
      </c>
      <c r="H54" s="50">
        <v>1</v>
      </c>
      <c r="I54" s="49">
        <f t="shared" si="0"/>
        <v>0</v>
      </c>
      <c r="J54" s="49">
        <f t="shared" si="1"/>
        <v>10000</v>
      </c>
      <c r="K54" s="49">
        <f t="shared" si="2"/>
        <v>0</v>
      </c>
      <c r="L54" s="52" t="s">
        <v>303</v>
      </c>
    </row>
    <row r="55" spans="2:12" x14ac:dyDescent="0.25">
      <c r="B55" s="40" t="s">
        <v>200</v>
      </c>
      <c r="C55" s="40" t="s">
        <v>47</v>
      </c>
      <c r="D55" s="40" t="s">
        <v>272</v>
      </c>
      <c r="E55" s="43" t="s">
        <v>16</v>
      </c>
      <c r="G55" s="49">
        <f>IF(ISNA(VLOOKUP($B55,'Other Capital Needs'!$C$51:$P$95,G$6,0)),0,VLOOKUP($B55,'Other Capital Needs'!$C$51:$P$95,G$6,0))+IF(ISNA(VLOOKUP('Project Details by Yr'!$B55,'Public Grounds'!$A$11:$N$49,G$6,0)),0,VLOOKUP('Project Details by Yr'!$B55,'Public Grounds'!$A$11:$N$49,G$6,0))+IF(ISNA(VLOOKUP('Project Details by Yr'!$B55,'Public Buildings'!$A$10:$N$96,G$6,0)),0,VLOOKUP('Project Details by Yr'!$B55,'Public Buildings'!$A$10:$N$96,G$6,0))+IF(ISNA(VLOOKUP('Project Details by Yr'!$B55,Bridges!$A$9:$N$24,G$6,0)),0,VLOOKUP('Project Details by Yr'!$B55,Bridges!$A$9:$N$24,G$6,0))+IF(ISNA(VLOOKUP('Project Details by Yr'!$B55,'Parking Lots &amp; Playgrounds'!$A$9:$N$33,G$6,0)),0,VLOOKUP('Project Details by Yr'!$B55,'Parking Lots &amp; Playgrounds'!$A$9:$N$33,G$6,0))+IF(ISNA(VLOOKUP($B55,Vehicles!$B$9:$O$50,G$6,0)),0,VLOOKUP($B55,Vehicles!$B$9:$O$50,G$6,0))</f>
        <v>50000</v>
      </c>
      <c r="H55" s="50">
        <v>1</v>
      </c>
      <c r="I55" s="49">
        <f t="shared" si="0"/>
        <v>0</v>
      </c>
      <c r="J55" s="49">
        <f t="shared" si="1"/>
        <v>50000</v>
      </c>
      <c r="K55" s="49">
        <f t="shared" si="2"/>
        <v>0</v>
      </c>
    </row>
    <row r="56" spans="2:12" x14ac:dyDescent="0.25">
      <c r="B56" s="40" t="s">
        <v>80</v>
      </c>
      <c r="C56" s="40" t="s">
        <v>91</v>
      </c>
      <c r="D56" s="40" t="s">
        <v>271</v>
      </c>
      <c r="E56" s="43" t="s">
        <v>16</v>
      </c>
      <c r="G56" s="49">
        <f>IF(ISNA(VLOOKUP($B56,'Other Capital Needs'!$C$51:$P$95,G$6,0)),0,VLOOKUP($B56,'Other Capital Needs'!$C$51:$P$95,G$6,0))+IF(ISNA(VLOOKUP('Project Details by Yr'!$B56,'Public Grounds'!$A$11:$N$49,G$6,0)),0,VLOOKUP('Project Details by Yr'!$B56,'Public Grounds'!$A$11:$N$49,G$6,0))+IF(ISNA(VLOOKUP('Project Details by Yr'!$B56,'Public Buildings'!$A$10:$N$96,G$6,0)),0,VLOOKUP('Project Details by Yr'!$B56,'Public Buildings'!$A$10:$N$96,G$6,0))+IF(ISNA(VLOOKUP('Project Details by Yr'!$B56,Bridges!$A$9:$N$24,G$6,0)),0,VLOOKUP('Project Details by Yr'!$B56,Bridges!$A$9:$N$24,G$6,0))+IF(ISNA(VLOOKUP('Project Details by Yr'!$B56,'Parking Lots &amp; Playgrounds'!$A$9:$N$33,G$6,0)),0,VLOOKUP('Project Details by Yr'!$B56,'Parking Lots &amp; Playgrounds'!$A$9:$N$33,G$6,0))+IF(ISNA(VLOOKUP($B56,Vehicles!$B$9:$O$50,G$6,0)),0,VLOOKUP($B56,Vehicles!$B$9:$O$50,G$6,0))</f>
        <v>0</v>
      </c>
      <c r="H56" s="50"/>
      <c r="I56" s="49">
        <f t="shared" si="0"/>
        <v>0</v>
      </c>
      <c r="J56" s="49">
        <f t="shared" si="1"/>
        <v>0</v>
      </c>
      <c r="K56" s="49">
        <f t="shared" si="2"/>
        <v>0</v>
      </c>
      <c r="L56" s="52" t="s">
        <v>298</v>
      </c>
    </row>
    <row r="57" spans="2:12" x14ac:dyDescent="0.25">
      <c r="B57" s="40" t="s">
        <v>81</v>
      </c>
      <c r="C57" s="40" t="s">
        <v>91</v>
      </c>
      <c r="D57" s="40" t="s">
        <v>271</v>
      </c>
      <c r="E57" s="43" t="s">
        <v>16</v>
      </c>
      <c r="G57" s="49">
        <f>IF(ISNA(VLOOKUP($B57,'Other Capital Needs'!$C$51:$P$95,G$6,0)),0,VLOOKUP($B57,'Other Capital Needs'!$C$51:$P$95,G$6,0))+IF(ISNA(VLOOKUP('Project Details by Yr'!$B57,'Public Grounds'!$A$11:$N$49,G$6,0)),0,VLOOKUP('Project Details by Yr'!$B57,'Public Grounds'!$A$11:$N$49,G$6,0))+IF(ISNA(VLOOKUP('Project Details by Yr'!$B57,'Public Buildings'!$A$10:$N$96,G$6,0)),0,VLOOKUP('Project Details by Yr'!$B57,'Public Buildings'!$A$10:$N$96,G$6,0))+IF(ISNA(VLOOKUP('Project Details by Yr'!$B57,Bridges!$A$9:$N$24,G$6,0)),0,VLOOKUP('Project Details by Yr'!$B57,Bridges!$A$9:$N$24,G$6,0))+IF(ISNA(VLOOKUP('Project Details by Yr'!$B57,'Parking Lots &amp; Playgrounds'!$A$9:$N$33,G$6,0)),0,VLOOKUP('Project Details by Yr'!$B57,'Parking Lots &amp; Playgrounds'!$A$9:$N$33,G$6,0))+IF(ISNA(VLOOKUP($B57,Vehicles!$B$9:$O$50,G$6,0)),0,VLOOKUP($B57,Vehicles!$B$9:$O$50,G$6,0))</f>
        <v>0</v>
      </c>
      <c r="H57" s="50"/>
      <c r="I57" s="49">
        <f t="shared" si="0"/>
        <v>0</v>
      </c>
      <c r="J57" s="49">
        <f t="shared" si="1"/>
        <v>0</v>
      </c>
      <c r="K57" s="49">
        <f t="shared" si="2"/>
        <v>0</v>
      </c>
      <c r="L57" s="52" t="s">
        <v>298</v>
      </c>
    </row>
    <row r="58" spans="2:12" x14ac:dyDescent="0.25">
      <c r="B58" s="40" t="s">
        <v>88</v>
      </c>
      <c r="C58" s="40" t="s">
        <v>91</v>
      </c>
      <c r="D58" s="40" t="s">
        <v>272</v>
      </c>
      <c r="E58" s="43" t="s">
        <v>16</v>
      </c>
      <c r="G58" s="49">
        <f>IF(ISNA(VLOOKUP($B58,'Other Capital Needs'!$C$51:$P$95,G$6,0)),0,VLOOKUP($B58,'Other Capital Needs'!$C$51:$P$95,G$6,0))+IF(ISNA(VLOOKUP('Project Details by Yr'!$B58,'Public Grounds'!$A$11:$N$49,G$6,0)),0,VLOOKUP('Project Details by Yr'!$B58,'Public Grounds'!$A$11:$N$49,G$6,0))+IF(ISNA(VLOOKUP('Project Details by Yr'!$B58,'Public Buildings'!$A$10:$N$96,G$6,0)),0,VLOOKUP('Project Details by Yr'!$B58,'Public Buildings'!$A$10:$N$96,G$6,0))+IF(ISNA(VLOOKUP('Project Details by Yr'!$B58,Bridges!$A$9:$N$24,G$6,0)),0,VLOOKUP('Project Details by Yr'!$B58,Bridges!$A$9:$N$24,G$6,0))+IF(ISNA(VLOOKUP('Project Details by Yr'!$B58,'Parking Lots &amp; Playgrounds'!$A$9:$N$33,G$6,0)),0,VLOOKUP('Project Details by Yr'!$B58,'Parking Lots &amp; Playgrounds'!$A$9:$N$33,G$6,0))+IF(ISNA(VLOOKUP($B58,Vehicles!$B$9:$O$50,G$6,0)),0,VLOOKUP($B58,Vehicles!$B$9:$O$50,G$6,0))</f>
        <v>210000</v>
      </c>
      <c r="H58" s="50">
        <v>1</v>
      </c>
      <c r="I58" s="49">
        <f t="shared" si="0"/>
        <v>0</v>
      </c>
      <c r="J58" s="49">
        <f t="shared" si="1"/>
        <v>210000</v>
      </c>
      <c r="K58" s="49">
        <f t="shared" si="2"/>
        <v>0</v>
      </c>
    </row>
    <row r="59" spans="2:12" x14ac:dyDescent="0.25">
      <c r="B59" s="40" t="s">
        <v>96</v>
      </c>
      <c r="C59" s="40" t="s">
        <v>91</v>
      </c>
      <c r="D59" s="40" t="s">
        <v>272</v>
      </c>
      <c r="E59" s="43" t="s">
        <v>16</v>
      </c>
      <c r="G59" s="49">
        <f>IF(ISNA(VLOOKUP($B59,'Other Capital Needs'!$C$51:$P$95,G$6,0)),0,VLOOKUP($B59,'Other Capital Needs'!$C$51:$P$95,G$6,0))+IF(ISNA(VLOOKUP('Project Details by Yr'!$B59,'Public Grounds'!$A$11:$N$49,G$6,0)),0,VLOOKUP('Project Details by Yr'!$B59,'Public Grounds'!$A$11:$N$49,G$6,0))+IF(ISNA(VLOOKUP('Project Details by Yr'!$B59,'Public Buildings'!$A$10:$N$96,G$6,0)),0,VLOOKUP('Project Details by Yr'!$B59,'Public Buildings'!$A$10:$N$96,G$6,0))+IF(ISNA(VLOOKUP('Project Details by Yr'!$B59,Bridges!$A$9:$N$24,G$6,0)),0,VLOOKUP('Project Details by Yr'!$B59,Bridges!$A$9:$N$24,G$6,0))+IF(ISNA(VLOOKUP('Project Details by Yr'!$B59,'Parking Lots &amp; Playgrounds'!$A$9:$N$33,G$6,0)),0,VLOOKUP('Project Details by Yr'!$B59,'Parking Lots &amp; Playgrounds'!$A$9:$N$33,G$6,0))+IF(ISNA(VLOOKUP($B59,Vehicles!$B$9:$O$50,G$6,0)),0,VLOOKUP($B59,Vehicles!$B$9:$O$50,G$6,0))</f>
        <v>0</v>
      </c>
      <c r="H59" s="50">
        <v>1</v>
      </c>
      <c r="I59" s="49">
        <f t="shared" si="0"/>
        <v>0</v>
      </c>
      <c r="J59" s="49">
        <f t="shared" si="1"/>
        <v>0</v>
      </c>
      <c r="K59" s="49">
        <f t="shared" si="2"/>
        <v>0</v>
      </c>
    </row>
    <row r="60" spans="2:12" x14ac:dyDescent="0.25">
      <c r="B60" s="40" t="s">
        <v>124</v>
      </c>
      <c r="C60" s="40" t="s">
        <v>49</v>
      </c>
      <c r="D60" s="40" t="s">
        <v>271</v>
      </c>
      <c r="E60" s="43" t="s">
        <v>16</v>
      </c>
      <c r="G60" s="49">
        <f>IF(ISNA(VLOOKUP($B60,'Other Capital Needs'!$C$51:$P$95,G$6,0)),0,VLOOKUP($B60,'Other Capital Needs'!$C$51:$P$95,G$6,0))+IF(ISNA(VLOOKUP('Project Details by Yr'!$B60,'Public Grounds'!$A$11:$N$49,G$6,0)),0,VLOOKUP('Project Details by Yr'!$B60,'Public Grounds'!$A$11:$N$49,G$6,0))+IF(ISNA(VLOOKUP('Project Details by Yr'!$B60,'Public Buildings'!$A$10:$N$96,G$6,0)),0,VLOOKUP('Project Details by Yr'!$B60,'Public Buildings'!$A$10:$N$96,G$6,0))+IF(ISNA(VLOOKUP('Project Details by Yr'!$B60,Bridges!$A$9:$N$24,G$6,0)),0,VLOOKUP('Project Details by Yr'!$B60,Bridges!$A$9:$N$24,G$6,0))+IF(ISNA(VLOOKUP('Project Details by Yr'!$B60,'Parking Lots &amp; Playgrounds'!$A$9:$N$33,G$6,0)),0,VLOOKUP('Project Details by Yr'!$B60,'Parking Lots &amp; Playgrounds'!$A$9:$N$33,G$6,0))+IF(ISNA(VLOOKUP($B60,Vehicles!$B$9:$O$50,G$6,0)),0,VLOOKUP($B60,Vehicles!$B$9:$O$50,G$6,0))</f>
        <v>145000</v>
      </c>
      <c r="H60" s="50">
        <v>1</v>
      </c>
      <c r="I60" s="49">
        <f t="shared" si="0"/>
        <v>0</v>
      </c>
      <c r="J60" s="49">
        <f t="shared" si="1"/>
        <v>145000</v>
      </c>
      <c r="K60" s="49">
        <f t="shared" si="2"/>
        <v>0</v>
      </c>
    </row>
    <row r="61" spans="2:12" x14ac:dyDescent="0.25">
      <c r="B61" s="40" t="s">
        <v>127</v>
      </c>
      <c r="C61" s="40" t="s">
        <v>49</v>
      </c>
      <c r="D61" s="40" t="s">
        <v>271</v>
      </c>
      <c r="E61" s="43" t="s">
        <v>16</v>
      </c>
      <c r="G61" s="49">
        <f>IF(ISNA(VLOOKUP($B61,'Other Capital Needs'!$C$51:$P$95,G$6,0)),0,VLOOKUP($B61,'Other Capital Needs'!$C$51:$P$95,G$6,0))+IF(ISNA(VLOOKUP('Project Details by Yr'!$B61,'Public Grounds'!$A$11:$N$49,G$6,0)),0,VLOOKUP('Project Details by Yr'!$B61,'Public Grounds'!$A$11:$N$49,G$6,0))+IF(ISNA(VLOOKUP('Project Details by Yr'!$B61,'Public Buildings'!$A$10:$N$96,G$6,0)),0,VLOOKUP('Project Details by Yr'!$B61,'Public Buildings'!$A$10:$N$96,G$6,0))+IF(ISNA(VLOOKUP('Project Details by Yr'!$B61,Bridges!$A$9:$N$24,G$6,0)),0,VLOOKUP('Project Details by Yr'!$B61,Bridges!$A$9:$N$24,G$6,0))+IF(ISNA(VLOOKUP('Project Details by Yr'!$B61,'Parking Lots &amp; Playgrounds'!$A$9:$N$33,G$6,0)),0,VLOOKUP('Project Details by Yr'!$B61,'Parking Lots &amp; Playgrounds'!$A$9:$N$33,G$6,0))+IF(ISNA(VLOOKUP($B61,Vehicles!$B$9:$O$50,G$6,0)),0,VLOOKUP($B61,Vehicles!$B$9:$O$50,G$6,0))</f>
        <v>33000</v>
      </c>
      <c r="H61" s="50">
        <v>1</v>
      </c>
      <c r="I61" s="49">
        <f t="shared" si="0"/>
        <v>0</v>
      </c>
      <c r="J61" s="49">
        <f t="shared" si="1"/>
        <v>33000</v>
      </c>
      <c r="K61" s="49">
        <f t="shared" si="2"/>
        <v>0</v>
      </c>
    </row>
    <row r="62" spans="2:12" x14ac:dyDescent="0.25">
      <c r="B62" s="40" t="s">
        <v>128</v>
      </c>
      <c r="C62" s="40" t="s">
        <v>49</v>
      </c>
      <c r="D62" s="40" t="s">
        <v>271</v>
      </c>
      <c r="E62" s="43" t="s">
        <v>16</v>
      </c>
      <c r="G62" s="49">
        <f>IF(ISNA(VLOOKUP($B62,'Other Capital Needs'!$C$51:$P$95,G$6,0)),0,VLOOKUP($B62,'Other Capital Needs'!$C$51:$P$95,G$6,0))+IF(ISNA(VLOOKUP('Project Details by Yr'!$B62,'Public Grounds'!$A$11:$N$49,G$6,0)),0,VLOOKUP('Project Details by Yr'!$B62,'Public Grounds'!$A$11:$N$49,G$6,0))+IF(ISNA(VLOOKUP('Project Details by Yr'!$B62,'Public Buildings'!$A$10:$N$96,G$6,0)),0,VLOOKUP('Project Details by Yr'!$B62,'Public Buildings'!$A$10:$N$96,G$6,0))+IF(ISNA(VLOOKUP('Project Details by Yr'!$B62,Bridges!$A$9:$N$24,G$6,0)),0,VLOOKUP('Project Details by Yr'!$B62,Bridges!$A$9:$N$24,G$6,0))+IF(ISNA(VLOOKUP('Project Details by Yr'!$B62,'Parking Lots &amp; Playgrounds'!$A$9:$N$33,G$6,0)),0,VLOOKUP('Project Details by Yr'!$B62,'Parking Lots &amp; Playgrounds'!$A$9:$N$33,G$6,0))+IF(ISNA(VLOOKUP($B62,Vehicles!$B$9:$O$50,G$6,0)),0,VLOOKUP($B62,Vehicles!$B$9:$O$50,G$6,0))</f>
        <v>28000</v>
      </c>
      <c r="H62" s="50">
        <v>1</v>
      </c>
      <c r="I62" s="49">
        <f t="shared" si="0"/>
        <v>0</v>
      </c>
      <c r="J62" s="49">
        <f t="shared" si="1"/>
        <v>28000</v>
      </c>
      <c r="K62" s="49">
        <f t="shared" si="2"/>
        <v>0</v>
      </c>
    </row>
    <row r="63" spans="2:12" x14ac:dyDescent="0.25">
      <c r="B63" t="s">
        <v>308</v>
      </c>
      <c r="C63" s="40" t="s">
        <v>49</v>
      </c>
      <c r="D63" s="40" t="s">
        <v>271</v>
      </c>
      <c r="E63" s="43" t="s">
        <v>16</v>
      </c>
      <c r="G63" s="49">
        <f>IF(ISNA(VLOOKUP($B63,'Other Capital Needs'!$C$51:$P$95,G$6,0)),0,VLOOKUP($B63,'Other Capital Needs'!$C$51:$P$95,G$6,0))+IF(ISNA(VLOOKUP('Project Details by Yr'!$B63,'Public Grounds'!$A$11:$N$49,G$6,0)),0,VLOOKUP('Project Details by Yr'!$B63,'Public Grounds'!$A$11:$N$49,G$6,0))+IF(ISNA(VLOOKUP('Project Details by Yr'!$B63,'Public Buildings'!$A$10:$N$96,G$6,0)),0,VLOOKUP('Project Details by Yr'!$B63,'Public Buildings'!$A$10:$N$96,G$6,0))+IF(ISNA(VLOOKUP('Project Details by Yr'!$B63,Bridges!$A$9:$N$24,G$6,0)),0,VLOOKUP('Project Details by Yr'!$B63,Bridges!$A$9:$N$24,G$6,0))+IF(ISNA(VLOOKUP('Project Details by Yr'!$B63,'Parking Lots &amp; Playgrounds'!$A$9:$N$33,G$6,0)),0,VLOOKUP('Project Details by Yr'!$B63,'Parking Lots &amp; Playgrounds'!$A$9:$N$33,G$6,0))+IF(ISNA(VLOOKUP($B63,Vehicles!$B$9:$O$50,G$6,0)),0,VLOOKUP($B63,Vehicles!$B$9:$O$50,G$6,0))</f>
        <v>60000</v>
      </c>
      <c r="H63" s="50">
        <v>1</v>
      </c>
      <c r="I63" s="49">
        <f t="shared" si="0"/>
        <v>0</v>
      </c>
      <c r="J63" s="49">
        <f t="shared" si="1"/>
        <v>60000</v>
      </c>
      <c r="K63" s="49">
        <f t="shared" si="2"/>
        <v>0</v>
      </c>
    </row>
    <row r="64" spans="2:12" x14ac:dyDescent="0.25">
      <c r="B64" s="40" t="s">
        <v>286</v>
      </c>
      <c r="C64" s="40" t="s">
        <v>49</v>
      </c>
      <c r="D64" s="40" t="s">
        <v>271</v>
      </c>
      <c r="E64" s="43" t="s">
        <v>16</v>
      </c>
      <c r="G64" s="49">
        <f>IF(ISNA(VLOOKUP($B64,'Other Capital Needs'!$C$51:$P$95,G$6,0)),0,VLOOKUP($B64,'Other Capital Needs'!$C$51:$P$95,G$6,0))+IF(ISNA(VLOOKUP('Project Details by Yr'!$B64,'Public Grounds'!$A$11:$N$49,G$6,0)),0,VLOOKUP('Project Details by Yr'!$B64,'Public Grounds'!$A$11:$N$49,G$6,0))+IF(ISNA(VLOOKUP('Project Details by Yr'!$B64,'Public Buildings'!$A$10:$N$96,G$6,0)),0,VLOOKUP('Project Details by Yr'!$B64,'Public Buildings'!$A$10:$N$96,G$6,0))+IF(ISNA(VLOOKUP('Project Details by Yr'!$B64,Bridges!$A$9:$N$24,G$6,0)),0,VLOOKUP('Project Details by Yr'!$B64,Bridges!$A$9:$N$24,G$6,0))+IF(ISNA(VLOOKUP('Project Details by Yr'!$B64,'Parking Lots &amp; Playgrounds'!$A$9:$N$33,G$6,0)),0,VLOOKUP('Project Details by Yr'!$B64,'Parking Lots &amp; Playgrounds'!$A$9:$N$33,G$6,0))+IF(ISNA(VLOOKUP($B64,Vehicles!$B$9:$O$50,G$6,0)),0,VLOOKUP($B64,Vehicles!$B$9:$O$50,G$6,0))</f>
        <v>0</v>
      </c>
      <c r="H64" s="50"/>
      <c r="I64" s="49">
        <f t="shared" si="0"/>
        <v>0</v>
      </c>
      <c r="J64" s="49">
        <f t="shared" si="1"/>
        <v>0</v>
      </c>
      <c r="K64" s="49">
        <f t="shared" si="2"/>
        <v>0</v>
      </c>
      <c r="L64" s="52" t="s">
        <v>289</v>
      </c>
    </row>
    <row r="65" spans="2:12" x14ac:dyDescent="0.25">
      <c r="B65" s="40" t="s">
        <v>121</v>
      </c>
      <c r="C65" s="40" t="s">
        <v>49</v>
      </c>
      <c r="D65" s="40" t="s">
        <v>271</v>
      </c>
      <c r="E65" s="43" t="s">
        <v>16</v>
      </c>
      <c r="G65" s="49">
        <f>IF(ISNA(VLOOKUP($B65,'Other Capital Needs'!$C$51:$P$95,G$6,0)),0,VLOOKUP($B65,'Other Capital Needs'!$C$51:$P$95,G$6,0))+IF(ISNA(VLOOKUP('Project Details by Yr'!$B65,'Public Grounds'!$A$11:$N$49,G$6,0)),0,VLOOKUP('Project Details by Yr'!$B65,'Public Grounds'!$A$11:$N$49,G$6,0))+IF(ISNA(VLOOKUP('Project Details by Yr'!$B65,'Public Buildings'!$A$10:$N$96,G$6,0)),0,VLOOKUP('Project Details by Yr'!$B65,'Public Buildings'!$A$10:$N$96,G$6,0))+IF(ISNA(VLOOKUP('Project Details by Yr'!$B65,Bridges!$A$9:$N$24,G$6,0)),0,VLOOKUP('Project Details by Yr'!$B65,Bridges!$A$9:$N$24,G$6,0))+IF(ISNA(VLOOKUP('Project Details by Yr'!$B65,'Parking Lots &amp; Playgrounds'!$A$9:$N$33,G$6,0)),0,VLOOKUP('Project Details by Yr'!$B65,'Parking Lots &amp; Playgrounds'!$A$9:$N$33,G$6,0))+IF(ISNA(VLOOKUP($B65,Vehicles!$B$9:$O$50,G$6,0)),0,VLOOKUP($B65,Vehicles!$B$9:$O$50,G$6,0))</f>
        <v>81949</v>
      </c>
      <c r="H65" s="50"/>
      <c r="I65" s="49">
        <f t="shared" si="0"/>
        <v>0</v>
      </c>
      <c r="J65" s="49">
        <f t="shared" si="1"/>
        <v>0</v>
      </c>
      <c r="K65" s="49">
        <f t="shared" si="2"/>
        <v>0</v>
      </c>
      <c r="L65" s="52" t="s">
        <v>289</v>
      </c>
    </row>
    <row r="66" spans="2:12" x14ac:dyDescent="0.25">
      <c r="B66" s="40" t="s">
        <v>123</v>
      </c>
      <c r="C66" s="40" t="s">
        <v>49</v>
      </c>
      <c r="D66" s="40" t="s">
        <v>271</v>
      </c>
      <c r="E66" s="43" t="s">
        <v>16</v>
      </c>
      <c r="G66" s="49">
        <f>IF(ISNA(VLOOKUP($B66,'Other Capital Needs'!$C$51:$P$95,G$6,0)),0,VLOOKUP($B66,'Other Capital Needs'!$C$51:$P$95,G$6,0))+IF(ISNA(VLOOKUP('Project Details by Yr'!$B66,'Public Grounds'!$A$11:$N$49,G$6,0)),0,VLOOKUP('Project Details by Yr'!$B66,'Public Grounds'!$A$11:$N$49,G$6,0))+IF(ISNA(VLOOKUP('Project Details by Yr'!$B66,'Public Buildings'!$A$10:$N$96,G$6,0)),0,VLOOKUP('Project Details by Yr'!$B66,'Public Buildings'!$A$10:$N$96,G$6,0))+IF(ISNA(VLOOKUP('Project Details by Yr'!$B66,Bridges!$A$9:$N$24,G$6,0)),0,VLOOKUP('Project Details by Yr'!$B66,Bridges!$A$9:$N$24,G$6,0))+IF(ISNA(VLOOKUP('Project Details by Yr'!$B66,'Parking Lots &amp; Playgrounds'!$A$9:$N$33,G$6,0)),0,VLOOKUP('Project Details by Yr'!$B66,'Parking Lots &amp; Playgrounds'!$A$9:$N$33,G$6,0))+IF(ISNA(VLOOKUP($B66,Vehicles!$B$9:$O$50,G$6,0)),0,VLOOKUP($B66,Vehicles!$B$9:$O$50,G$6,0))</f>
        <v>0</v>
      </c>
      <c r="H66" s="50"/>
      <c r="I66" s="49">
        <f t="shared" si="0"/>
        <v>0</v>
      </c>
      <c r="J66" s="49">
        <f t="shared" si="1"/>
        <v>0</v>
      </c>
      <c r="K66" s="49">
        <f t="shared" si="2"/>
        <v>0</v>
      </c>
      <c r="L66" s="52" t="s">
        <v>289</v>
      </c>
    </row>
    <row r="67" spans="2:12" x14ac:dyDescent="0.25">
      <c r="B67" s="40" t="s">
        <v>118</v>
      </c>
      <c r="C67" s="40" t="s">
        <v>49</v>
      </c>
      <c r="D67" s="40" t="s">
        <v>271</v>
      </c>
      <c r="E67" s="43" t="s">
        <v>16</v>
      </c>
      <c r="G67" s="49">
        <f>IF(ISNA(VLOOKUP($B67,'Other Capital Needs'!$C$51:$P$95,G$6,0)),0,VLOOKUP($B67,'Other Capital Needs'!$C$51:$P$95,G$6,0))+IF(ISNA(VLOOKUP('Project Details by Yr'!$B67,'Public Grounds'!$A$11:$N$49,G$6,0)),0,VLOOKUP('Project Details by Yr'!$B67,'Public Grounds'!$A$11:$N$49,G$6,0))+IF(ISNA(VLOOKUP('Project Details by Yr'!$B67,'Public Buildings'!$A$10:$N$96,G$6,0)),0,VLOOKUP('Project Details by Yr'!$B67,'Public Buildings'!$A$10:$N$96,G$6,0))+IF(ISNA(VLOOKUP('Project Details by Yr'!$B67,Bridges!$A$9:$N$24,G$6,0)),0,VLOOKUP('Project Details by Yr'!$B67,Bridges!$A$9:$N$24,G$6,0))+IF(ISNA(VLOOKUP('Project Details by Yr'!$B67,'Parking Lots &amp; Playgrounds'!$A$9:$N$33,G$6,0)),0,VLOOKUP('Project Details by Yr'!$B67,'Parking Lots &amp; Playgrounds'!$A$9:$N$33,G$6,0))+IF(ISNA(VLOOKUP($B67,Vehicles!$B$9:$O$50,G$6,0)),0,VLOOKUP($B67,Vehicles!$B$9:$O$50,G$6,0))</f>
        <v>35000</v>
      </c>
      <c r="H67" s="50"/>
      <c r="I67" s="49">
        <f t="shared" si="0"/>
        <v>0</v>
      </c>
      <c r="J67" s="49">
        <f t="shared" si="1"/>
        <v>0</v>
      </c>
      <c r="K67" s="49">
        <f t="shared" si="2"/>
        <v>0</v>
      </c>
      <c r="L67" s="52" t="s">
        <v>289</v>
      </c>
    </row>
    <row r="68" spans="2:12" x14ac:dyDescent="0.25">
      <c r="B68" s="40" t="s">
        <v>119</v>
      </c>
      <c r="C68" s="40" t="s">
        <v>49</v>
      </c>
      <c r="D68" s="40" t="s">
        <v>271</v>
      </c>
      <c r="E68" s="43" t="s">
        <v>16</v>
      </c>
      <c r="G68" s="49">
        <f>IF(ISNA(VLOOKUP($B68,'Other Capital Needs'!$C$51:$P$95,G$6,0)),0,VLOOKUP($B68,'Other Capital Needs'!$C$51:$P$95,G$6,0))+IF(ISNA(VLOOKUP('Project Details by Yr'!$B68,'Public Grounds'!$A$11:$N$49,G$6,0)),0,VLOOKUP('Project Details by Yr'!$B68,'Public Grounds'!$A$11:$N$49,G$6,0))+IF(ISNA(VLOOKUP('Project Details by Yr'!$B68,'Public Buildings'!$A$10:$N$96,G$6,0)),0,VLOOKUP('Project Details by Yr'!$B68,'Public Buildings'!$A$10:$N$96,G$6,0))+IF(ISNA(VLOOKUP('Project Details by Yr'!$B68,Bridges!$A$9:$N$24,G$6,0)),0,VLOOKUP('Project Details by Yr'!$B68,Bridges!$A$9:$N$24,G$6,0))+IF(ISNA(VLOOKUP('Project Details by Yr'!$B68,'Parking Lots &amp; Playgrounds'!$A$9:$N$33,G$6,0)),0,VLOOKUP('Project Details by Yr'!$B68,'Parking Lots &amp; Playgrounds'!$A$9:$N$33,G$6,0))+IF(ISNA(VLOOKUP($B68,Vehicles!$B$9:$O$50,G$6,0)),0,VLOOKUP($B68,Vehicles!$B$9:$O$50,G$6,0))</f>
        <v>0</v>
      </c>
      <c r="H68" s="50"/>
      <c r="I68" s="49">
        <f t="shared" si="0"/>
        <v>0</v>
      </c>
      <c r="J68" s="49">
        <f t="shared" si="1"/>
        <v>0</v>
      </c>
      <c r="K68" s="49">
        <f t="shared" si="2"/>
        <v>0</v>
      </c>
      <c r="L68" s="52" t="s">
        <v>289</v>
      </c>
    </row>
    <row r="69" spans="2:12" x14ac:dyDescent="0.25">
      <c r="B69" s="40" t="s">
        <v>129</v>
      </c>
      <c r="C69" s="40" t="s">
        <v>49</v>
      </c>
      <c r="D69" s="40" t="s">
        <v>271</v>
      </c>
      <c r="E69" s="43" t="s">
        <v>16</v>
      </c>
      <c r="G69" s="49">
        <f>IF(ISNA(VLOOKUP($B69,'Other Capital Needs'!$C$51:$P$95,G$6,0)),0,VLOOKUP($B69,'Other Capital Needs'!$C$51:$P$95,G$6,0))+IF(ISNA(VLOOKUP('Project Details by Yr'!$B69,'Public Grounds'!$A$11:$N$49,G$6,0)),0,VLOOKUP('Project Details by Yr'!$B69,'Public Grounds'!$A$11:$N$49,G$6,0))+IF(ISNA(VLOOKUP('Project Details by Yr'!$B69,'Public Buildings'!$A$10:$N$96,G$6,0)),0,VLOOKUP('Project Details by Yr'!$B69,'Public Buildings'!$A$10:$N$96,G$6,0))+IF(ISNA(VLOOKUP('Project Details by Yr'!$B69,Bridges!$A$9:$N$24,G$6,0)),0,VLOOKUP('Project Details by Yr'!$B69,Bridges!$A$9:$N$24,G$6,0))+IF(ISNA(VLOOKUP('Project Details by Yr'!$B69,'Parking Lots &amp; Playgrounds'!$A$9:$N$33,G$6,0)),0,VLOOKUP('Project Details by Yr'!$B69,'Parking Lots &amp; Playgrounds'!$A$9:$N$33,G$6,0))+IF(ISNA(VLOOKUP($B69,Vehicles!$B$9:$O$50,G$6,0)),0,VLOOKUP($B69,Vehicles!$B$9:$O$50,G$6,0))</f>
        <v>0</v>
      </c>
      <c r="H69" s="50"/>
      <c r="I69" s="49">
        <f t="shared" si="0"/>
        <v>0</v>
      </c>
      <c r="J69" s="49">
        <f t="shared" si="1"/>
        <v>0</v>
      </c>
      <c r="K69" s="49">
        <f t="shared" si="2"/>
        <v>0</v>
      </c>
      <c r="L69" s="52" t="s">
        <v>289</v>
      </c>
    </row>
    <row r="70" spans="2:12" x14ac:dyDescent="0.25">
      <c r="B70" s="40" t="s">
        <v>132</v>
      </c>
      <c r="C70" s="40" t="s">
        <v>49</v>
      </c>
      <c r="D70" s="40" t="s">
        <v>271</v>
      </c>
      <c r="E70" s="43" t="s">
        <v>16</v>
      </c>
      <c r="G70" s="49">
        <f>IF(ISNA(VLOOKUP($B70,'Other Capital Needs'!$C$51:$P$95,G$6,0)),0,VLOOKUP($B70,'Other Capital Needs'!$C$51:$P$95,G$6,0))+IF(ISNA(VLOOKUP('Project Details by Yr'!$B70,'Public Grounds'!$A$11:$N$49,G$6,0)),0,VLOOKUP('Project Details by Yr'!$B70,'Public Grounds'!$A$11:$N$49,G$6,0))+IF(ISNA(VLOOKUP('Project Details by Yr'!$B70,'Public Buildings'!$A$10:$N$96,G$6,0)),0,VLOOKUP('Project Details by Yr'!$B70,'Public Buildings'!$A$10:$N$96,G$6,0))+IF(ISNA(VLOOKUP('Project Details by Yr'!$B70,Bridges!$A$9:$N$24,G$6,0)),0,VLOOKUP('Project Details by Yr'!$B70,Bridges!$A$9:$N$24,G$6,0))+IF(ISNA(VLOOKUP('Project Details by Yr'!$B70,'Parking Lots &amp; Playgrounds'!$A$9:$N$33,G$6,0)),0,VLOOKUP('Project Details by Yr'!$B70,'Parking Lots &amp; Playgrounds'!$A$9:$N$33,G$6,0))+IF(ISNA(VLOOKUP($B70,Vehicles!$B$9:$O$50,G$6,0)),0,VLOOKUP($B70,Vehicles!$B$9:$O$50,G$6,0))</f>
        <v>7500</v>
      </c>
      <c r="H70" s="50"/>
      <c r="I70" s="49">
        <f t="shared" si="0"/>
        <v>0</v>
      </c>
      <c r="J70" s="49">
        <f t="shared" si="1"/>
        <v>0</v>
      </c>
      <c r="K70" s="49">
        <f t="shared" si="2"/>
        <v>0</v>
      </c>
      <c r="L70" s="52" t="s">
        <v>289</v>
      </c>
    </row>
    <row r="71" spans="2:12" x14ac:dyDescent="0.25">
      <c r="B71" s="40" t="s">
        <v>139</v>
      </c>
      <c r="C71" s="40" t="s">
        <v>49</v>
      </c>
      <c r="D71" s="40" t="s">
        <v>272</v>
      </c>
      <c r="E71" s="43" t="s">
        <v>16</v>
      </c>
      <c r="G71" s="49">
        <f>IF(ISNA(VLOOKUP($B71,'Other Capital Needs'!$C$51:$P$95,G$6,0)),0,VLOOKUP($B71,'Other Capital Needs'!$C$51:$P$95,G$6,0))+IF(ISNA(VLOOKUP('Project Details by Yr'!$B71,'Public Grounds'!$A$11:$N$49,G$6,0)),0,VLOOKUP('Project Details by Yr'!$B71,'Public Grounds'!$A$11:$N$49,G$6,0))+IF(ISNA(VLOOKUP('Project Details by Yr'!$B71,'Public Buildings'!$A$10:$N$96,G$6,0)),0,VLOOKUP('Project Details by Yr'!$B71,'Public Buildings'!$A$10:$N$96,G$6,0))+IF(ISNA(VLOOKUP('Project Details by Yr'!$B71,Bridges!$A$9:$N$24,G$6,0)),0,VLOOKUP('Project Details by Yr'!$B71,Bridges!$A$9:$N$24,G$6,0))+IF(ISNA(VLOOKUP('Project Details by Yr'!$B71,'Parking Lots &amp; Playgrounds'!$A$9:$N$33,G$6,0)),0,VLOOKUP('Project Details by Yr'!$B71,'Parking Lots &amp; Playgrounds'!$A$9:$N$33,G$6,0))+IF(ISNA(VLOOKUP($B71,Vehicles!$B$9:$O$50,G$6,0)),0,VLOOKUP($B71,Vehicles!$B$9:$O$50,G$6,0))</f>
        <v>98000</v>
      </c>
      <c r="H71" s="50">
        <v>1</v>
      </c>
      <c r="I71" s="49">
        <f t="shared" ref="I71:I72" si="3">IF($H71=1,IF($E71="Bond",$G71,0),0)</f>
        <v>0</v>
      </c>
      <c r="J71" s="49">
        <f t="shared" ref="J71:J72" si="4">IF($H71=1,IF($E71="GF",$G71,0),0)</f>
        <v>98000</v>
      </c>
      <c r="K71" s="49">
        <f t="shared" ref="K71:K72" si="5">IF($H71=1,IF($E71="Grant",$G71,0),0)</f>
        <v>0</v>
      </c>
    </row>
    <row r="72" spans="2:12" x14ac:dyDescent="0.25">
      <c r="B72" s="40" t="s">
        <v>140</v>
      </c>
      <c r="C72" s="40" t="s">
        <v>49</v>
      </c>
      <c r="D72" s="40" t="s">
        <v>272</v>
      </c>
      <c r="E72" s="43" t="s">
        <v>16</v>
      </c>
      <c r="G72" s="49">
        <f>IF(ISNA(VLOOKUP($B72,'Other Capital Needs'!$C$51:$P$95,G$6,0)),0,VLOOKUP($B72,'Other Capital Needs'!$C$51:$P$95,G$6,0))+IF(ISNA(VLOOKUP('Project Details by Yr'!$B72,'Public Grounds'!$A$11:$N$49,G$6,0)),0,VLOOKUP('Project Details by Yr'!$B72,'Public Grounds'!$A$11:$N$49,G$6,0))+IF(ISNA(VLOOKUP('Project Details by Yr'!$B72,'Public Buildings'!$A$10:$N$96,G$6,0)),0,VLOOKUP('Project Details by Yr'!$B72,'Public Buildings'!$A$10:$N$96,G$6,0))+IF(ISNA(VLOOKUP('Project Details by Yr'!$B72,Bridges!$A$9:$N$24,G$6,0)),0,VLOOKUP('Project Details by Yr'!$B72,Bridges!$A$9:$N$24,G$6,0))+IF(ISNA(VLOOKUP('Project Details by Yr'!$B72,'Parking Lots &amp; Playgrounds'!$A$9:$N$33,G$6,0)),0,VLOOKUP('Project Details by Yr'!$B72,'Parking Lots &amp; Playgrounds'!$A$9:$N$33,G$6,0))+IF(ISNA(VLOOKUP($B72,Vehicles!$B$9:$O$50,G$6,0)),0,VLOOKUP($B72,Vehicles!$B$9:$O$50,G$6,0))</f>
        <v>0</v>
      </c>
      <c r="H72" s="50">
        <v>1</v>
      </c>
      <c r="I72" s="49">
        <f t="shared" si="3"/>
        <v>0</v>
      </c>
      <c r="J72" s="49">
        <f t="shared" si="4"/>
        <v>0</v>
      </c>
      <c r="K72" s="49">
        <f t="shared" si="5"/>
        <v>0</v>
      </c>
    </row>
    <row r="73" spans="2:12" x14ac:dyDescent="0.25">
      <c r="E73" s="43"/>
      <c r="G73" s="49"/>
      <c r="H73" s="50"/>
      <c r="I73" s="49"/>
      <c r="J73" s="49"/>
      <c r="K73" s="49"/>
    </row>
    <row r="74" spans="2:12" x14ac:dyDescent="0.25">
      <c r="B74" s="40" t="s">
        <v>273</v>
      </c>
      <c r="C74" s="40" t="s">
        <v>250</v>
      </c>
      <c r="D74" s="40" t="s">
        <v>271</v>
      </c>
      <c r="E74" s="43" t="s">
        <v>19</v>
      </c>
      <c r="G74" s="49">
        <f>Summary!E41</f>
        <v>1500000</v>
      </c>
      <c r="H74" s="50">
        <v>1</v>
      </c>
      <c r="I74" s="49">
        <f>IF($H74=1,IF($E74="Bond",$G74,0),0)</f>
        <v>1500000</v>
      </c>
      <c r="J74" s="49">
        <f>IF($H74=1,IF($E74="GF",$G74,0),0)</f>
        <v>0</v>
      </c>
      <c r="K74" s="49">
        <f>IF($H74=1,IF($E74="Grant",$G74,0),0)</f>
        <v>0</v>
      </c>
    </row>
    <row r="75" spans="2:12" x14ac:dyDescent="0.25">
      <c r="B75" s="40" t="s">
        <v>99</v>
      </c>
      <c r="C75" s="40" t="s">
        <v>48</v>
      </c>
      <c r="D75" s="40" t="s">
        <v>271</v>
      </c>
      <c r="E75" s="43" t="s">
        <v>19</v>
      </c>
      <c r="G75" s="49">
        <f>IF(ISNA(VLOOKUP($B75,'Other Capital Needs'!$C$51:$P$95,G$6,0)),0,VLOOKUP($B75,'Other Capital Needs'!$C$51:$P$95,G$6,0))+IF(ISNA(VLOOKUP('Project Details by Yr'!$B75,'Public Grounds'!$A$11:$N$49,G$6,0)),0,VLOOKUP('Project Details by Yr'!$B75,'Public Grounds'!$A$11:$N$49,G$6,0))+IF(ISNA(VLOOKUP('Project Details by Yr'!$B75,'Public Buildings'!$A$10:$N$96,G$6,0)),0,VLOOKUP('Project Details by Yr'!$B75,'Public Buildings'!$A$10:$N$96,G$6,0))+IF(ISNA(VLOOKUP('Project Details by Yr'!$B75,Bridges!$A$9:$N$24,G$6,0)),0,VLOOKUP('Project Details by Yr'!$B75,Bridges!$A$9:$N$24,G$6,0))+IF(ISNA(VLOOKUP('Project Details by Yr'!$B75,'Parking Lots &amp; Playgrounds'!$A$9:$N$33,G$6,0)),0,VLOOKUP('Project Details by Yr'!$B75,'Parking Lots &amp; Playgrounds'!$A$9:$N$33,G$6,0))+IF(ISNA(VLOOKUP($B75,Vehicles!$B$9:$O$50,G$6,0)),0,VLOOKUP($B75,Vehicles!$B$9:$O$50,G$6,0))</f>
        <v>0</v>
      </c>
      <c r="H75" s="50"/>
      <c r="I75" s="49">
        <f t="shared" ref="I75:I78" si="6">IF($H75=1,IF($E75="Bond",$G75,0),0)</f>
        <v>0</v>
      </c>
      <c r="J75" s="49">
        <f t="shared" ref="J75:J78" si="7">IF($H75=1,IF($E75="GF",$G75,0),0)</f>
        <v>0</v>
      </c>
      <c r="K75" s="49">
        <f t="shared" ref="K75:K78" si="8">IF($H75=1,IF($E75="Grant",$G75,0),0)</f>
        <v>0</v>
      </c>
      <c r="L75" s="52" t="s">
        <v>288</v>
      </c>
    </row>
    <row r="76" spans="2:12" x14ac:dyDescent="0.25">
      <c r="B76" s="40" t="s">
        <v>301</v>
      </c>
      <c r="C76" s="40" t="s">
        <v>48</v>
      </c>
      <c r="D76" s="40" t="s">
        <v>271</v>
      </c>
      <c r="E76" s="43" t="s">
        <v>19</v>
      </c>
      <c r="G76" s="49">
        <f>IF(ISNA(VLOOKUP($B76,'Other Capital Needs'!$C$51:$P$95,G$6,0)),0,VLOOKUP($B76,'Other Capital Needs'!$C$51:$P$95,G$6,0))+IF(ISNA(VLOOKUP('Project Details by Yr'!$B76,'Public Grounds'!$A$11:$N$49,G$6,0)),0,VLOOKUP('Project Details by Yr'!$B76,'Public Grounds'!$A$11:$N$49,G$6,0))+IF(ISNA(VLOOKUP('Project Details by Yr'!$B76,'Public Buildings'!$A$10:$N$96,G$6,0)),0,VLOOKUP('Project Details by Yr'!$B76,'Public Buildings'!$A$10:$N$96,G$6,0))+IF(ISNA(VLOOKUP('Project Details by Yr'!$B76,Bridges!$A$9:$N$24,G$6,0)),0,VLOOKUP('Project Details by Yr'!$B76,Bridges!$A$9:$N$24,G$6,0))+IF(ISNA(VLOOKUP('Project Details by Yr'!$B76,'Parking Lots &amp; Playgrounds'!$A$9:$N$33,G$6,0)),0,VLOOKUP('Project Details by Yr'!$B76,'Parking Lots &amp; Playgrounds'!$A$9:$N$33,G$6,0))+IF(ISNA(VLOOKUP($B76,Vehicles!$B$9:$O$50,G$6,0)),0,VLOOKUP($B76,Vehicles!$B$9:$O$50,G$6,0))</f>
        <v>907800</v>
      </c>
      <c r="H76" s="50">
        <v>1</v>
      </c>
      <c r="I76" s="49">
        <f t="shared" si="6"/>
        <v>907800</v>
      </c>
      <c r="J76" s="49">
        <f t="shared" si="7"/>
        <v>0</v>
      </c>
      <c r="K76" s="49">
        <f t="shared" si="8"/>
        <v>0</v>
      </c>
    </row>
    <row r="77" spans="2:12" x14ac:dyDescent="0.25">
      <c r="B77" s="40" t="s">
        <v>287</v>
      </c>
      <c r="C77" s="40" t="s">
        <v>48</v>
      </c>
      <c r="D77" s="40" t="s">
        <v>271</v>
      </c>
      <c r="E77" s="43" t="s">
        <v>16</v>
      </c>
      <c r="G77" s="49">
        <f>IF(ISNA(VLOOKUP($B77,'Other Capital Needs'!$C$51:$P$95,G$6,0)),0,VLOOKUP($B77,'Other Capital Needs'!$C$51:$P$95,G$6,0))+IF(ISNA(VLOOKUP('Project Details by Yr'!$B77,'Public Grounds'!$A$11:$N$49,G$6,0)),0,VLOOKUP('Project Details by Yr'!$B77,'Public Grounds'!$A$11:$N$49,G$6,0))+IF(ISNA(VLOOKUP('Project Details by Yr'!$B77,'Public Buildings'!$A$10:$N$96,G$6,0)),0,VLOOKUP('Project Details by Yr'!$B77,'Public Buildings'!$A$10:$N$96,G$6,0))+IF(ISNA(VLOOKUP('Project Details by Yr'!$B77,Bridges!$A$9:$N$24,G$6,0)),0,VLOOKUP('Project Details by Yr'!$B77,Bridges!$A$9:$N$24,G$6,0))+IF(ISNA(VLOOKUP('Project Details by Yr'!$B77,'Parking Lots &amp; Playgrounds'!$A$9:$N$33,G$6,0)),0,VLOOKUP('Project Details by Yr'!$B77,'Parking Lots &amp; Playgrounds'!$A$9:$N$33,G$6,0))+IF(ISNA(VLOOKUP($B77,Vehicles!$B$9:$O$50,G$6,0)),0,VLOOKUP($B77,Vehicles!$B$9:$O$50,G$6,0))</f>
        <v>782400</v>
      </c>
      <c r="H77" s="50">
        <v>1</v>
      </c>
      <c r="I77" s="49">
        <f t="shared" si="6"/>
        <v>0</v>
      </c>
      <c r="J77" s="49">
        <f t="shared" si="7"/>
        <v>782400</v>
      </c>
      <c r="K77" s="49">
        <f t="shared" si="8"/>
        <v>0</v>
      </c>
    </row>
    <row r="78" spans="2:12" x14ac:dyDescent="0.25">
      <c r="B78" s="40" t="s">
        <v>300</v>
      </c>
      <c r="C78" s="40" t="s">
        <v>48</v>
      </c>
      <c r="D78" s="40" t="s">
        <v>271</v>
      </c>
      <c r="E78" s="43" t="s">
        <v>19</v>
      </c>
      <c r="G78" s="49">
        <f>IF(ISNA(VLOOKUP($B78,'Other Capital Needs'!$C$51:$P$95,G$6,0)),0,VLOOKUP($B78,'Other Capital Needs'!$C$51:$P$95,G$6,0))+IF(ISNA(VLOOKUP('Project Details by Yr'!$B78,'Public Grounds'!$A$11:$N$49,G$6,0)),0,VLOOKUP('Project Details by Yr'!$B78,'Public Grounds'!$A$11:$N$49,G$6,0))+IF(ISNA(VLOOKUP('Project Details by Yr'!$B78,'Public Buildings'!$A$10:$N$96,G$6,0)),0,VLOOKUP('Project Details by Yr'!$B78,'Public Buildings'!$A$10:$N$96,G$6,0))+IF(ISNA(VLOOKUP('Project Details by Yr'!$B78,Bridges!$A$9:$N$24,G$6,0)),0,VLOOKUP('Project Details by Yr'!$B78,Bridges!$A$9:$N$24,G$6,0))+IF(ISNA(VLOOKUP('Project Details by Yr'!$B78,'Parking Lots &amp; Playgrounds'!$A$9:$N$33,G$6,0)),0,VLOOKUP('Project Details by Yr'!$B78,'Parking Lots &amp; Playgrounds'!$A$9:$N$33,G$6,0))+IF(ISNA(VLOOKUP($B78,Vehicles!$B$9:$O$50,G$6,0)),0,VLOOKUP($B78,Vehicles!$B$9:$O$50,G$6,0))</f>
        <v>425000</v>
      </c>
      <c r="H78" s="50"/>
      <c r="I78" s="49">
        <f t="shared" si="6"/>
        <v>0</v>
      </c>
      <c r="J78" s="49">
        <f t="shared" si="7"/>
        <v>0</v>
      </c>
      <c r="K78" s="49">
        <f t="shared" si="8"/>
        <v>0</v>
      </c>
      <c r="L78" s="52" t="s">
        <v>299</v>
      </c>
    </row>
    <row r="79" spans="2:12" x14ac:dyDescent="0.25">
      <c r="E79" s="43"/>
      <c r="G79" s="49"/>
      <c r="H79" s="50"/>
      <c r="I79" s="49"/>
      <c r="J79" s="49"/>
      <c r="K79" s="49"/>
    </row>
    <row r="80" spans="2:12" ht="15.75" thickBot="1" x14ac:dyDescent="0.3">
      <c r="G80" s="58">
        <f>SUM(G9:G79)</f>
        <v>7833828</v>
      </c>
      <c r="H80" s="59">
        <f>SUM(H9:H79)</f>
        <v>37</v>
      </c>
      <c r="I80" s="58">
        <f>SUM(I9:I79)</f>
        <v>3807800</v>
      </c>
      <c r="J80" s="58">
        <f>SUM(J9:J79)</f>
        <v>3218329</v>
      </c>
      <c r="K80" s="58">
        <f>SUM(K9:K79)</f>
        <v>120000</v>
      </c>
    </row>
    <row r="81" spans="1:12" ht="15.75" thickTop="1" x14ac:dyDescent="0.25">
      <c r="G81" s="60" t="e">
        <f>G80-Summary!E96</f>
        <v>#REF!</v>
      </c>
      <c r="I81" s="60"/>
      <c r="J81" s="60"/>
      <c r="K81" s="60"/>
    </row>
    <row r="84" spans="1:12" x14ac:dyDescent="0.25">
      <c r="B84" s="46" t="s">
        <v>274</v>
      </c>
      <c r="C84" s="46" t="s">
        <v>246</v>
      </c>
      <c r="D84" s="46" t="s">
        <v>275</v>
      </c>
      <c r="E84" s="46" t="s">
        <v>270</v>
      </c>
      <c r="G84" s="46" t="s">
        <v>4</v>
      </c>
      <c r="H84" s="47" t="s">
        <v>284</v>
      </c>
      <c r="I84" s="46" t="s">
        <v>19</v>
      </c>
      <c r="J84" s="46" t="s">
        <v>16</v>
      </c>
      <c r="K84" s="46" t="s">
        <v>285</v>
      </c>
    </row>
    <row r="85" spans="1:12" x14ac:dyDescent="0.25">
      <c r="E85" s="43"/>
      <c r="I85" s="61"/>
      <c r="J85" s="61"/>
      <c r="K85" s="61"/>
    </row>
    <row r="86" spans="1:12" x14ac:dyDescent="0.25">
      <c r="A86" s="48" t="s">
        <v>210</v>
      </c>
      <c r="B86" s="40" t="s">
        <v>204</v>
      </c>
      <c r="C86" s="40" t="s">
        <v>101</v>
      </c>
      <c r="D86" s="40" t="s">
        <v>271</v>
      </c>
      <c r="E86" s="43" t="s">
        <v>16</v>
      </c>
      <c r="G86" s="49">
        <f>IF(ISNA(VLOOKUP($B86,'Other Capital Needs'!$C$51:$P$95,H$6,0)),0,VLOOKUP($B86,'Other Capital Needs'!$C$51:$P$95,H$6,0))+IF(ISNA(VLOOKUP('Project Details by Yr'!$B86,'Public Grounds'!$A$11:$N$49,H$6,0)),0,VLOOKUP('Project Details by Yr'!$B86,'Public Grounds'!$A$11:$N$49,H$6,0))+IF(ISNA(VLOOKUP('Project Details by Yr'!$B86,'Public Buildings'!$A$10:$N$96,H$6,0)),0,VLOOKUP('Project Details by Yr'!$B86,'Public Buildings'!$A$10:$N$96,H$6,0))+IF(ISNA(VLOOKUP('Project Details by Yr'!$B86,Bridges!$A$9:$N$24,H$6,0)),0,VLOOKUP('Project Details by Yr'!$B86,Bridges!$A$9:$N$24,H$6,0))+IF(ISNA(VLOOKUP('Project Details by Yr'!$B86,'Parking Lots &amp; Playgrounds'!$A$9:$N$33,H$6,0)),0,VLOOKUP('Project Details by Yr'!$B86,'Parking Lots &amp; Playgrounds'!$A$9:$N$33,H$6,0))+IF(ISNA(VLOOKUP($B86,Vehicles!$B$9:$O$50,H$6,0)),0,VLOOKUP($B86,Vehicles!$B$9:$O$50,H$6,0))</f>
        <v>181679</v>
      </c>
      <c r="H86" s="50">
        <v>1</v>
      </c>
      <c r="I86" s="49">
        <f t="shared" ref="I86:I140" si="9">IF($H86=1,IF($E86="Bond",$G86,0),0)</f>
        <v>0</v>
      </c>
      <c r="J86" s="49">
        <f t="shared" ref="J86:J140" si="10">IF($H86=1,IF($E86="GF",$G86,0),0)</f>
        <v>181679</v>
      </c>
      <c r="K86" s="49">
        <f t="shared" ref="K86:K140" si="11">IF($H86=1,IF($E86="Grant",$G86,0),0)</f>
        <v>0</v>
      </c>
    </row>
    <row r="87" spans="1:12" x14ac:dyDescent="0.25">
      <c r="A87" s="48" t="s">
        <v>209</v>
      </c>
      <c r="B87" s="40" t="s">
        <v>107</v>
      </c>
      <c r="C87" s="40" t="s">
        <v>101</v>
      </c>
      <c r="D87" s="40" t="s">
        <v>271</v>
      </c>
      <c r="E87" s="43" t="s">
        <v>16</v>
      </c>
      <c r="G87" s="49">
        <f>IF(ISNA(VLOOKUP($B87,'Other Capital Needs'!$C$51:$P$95,H$6,0)),0,VLOOKUP($B87,'Other Capital Needs'!$C$51:$P$95,H$6,0))+IF(ISNA(VLOOKUP('Project Details by Yr'!$B87,'Public Grounds'!$A$11:$N$49,H$6,0)),0,VLOOKUP('Project Details by Yr'!$B87,'Public Grounds'!$A$11:$N$49,H$6,0))+IF(ISNA(VLOOKUP('Project Details by Yr'!$B87,'Public Buildings'!$A$10:$N$96,H$6,0)),0,VLOOKUP('Project Details by Yr'!$B87,'Public Buildings'!$A$10:$N$96,H$6,0))+IF(ISNA(VLOOKUP('Project Details by Yr'!$B87,Bridges!$A$9:$N$24,H$6,0)),0,VLOOKUP('Project Details by Yr'!$B87,Bridges!$A$9:$N$24,H$6,0))+IF(ISNA(VLOOKUP('Project Details by Yr'!$B87,'Parking Lots &amp; Playgrounds'!$A$9:$N$33,H$6,0)),0,VLOOKUP('Project Details by Yr'!$B87,'Parking Lots &amp; Playgrounds'!$A$9:$N$33,H$6,0))+IF(ISNA(VLOOKUP($B87,Vehicles!$B$9:$O$50,H$6,0)),0,VLOOKUP($B87,Vehicles!$B$9:$O$50,H$6,0))</f>
        <v>50000</v>
      </c>
      <c r="H87" s="50">
        <v>1</v>
      </c>
      <c r="I87" s="49">
        <f t="shared" si="9"/>
        <v>0</v>
      </c>
      <c r="J87" s="49">
        <f t="shared" si="10"/>
        <v>50000</v>
      </c>
      <c r="K87" s="49">
        <f t="shared" si="11"/>
        <v>0</v>
      </c>
    </row>
    <row r="88" spans="1:12" x14ac:dyDescent="0.25">
      <c r="A88" s="48">
        <v>17</v>
      </c>
      <c r="B88" s="40" t="s">
        <v>149</v>
      </c>
      <c r="C88" s="40" t="s">
        <v>101</v>
      </c>
      <c r="D88" s="40" t="s">
        <v>271</v>
      </c>
      <c r="E88" s="43" t="s">
        <v>16</v>
      </c>
      <c r="G88" s="49">
        <f>IF(ISNA(VLOOKUP($B88,'Other Capital Needs'!$C$51:$P$95,H$6,0)),0,VLOOKUP($B88,'Other Capital Needs'!$C$51:$P$95,H$6,0))+IF(ISNA(VLOOKUP('Project Details by Yr'!$B88,'Public Grounds'!$A$11:$N$49,H$6,0)),0,VLOOKUP('Project Details by Yr'!$B88,'Public Grounds'!$A$11:$N$49,H$6,0))+IF(ISNA(VLOOKUP('Project Details by Yr'!$B88,'Public Buildings'!$A$10:$N$96,H$6,0)),0,VLOOKUP('Project Details by Yr'!$B88,'Public Buildings'!$A$10:$N$96,H$6,0))+IF(ISNA(VLOOKUP('Project Details by Yr'!$B88,Bridges!$A$9:$N$24,H$6,0)),0,VLOOKUP('Project Details by Yr'!$B88,Bridges!$A$9:$N$24,H$6,0))+IF(ISNA(VLOOKUP('Project Details by Yr'!$B88,'Parking Lots &amp; Playgrounds'!$A$9:$N$33,H$6,0)),0,VLOOKUP('Project Details by Yr'!$B88,'Parking Lots &amp; Playgrounds'!$A$9:$N$33,H$6,0))+IF(ISNA(VLOOKUP($B88,Vehicles!$B$9:$O$50,H$6,0)),0,VLOOKUP($B88,Vehicles!$B$9:$O$50,H$6,0))</f>
        <v>0</v>
      </c>
      <c r="H88" s="50"/>
      <c r="I88" s="49">
        <f t="shared" si="9"/>
        <v>0</v>
      </c>
      <c r="J88" s="49">
        <f t="shared" si="10"/>
        <v>0</v>
      </c>
      <c r="K88" s="49">
        <f t="shared" si="11"/>
        <v>0</v>
      </c>
      <c r="L88" s="52" t="s">
        <v>289</v>
      </c>
    </row>
    <row r="89" spans="1:12" x14ac:dyDescent="0.25">
      <c r="A89" s="48">
        <v>31</v>
      </c>
      <c r="B89" s="40" t="s">
        <v>150</v>
      </c>
      <c r="C89" s="40" t="s">
        <v>101</v>
      </c>
      <c r="D89" s="40" t="s">
        <v>271</v>
      </c>
      <c r="E89" s="53" t="s">
        <v>285</v>
      </c>
      <c r="G89" s="49">
        <f>IF(ISNA(VLOOKUP($B89,'Other Capital Needs'!$C$51:$P$95,H$6,0)),0,VLOOKUP($B89,'Other Capital Needs'!$C$51:$P$95,H$6,0))+IF(ISNA(VLOOKUP('Project Details by Yr'!$B89,'Public Grounds'!$A$11:$N$49,H$6,0)),0,VLOOKUP('Project Details by Yr'!$B89,'Public Grounds'!$A$11:$N$49,H$6,0))+IF(ISNA(VLOOKUP('Project Details by Yr'!$B89,'Public Buildings'!$A$10:$N$96,H$6,0)),0,VLOOKUP('Project Details by Yr'!$B89,'Public Buildings'!$A$10:$N$96,H$6,0))+IF(ISNA(VLOOKUP('Project Details by Yr'!$B89,Bridges!$A$9:$N$24,H$6,0)),0,VLOOKUP('Project Details by Yr'!$B89,Bridges!$A$9:$N$24,H$6,0))+IF(ISNA(VLOOKUP('Project Details by Yr'!$B89,'Parking Lots &amp; Playgrounds'!$A$9:$N$33,H$6,0)),0,VLOOKUP('Project Details by Yr'!$B89,'Parking Lots &amp; Playgrounds'!$A$9:$N$33,H$6,0))+IF(ISNA(VLOOKUP($B89,Vehicles!$B$9:$O$50,H$6,0)),0,VLOOKUP($B89,Vehicles!$B$9:$O$50,H$6,0))</f>
        <v>100000</v>
      </c>
      <c r="H89" s="50">
        <v>1</v>
      </c>
      <c r="I89" s="49">
        <f t="shared" si="9"/>
        <v>0</v>
      </c>
      <c r="J89" s="49">
        <f t="shared" si="10"/>
        <v>0</v>
      </c>
      <c r="K89" s="49">
        <f t="shared" si="11"/>
        <v>100000</v>
      </c>
    </row>
    <row r="90" spans="1:12" x14ac:dyDescent="0.25">
      <c r="A90" s="48">
        <v>31</v>
      </c>
      <c r="B90" s="40" t="s">
        <v>154</v>
      </c>
      <c r="C90" s="40" t="s">
        <v>101</v>
      </c>
      <c r="D90" s="40" t="s">
        <v>271</v>
      </c>
      <c r="E90" s="43" t="s">
        <v>16</v>
      </c>
      <c r="G90" s="49">
        <f>IF(ISNA(VLOOKUP($B90,'Other Capital Needs'!$C$51:$P$95,H$6,0)),0,VLOOKUP($B90,'Other Capital Needs'!$C$51:$P$95,H$6,0))+IF(ISNA(VLOOKUP('Project Details by Yr'!$B90,'Public Grounds'!$A$11:$N$49,H$6,0)),0,VLOOKUP('Project Details by Yr'!$B90,'Public Grounds'!$A$11:$N$49,H$6,0))+IF(ISNA(VLOOKUP('Project Details by Yr'!$B90,'Public Buildings'!$A$10:$N$96,H$6,0)),0,VLOOKUP('Project Details by Yr'!$B90,'Public Buildings'!$A$10:$N$96,H$6,0))+IF(ISNA(VLOOKUP('Project Details by Yr'!$B90,Bridges!$A$9:$N$24,H$6,0)),0,VLOOKUP('Project Details by Yr'!$B90,Bridges!$A$9:$N$24,H$6,0))+IF(ISNA(VLOOKUP('Project Details by Yr'!$B90,'Parking Lots &amp; Playgrounds'!$A$9:$N$33,H$6,0)),0,VLOOKUP('Project Details by Yr'!$B90,'Parking Lots &amp; Playgrounds'!$A$9:$N$33,H$6,0))+IF(ISNA(VLOOKUP($B90,Vehicles!$B$9:$O$50,H$6,0)),0,VLOOKUP($B90,Vehicles!$B$9:$O$50,H$6,0))</f>
        <v>50000</v>
      </c>
      <c r="H90" s="50">
        <v>1</v>
      </c>
      <c r="I90" s="49">
        <f t="shared" si="9"/>
        <v>0</v>
      </c>
      <c r="J90" s="49">
        <f t="shared" si="10"/>
        <v>50000</v>
      </c>
      <c r="K90" s="49">
        <f t="shared" si="11"/>
        <v>0</v>
      </c>
    </row>
    <row r="91" spans="1:12" x14ac:dyDescent="0.25">
      <c r="A91" s="43">
        <v>32</v>
      </c>
      <c r="B91" s="40" t="s">
        <v>160</v>
      </c>
      <c r="C91" s="40" t="s">
        <v>101</v>
      </c>
      <c r="D91" s="40" t="s">
        <v>271</v>
      </c>
      <c r="E91" s="43" t="s">
        <v>16</v>
      </c>
      <c r="G91" s="49">
        <f>IF(ISNA(VLOOKUP($B91,'Other Capital Needs'!$C$51:$P$95,H$6,0)),0,VLOOKUP($B91,'Other Capital Needs'!$C$51:$P$95,H$6,0))+IF(ISNA(VLOOKUP('Project Details by Yr'!$B91,'Public Grounds'!$A$11:$N$49,H$6,0)),0,VLOOKUP('Project Details by Yr'!$B91,'Public Grounds'!$A$11:$N$49,H$6,0))+IF(ISNA(VLOOKUP('Project Details by Yr'!$B91,'Public Buildings'!$A$10:$N$96,H$6,0)),0,VLOOKUP('Project Details by Yr'!$B91,'Public Buildings'!$A$10:$N$96,H$6,0))+IF(ISNA(VLOOKUP('Project Details by Yr'!$B91,Bridges!$A$9:$N$24,H$6,0)),0,VLOOKUP('Project Details by Yr'!$B91,Bridges!$A$9:$N$24,H$6,0))+IF(ISNA(VLOOKUP('Project Details by Yr'!$B91,'Parking Lots &amp; Playgrounds'!$A$9:$N$33,H$6,0)),0,VLOOKUP('Project Details by Yr'!$B91,'Parking Lots &amp; Playgrounds'!$A$9:$N$33,H$6,0))+IF(ISNA(VLOOKUP($B91,Vehicles!$B$9:$O$50,H$6,0)),0,VLOOKUP($B91,Vehicles!$B$9:$O$50,H$6,0))</f>
        <v>60000</v>
      </c>
      <c r="H91" s="50">
        <v>1</v>
      </c>
      <c r="I91" s="49">
        <f t="shared" si="9"/>
        <v>0</v>
      </c>
      <c r="J91" s="49">
        <f t="shared" si="10"/>
        <v>60000</v>
      </c>
      <c r="K91" s="49">
        <f t="shared" si="11"/>
        <v>0</v>
      </c>
    </row>
    <row r="92" spans="1:12" x14ac:dyDescent="0.25">
      <c r="A92" s="48">
        <v>32</v>
      </c>
      <c r="B92" s="40" t="s">
        <v>158</v>
      </c>
      <c r="C92" s="40" t="s">
        <v>101</v>
      </c>
      <c r="D92" s="40" t="s">
        <v>271</v>
      </c>
      <c r="E92" s="43" t="s">
        <v>16</v>
      </c>
      <c r="G92" s="49">
        <f>IF(ISNA(VLOOKUP($B92,'Other Capital Needs'!$C$51:$P$95,H$6,0)),0,VLOOKUP($B92,'Other Capital Needs'!$C$51:$P$95,H$6,0))+IF(ISNA(VLOOKUP('Project Details by Yr'!$B92,'Public Grounds'!$A$11:$N$49,H$6,0)),0,VLOOKUP('Project Details by Yr'!$B92,'Public Grounds'!$A$11:$N$49,H$6,0))+IF(ISNA(VLOOKUP('Project Details by Yr'!$B92,'Public Buildings'!$A$10:$N$96,H$6,0)),0,VLOOKUP('Project Details by Yr'!$B92,'Public Buildings'!$A$10:$N$96,H$6,0))+IF(ISNA(VLOOKUP('Project Details by Yr'!$B92,Bridges!$A$9:$N$24,H$6,0)),0,VLOOKUP('Project Details by Yr'!$B92,Bridges!$A$9:$N$24,H$6,0))+IF(ISNA(VLOOKUP('Project Details by Yr'!$B92,'Parking Lots &amp; Playgrounds'!$A$9:$N$33,H$6,0)),0,VLOOKUP('Project Details by Yr'!$B92,'Parking Lots &amp; Playgrounds'!$A$9:$N$33,H$6,0))+IF(ISNA(VLOOKUP($B92,Vehicles!$B$9:$O$50,H$6,0)),0,VLOOKUP($B92,Vehicles!$B$9:$O$50,H$6,0))</f>
        <v>0</v>
      </c>
      <c r="H92" s="50">
        <v>1</v>
      </c>
      <c r="I92" s="49">
        <f t="shared" si="9"/>
        <v>0</v>
      </c>
      <c r="J92" s="49">
        <f t="shared" si="10"/>
        <v>0</v>
      </c>
      <c r="K92" s="49">
        <f t="shared" si="11"/>
        <v>0</v>
      </c>
    </row>
    <row r="93" spans="1:12" x14ac:dyDescent="0.25">
      <c r="A93" s="48">
        <v>32</v>
      </c>
      <c r="B93" s="40" t="s">
        <v>161</v>
      </c>
      <c r="C93" s="40" t="s">
        <v>101</v>
      </c>
      <c r="D93" s="40" t="s">
        <v>271</v>
      </c>
      <c r="E93" s="43" t="s">
        <v>16</v>
      </c>
      <c r="G93" s="49">
        <f>IF(ISNA(VLOOKUP($B93,'Other Capital Needs'!$C$51:$P$95,H$6,0)),0,VLOOKUP($B93,'Other Capital Needs'!$C$51:$P$95,H$6,0))+IF(ISNA(VLOOKUP('Project Details by Yr'!$B93,'Public Grounds'!$A$11:$N$49,H$6,0)),0,VLOOKUP('Project Details by Yr'!$B93,'Public Grounds'!$A$11:$N$49,H$6,0))+IF(ISNA(VLOOKUP('Project Details by Yr'!$B93,'Public Buildings'!$A$10:$N$96,H$6,0)),0,VLOOKUP('Project Details by Yr'!$B93,'Public Buildings'!$A$10:$N$96,H$6,0))+IF(ISNA(VLOOKUP('Project Details by Yr'!$B93,Bridges!$A$9:$N$24,H$6,0)),0,VLOOKUP('Project Details by Yr'!$B93,Bridges!$A$9:$N$24,H$6,0))+IF(ISNA(VLOOKUP('Project Details by Yr'!$B93,'Parking Lots &amp; Playgrounds'!$A$9:$N$33,H$6,0)),0,VLOOKUP('Project Details by Yr'!$B93,'Parking Lots &amp; Playgrounds'!$A$9:$N$33,H$6,0))+IF(ISNA(VLOOKUP($B93,Vehicles!$B$9:$O$50,H$6,0)),0,VLOOKUP($B93,Vehicles!$B$9:$O$50,H$6,0))</f>
        <v>0</v>
      </c>
      <c r="H93" s="50">
        <v>1</v>
      </c>
      <c r="I93" s="49">
        <f t="shared" si="9"/>
        <v>0</v>
      </c>
      <c r="J93" s="49">
        <f t="shared" si="10"/>
        <v>0</v>
      </c>
      <c r="K93" s="49">
        <f t="shared" si="11"/>
        <v>0</v>
      </c>
    </row>
    <row r="94" spans="1:12" x14ac:dyDescent="0.25">
      <c r="A94" s="48">
        <v>32</v>
      </c>
      <c r="B94" s="40" t="s">
        <v>162</v>
      </c>
      <c r="C94" s="40" t="s">
        <v>101</v>
      </c>
      <c r="D94" s="40" t="s">
        <v>271</v>
      </c>
      <c r="E94" s="43" t="s">
        <v>16</v>
      </c>
      <c r="G94" s="49">
        <f>IF(ISNA(VLOOKUP($B94,'Other Capital Needs'!$C$51:$P$95,H$6,0)),0,VLOOKUP($B94,'Other Capital Needs'!$C$51:$P$95,H$6,0))+IF(ISNA(VLOOKUP('Project Details by Yr'!$B94,'Public Grounds'!$A$11:$N$49,H$6,0)),0,VLOOKUP('Project Details by Yr'!$B94,'Public Grounds'!$A$11:$N$49,H$6,0))+IF(ISNA(VLOOKUP('Project Details by Yr'!$B94,'Public Buildings'!$A$10:$N$96,H$6,0)),0,VLOOKUP('Project Details by Yr'!$B94,'Public Buildings'!$A$10:$N$96,H$6,0))+IF(ISNA(VLOOKUP('Project Details by Yr'!$B94,Bridges!$A$9:$N$24,H$6,0)),0,VLOOKUP('Project Details by Yr'!$B94,Bridges!$A$9:$N$24,H$6,0))+IF(ISNA(VLOOKUP('Project Details by Yr'!$B94,'Parking Lots &amp; Playgrounds'!$A$9:$N$33,H$6,0)),0,VLOOKUP('Project Details by Yr'!$B94,'Parking Lots &amp; Playgrounds'!$A$9:$N$33,H$6,0))+IF(ISNA(VLOOKUP($B94,Vehicles!$B$9:$O$50,H$6,0)),0,VLOOKUP($B94,Vehicles!$B$9:$O$50,H$6,0))</f>
        <v>0</v>
      </c>
      <c r="H94" s="50">
        <v>1</v>
      </c>
      <c r="I94" s="49">
        <f t="shared" si="9"/>
        <v>0</v>
      </c>
      <c r="J94" s="49">
        <f t="shared" si="10"/>
        <v>0</v>
      </c>
      <c r="K94" s="49">
        <f t="shared" si="11"/>
        <v>0</v>
      </c>
    </row>
    <row r="95" spans="1:12" x14ac:dyDescent="0.25">
      <c r="A95" s="48">
        <v>32</v>
      </c>
      <c r="B95" s="40" t="s">
        <v>163</v>
      </c>
      <c r="C95" s="40" t="s">
        <v>101</v>
      </c>
      <c r="D95" s="40" t="s">
        <v>271</v>
      </c>
      <c r="E95" s="43" t="s">
        <v>16</v>
      </c>
      <c r="G95" s="49">
        <f>IF(ISNA(VLOOKUP($B95,'Other Capital Needs'!$C$51:$P$95,H$6,0)),0,VLOOKUP($B95,'Other Capital Needs'!$C$51:$P$95,H$6,0))+IF(ISNA(VLOOKUP('Project Details by Yr'!$B95,'Public Grounds'!$A$11:$N$49,H$6,0)),0,VLOOKUP('Project Details by Yr'!$B95,'Public Grounds'!$A$11:$N$49,H$6,0))+IF(ISNA(VLOOKUP('Project Details by Yr'!$B95,'Public Buildings'!$A$10:$N$96,H$6,0)),0,VLOOKUP('Project Details by Yr'!$B95,'Public Buildings'!$A$10:$N$96,H$6,0))+IF(ISNA(VLOOKUP('Project Details by Yr'!$B95,Bridges!$A$9:$N$24,H$6,0)),0,VLOOKUP('Project Details by Yr'!$B95,Bridges!$A$9:$N$24,H$6,0))+IF(ISNA(VLOOKUP('Project Details by Yr'!$B95,'Parking Lots &amp; Playgrounds'!$A$9:$N$33,H$6,0)),0,VLOOKUP('Project Details by Yr'!$B95,'Parking Lots &amp; Playgrounds'!$A$9:$N$33,H$6,0))+IF(ISNA(VLOOKUP($B95,Vehicles!$B$9:$O$50,H$6,0)),0,VLOOKUP($B95,Vehicles!$B$9:$O$50,H$6,0))</f>
        <v>0</v>
      </c>
      <c r="H95" s="50">
        <v>1</v>
      </c>
      <c r="I95" s="49">
        <f t="shared" si="9"/>
        <v>0</v>
      </c>
      <c r="J95" s="49">
        <f t="shared" si="10"/>
        <v>0</v>
      </c>
      <c r="K95" s="49">
        <f t="shared" si="11"/>
        <v>0</v>
      </c>
    </row>
    <row r="96" spans="1:12" x14ac:dyDescent="0.25">
      <c r="A96" s="48">
        <v>32</v>
      </c>
      <c r="B96" s="54" t="s">
        <v>168</v>
      </c>
      <c r="C96" s="40" t="s">
        <v>101</v>
      </c>
      <c r="D96" s="40" t="s">
        <v>271</v>
      </c>
      <c r="E96" s="53" t="s">
        <v>16</v>
      </c>
      <c r="G96" s="49">
        <f>IF(ISNA(VLOOKUP($B96,'Other Capital Needs'!$C$51:$P$95,H$6,0)),0,VLOOKUP($B96,'Other Capital Needs'!$C$51:$P$95,H$6,0))+IF(ISNA(VLOOKUP('Project Details by Yr'!$B96,'Public Grounds'!$A$11:$N$49,H$6,0)),0,VLOOKUP('Project Details by Yr'!$B96,'Public Grounds'!$A$11:$N$49,H$6,0))+IF(ISNA(VLOOKUP('Project Details by Yr'!$B96,'Public Buildings'!$A$10:$N$96,H$6,0)),0,VLOOKUP('Project Details by Yr'!$B96,'Public Buildings'!$A$10:$N$96,H$6,0))+IF(ISNA(VLOOKUP('Project Details by Yr'!$B96,Bridges!$A$9:$N$24,H$6,0)),0,VLOOKUP('Project Details by Yr'!$B96,Bridges!$A$9:$N$24,H$6,0))+IF(ISNA(VLOOKUP('Project Details by Yr'!$B96,'Parking Lots &amp; Playgrounds'!$A$9:$N$33,H$6,0)),0,VLOOKUP('Project Details by Yr'!$B96,'Parking Lots &amp; Playgrounds'!$A$9:$N$33,H$6,0))+IF(ISNA(VLOOKUP($B96,Vehicles!$B$9:$O$50,H$6,0)),0,VLOOKUP($B96,Vehicles!$B$9:$O$50,H$6,0))</f>
        <v>0</v>
      </c>
      <c r="H96" s="50">
        <v>1</v>
      </c>
      <c r="I96" s="49">
        <f t="shared" si="9"/>
        <v>0</v>
      </c>
      <c r="J96" s="49">
        <f t="shared" si="10"/>
        <v>0</v>
      </c>
      <c r="K96" s="49">
        <f t="shared" si="11"/>
        <v>0</v>
      </c>
    </row>
    <row r="97" spans="1:12" x14ac:dyDescent="0.25">
      <c r="A97" s="48">
        <v>32</v>
      </c>
      <c r="B97" s="54" t="s">
        <v>169</v>
      </c>
      <c r="C97" s="40" t="s">
        <v>101</v>
      </c>
      <c r="D97" s="40" t="s">
        <v>271</v>
      </c>
      <c r="E97" s="53" t="s">
        <v>16</v>
      </c>
      <c r="G97" s="49">
        <f>IF(ISNA(VLOOKUP($B97,'Other Capital Needs'!$C$51:$P$95,H$6,0)),0,VLOOKUP($B97,'Other Capital Needs'!$C$51:$P$95,H$6,0))+IF(ISNA(VLOOKUP('Project Details by Yr'!$B97,'Public Grounds'!$A$11:$N$49,H$6,0)),0,VLOOKUP('Project Details by Yr'!$B97,'Public Grounds'!$A$11:$N$49,H$6,0))+IF(ISNA(VLOOKUP('Project Details by Yr'!$B97,'Public Buildings'!$A$10:$N$96,H$6,0)),0,VLOOKUP('Project Details by Yr'!$B97,'Public Buildings'!$A$10:$N$96,H$6,0))+IF(ISNA(VLOOKUP('Project Details by Yr'!$B97,Bridges!$A$9:$N$24,H$6,0)),0,VLOOKUP('Project Details by Yr'!$B97,Bridges!$A$9:$N$24,H$6,0))+IF(ISNA(VLOOKUP('Project Details by Yr'!$B97,'Parking Lots &amp; Playgrounds'!$A$9:$N$33,H$6,0)),0,VLOOKUP('Project Details by Yr'!$B97,'Parking Lots &amp; Playgrounds'!$A$9:$N$33,H$6,0))+IF(ISNA(VLOOKUP($B97,Vehicles!$B$9:$O$50,H$6,0)),0,VLOOKUP($B97,Vehicles!$B$9:$O$50,H$6,0))</f>
        <v>0</v>
      </c>
      <c r="H97" s="50">
        <v>1</v>
      </c>
      <c r="I97" s="49">
        <f t="shared" si="9"/>
        <v>0</v>
      </c>
      <c r="J97" s="49">
        <f t="shared" si="10"/>
        <v>0</v>
      </c>
      <c r="K97" s="49">
        <f t="shared" si="11"/>
        <v>0</v>
      </c>
    </row>
    <row r="98" spans="1:12" x14ac:dyDescent="0.25">
      <c r="A98" s="48">
        <v>32</v>
      </c>
      <c r="B98" s="54" t="s">
        <v>171</v>
      </c>
      <c r="C98" s="40" t="s">
        <v>101</v>
      </c>
      <c r="D98" s="40" t="s">
        <v>271</v>
      </c>
      <c r="E98" s="53" t="s">
        <v>16</v>
      </c>
      <c r="G98" s="49">
        <f>IF(ISNA(VLOOKUP($B98,'Other Capital Needs'!$C$51:$P$95,H$6,0)),0,VLOOKUP($B98,'Other Capital Needs'!$C$51:$P$95,H$6,0))+IF(ISNA(VLOOKUP('Project Details by Yr'!$B98,'Public Grounds'!$A$11:$N$49,H$6,0)),0,VLOOKUP('Project Details by Yr'!$B98,'Public Grounds'!$A$11:$N$49,H$6,0))+IF(ISNA(VLOOKUP('Project Details by Yr'!$B98,'Public Buildings'!$A$10:$N$96,H$6,0)),0,VLOOKUP('Project Details by Yr'!$B98,'Public Buildings'!$A$10:$N$96,H$6,0))+IF(ISNA(VLOOKUP('Project Details by Yr'!$B98,Bridges!$A$9:$N$24,H$6,0)),0,VLOOKUP('Project Details by Yr'!$B98,Bridges!$A$9:$N$24,H$6,0))+IF(ISNA(VLOOKUP('Project Details by Yr'!$B98,'Parking Lots &amp; Playgrounds'!$A$9:$N$33,H$6,0)),0,VLOOKUP('Project Details by Yr'!$B98,'Parking Lots &amp; Playgrounds'!$A$9:$N$33,H$6,0))+IF(ISNA(VLOOKUP($B98,Vehicles!$B$9:$O$50,H$6,0)),0,VLOOKUP($B98,Vehicles!$B$9:$O$50,H$6,0))</f>
        <v>0</v>
      </c>
      <c r="H98" s="50">
        <v>1</v>
      </c>
      <c r="I98" s="49">
        <f t="shared" si="9"/>
        <v>0</v>
      </c>
      <c r="J98" s="49">
        <f t="shared" si="10"/>
        <v>0</v>
      </c>
      <c r="K98" s="49">
        <f t="shared" si="11"/>
        <v>0</v>
      </c>
    </row>
    <row r="99" spans="1:12" x14ac:dyDescent="0.25">
      <c r="A99" s="48">
        <v>32</v>
      </c>
      <c r="B99" s="54" t="s">
        <v>172</v>
      </c>
      <c r="C99" s="40" t="s">
        <v>101</v>
      </c>
      <c r="D99" s="40" t="s">
        <v>271</v>
      </c>
      <c r="E99" s="53" t="s">
        <v>16</v>
      </c>
      <c r="G99" s="49">
        <f>IF(ISNA(VLOOKUP($B99,'Other Capital Needs'!$C$51:$P$95,H$6,0)),0,VLOOKUP($B99,'Other Capital Needs'!$C$51:$P$95,H$6,0))+IF(ISNA(VLOOKUP('Project Details by Yr'!$B99,'Public Grounds'!$A$11:$N$49,H$6,0)),0,VLOOKUP('Project Details by Yr'!$B99,'Public Grounds'!$A$11:$N$49,H$6,0))+IF(ISNA(VLOOKUP('Project Details by Yr'!$B99,'Public Buildings'!$A$10:$N$96,H$6,0)),0,VLOOKUP('Project Details by Yr'!$B99,'Public Buildings'!$A$10:$N$96,H$6,0))+IF(ISNA(VLOOKUP('Project Details by Yr'!$B99,Bridges!$A$9:$N$24,H$6,0)),0,VLOOKUP('Project Details by Yr'!$B99,Bridges!$A$9:$N$24,H$6,0))+IF(ISNA(VLOOKUP('Project Details by Yr'!$B99,'Parking Lots &amp; Playgrounds'!$A$9:$N$33,H$6,0)),0,VLOOKUP('Project Details by Yr'!$B99,'Parking Lots &amp; Playgrounds'!$A$9:$N$33,H$6,0))+IF(ISNA(VLOOKUP($B99,Vehicles!$B$9:$O$50,H$6,0)),0,VLOOKUP($B99,Vehicles!$B$9:$O$50,H$6,0))</f>
        <v>0</v>
      </c>
      <c r="H99" s="50">
        <v>1</v>
      </c>
      <c r="I99" s="49">
        <f t="shared" si="9"/>
        <v>0</v>
      </c>
      <c r="J99" s="49">
        <f t="shared" si="10"/>
        <v>0</v>
      </c>
      <c r="K99" s="49">
        <f t="shared" si="11"/>
        <v>0</v>
      </c>
    </row>
    <row r="100" spans="1:12" x14ac:dyDescent="0.25">
      <c r="A100" s="48">
        <v>32</v>
      </c>
      <c r="B100" s="54" t="s">
        <v>174</v>
      </c>
      <c r="C100" s="40" t="s">
        <v>101</v>
      </c>
      <c r="D100" s="40" t="s">
        <v>271</v>
      </c>
      <c r="E100" s="53" t="s">
        <v>16</v>
      </c>
      <c r="G100" s="49">
        <f>IF(ISNA(VLOOKUP($B100,'Other Capital Needs'!$C$51:$P$95,H$6,0)),0,VLOOKUP($B100,'Other Capital Needs'!$C$51:$P$95,H$6,0))+IF(ISNA(VLOOKUP('Project Details by Yr'!$B100,'Public Grounds'!$A$11:$N$49,H$6,0)),0,VLOOKUP('Project Details by Yr'!$B100,'Public Grounds'!$A$11:$N$49,H$6,0))+IF(ISNA(VLOOKUP('Project Details by Yr'!$B100,'Public Buildings'!$A$10:$N$96,H$6,0)),0,VLOOKUP('Project Details by Yr'!$B100,'Public Buildings'!$A$10:$N$96,H$6,0))+IF(ISNA(VLOOKUP('Project Details by Yr'!$B100,Bridges!$A$9:$N$24,H$6,0)),0,VLOOKUP('Project Details by Yr'!$B100,Bridges!$A$9:$N$24,H$6,0))+IF(ISNA(VLOOKUP('Project Details by Yr'!$B100,'Parking Lots &amp; Playgrounds'!$A$9:$N$33,H$6,0)),0,VLOOKUP('Project Details by Yr'!$B100,'Parking Lots &amp; Playgrounds'!$A$9:$N$33,H$6,0))+IF(ISNA(VLOOKUP($B100,Vehicles!$B$9:$O$50,H$6,0)),0,VLOOKUP($B100,Vehicles!$B$9:$O$50,H$6,0))</f>
        <v>0</v>
      </c>
      <c r="H100" s="50">
        <v>1</v>
      </c>
      <c r="I100" s="49">
        <f t="shared" si="9"/>
        <v>0</v>
      </c>
      <c r="J100" s="49">
        <f t="shared" si="10"/>
        <v>0</v>
      </c>
      <c r="K100" s="49">
        <f t="shared" si="11"/>
        <v>0</v>
      </c>
    </row>
    <row r="101" spans="1:12" x14ac:dyDescent="0.25">
      <c r="A101" s="48">
        <v>36</v>
      </c>
      <c r="B101" s="54" t="s">
        <v>177</v>
      </c>
      <c r="C101" s="54" t="s">
        <v>101</v>
      </c>
      <c r="D101" s="54" t="s">
        <v>271</v>
      </c>
      <c r="E101" s="53" t="s">
        <v>16</v>
      </c>
      <c r="F101" s="54"/>
      <c r="G101" s="49">
        <f>IF(ISNA(VLOOKUP($B101,'Other Capital Needs'!$C$51:$P$95,H$6,0)),0,VLOOKUP($B101,'Other Capital Needs'!$C$51:$P$95,H$6,0))+IF(ISNA(VLOOKUP('Project Details by Yr'!$B101,'Public Grounds'!$A$11:$N$49,H$6,0)),0,VLOOKUP('Project Details by Yr'!$B101,'Public Grounds'!$A$11:$N$49,H$6,0))+IF(ISNA(VLOOKUP('Project Details by Yr'!$B101,'Public Buildings'!$A$10:$N$96,H$6,0)),0,VLOOKUP('Project Details by Yr'!$B101,'Public Buildings'!$A$10:$N$96,H$6,0))+IF(ISNA(VLOOKUP('Project Details by Yr'!$B101,Bridges!$A$9:$N$24,H$6,0)),0,VLOOKUP('Project Details by Yr'!$B101,Bridges!$A$9:$N$24,H$6,0))+IF(ISNA(VLOOKUP('Project Details by Yr'!$B101,'Parking Lots &amp; Playgrounds'!$A$9:$N$33,H$6,0)),0,VLOOKUP('Project Details by Yr'!$B101,'Parking Lots &amp; Playgrounds'!$A$9:$N$33,H$6,0))+IF(ISNA(VLOOKUP($B101,Vehicles!$B$9:$O$50,H$6,0)),0,VLOOKUP($B101,Vehicles!$B$9:$O$50,H$6,0))</f>
        <v>0</v>
      </c>
      <c r="H101" s="50">
        <v>1</v>
      </c>
      <c r="I101" s="49">
        <f t="shared" si="9"/>
        <v>0</v>
      </c>
      <c r="J101" s="49">
        <f t="shared" si="10"/>
        <v>0</v>
      </c>
      <c r="K101" s="49">
        <f t="shared" si="11"/>
        <v>0</v>
      </c>
    </row>
    <row r="102" spans="1:12" x14ac:dyDescent="0.25">
      <c r="A102" s="48">
        <v>36</v>
      </c>
      <c r="B102" s="54" t="s">
        <v>179</v>
      </c>
      <c r="C102" s="54" t="s">
        <v>101</v>
      </c>
      <c r="D102" s="54" t="s">
        <v>271</v>
      </c>
      <c r="E102" s="53" t="s">
        <v>285</v>
      </c>
      <c r="F102" s="54"/>
      <c r="G102" s="49">
        <f>IF(ISNA(VLOOKUP($B102,'Other Capital Needs'!$C$51:$P$95,H$6,0)),0,VLOOKUP($B102,'Other Capital Needs'!$C$51:$P$95,H$6,0))+IF(ISNA(VLOOKUP('Project Details by Yr'!$B102,'Public Grounds'!$A$11:$N$49,H$6,0)),0,VLOOKUP('Project Details by Yr'!$B102,'Public Grounds'!$A$11:$N$49,H$6,0))+IF(ISNA(VLOOKUP('Project Details by Yr'!$B102,'Public Buildings'!$A$10:$N$96,H$6,0)),0,VLOOKUP('Project Details by Yr'!$B102,'Public Buildings'!$A$10:$N$96,H$6,0))+IF(ISNA(VLOOKUP('Project Details by Yr'!$B102,Bridges!$A$9:$N$24,H$6,0)),0,VLOOKUP('Project Details by Yr'!$B102,Bridges!$A$9:$N$24,H$6,0))+IF(ISNA(VLOOKUP('Project Details by Yr'!$B102,'Parking Lots &amp; Playgrounds'!$A$9:$N$33,H$6,0)),0,VLOOKUP('Project Details by Yr'!$B102,'Parking Lots &amp; Playgrounds'!$A$9:$N$33,H$6,0))+IF(ISNA(VLOOKUP($B102,Vehicles!$B$9:$O$50,H$6,0)),0,VLOOKUP($B102,Vehicles!$B$9:$O$50,H$6,0))</f>
        <v>120000</v>
      </c>
      <c r="H102" s="50">
        <v>1</v>
      </c>
      <c r="I102" s="49">
        <f t="shared" si="9"/>
        <v>0</v>
      </c>
      <c r="J102" s="49">
        <f t="shared" si="10"/>
        <v>0</v>
      </c>
      <c r="K102" s="49">
        <f t="shared" si="11"/>
        <v>120000</v>
      </c>
    </row>
    <row r="103" spans="1:12" x14ac:dyDescent="0.25">
      <c r="A103" s="48">
        <v>36</v>
      </c>
      <c r="B103" s="54" t="s">
        <v>180</v>
      </c>
      <c r="C103" s="54" t="s">
        <v>101</v>
      </c>
      <c r="D103" s="54" t="s">
        <v>271</v>
      </c>
      <c r="E103" s="53" t="s">
        <v>16</v>
      </c>
      <c r="F103" s="54"/>
      <c r="G103" s="49">
        <f>IF(ISNA(VLOOKUP($B103,'Other Capital Needs'!$C$51:$P$95,H$6,0)),0,VLOOKUP($B103,'Other Capital Needs'!$C$51:$P$95,H$6,0))+IF(ISNA(VLOOKUP('Project Details by Yr'!$B103,'Public Grounds'!$A$11:$N$49,H$6,0)),0,VLOOKUP('Project Details by Yr'!$B103,'Public Grounds'!$A$11:$N$49,H$6,0))+IF(ISNA(VLOOKUP('Project Details by Yr'!$B103,'Public Buildings'!$A$10:$N$96,H$6,0)),0,VLOOKUP('Project Details by Yr'!$B103,'Public Buildings'!$A$10:$N$96,H$6,0))+IF(ISNA(VLOOKUP('Project Details by Yr'!$B103,Bridges!$A$9:$N$24,H$6,0)),0,VLOOKUP('Project Details by Yr'!$B103,Bridges!$A$9:$N$24,H$6,0))+IF(ISNA(VLOOKUP('Project Details by Yr'!$B103,'Parking Lots &amp; Playgrounds'!$A$9:$N$33,H$6,0)),0,VLOOKUP('Project Details by Yr'!$B103,'Parking Lots &amp; Playgrounds'!$A$9:$N$33,H$6,0))+IF(ISNA(VLOOKUP($B103,Vehicles!$B$9:$O$50,H$6,0)),0,VLOOKUP($B103,Vehicles!$B$9:$O$50,H$6,0))</f>
        <v>0</v>
      </c>
      <c r="H103" s="50">
        <v>1</v>
      </c>
      <c r="I103" s="49">
        <f t="shared" si="9"/>
        <v>0</v>
      </c>
      <c r="J103" s="49">
        <f t="shared" si="10"/>
        <v>0</v>
      </c>
      <c r="K103" s="49">
        <f t="shared" si="11"/>
        <v>0</v>
      </c>
    </row>
    <row r="104" spans="1:12" x14ac:dyDescent="0.25">
      <c r="A104" s="53">
        <v>43</v>
      </c>
      <c r="B104" t="s">
        <v>307</v>
      </c>
      <c r="C104" s="54" t="s">
        <v>101</v>
      </c>
      <c r="D104" s="54" t="s">
        <v>271</v>
      </c>
      <c r="E104" s="53" t="s">
        <v>16</v>
      </c>
      <c r="F104" s="54"/>
      <c r="G104" s="49">
        <f>IF(ISNA(VLOOKUP($B104,'Other Capital Needs'!$C$51:$P$95,H$6,0)),0,VLOOKUP($B104,'Other Capital Needs'!$C$51:$P$95,H$6,0))+IF(ISNA(VLOOKUP('Project Details by Yr'!$B104,'Public Grounds'!$A$11:$N$49,H$6,0)),0,VLOOKUP('Project Details by Yr'!$B104,'Public Grounds'!$A$11:$N$49,H$6,0))+IF(ISNA(VLOOKUP('Project Details by Yr'!$B104,'Public Buildings'!$A$10:$N$96,H$6,0)),0,VLOOKUP('Project Details by Yr'!$B104,'Public Buildings'!$A$10:$N$96,H$6,0))+IF(ISNA(VLOOKUP('Project Details by Yr'!$B104,Bridges!$A$9:$N$24,H$6,0)),0,VLOOKUP('Project Details by Yr'!$B104,Bridges!$A$9:$N$24,H$6,0))+IF(ISNA(VLOOKUP('Project Details by Yr'!$B104,'Parking Lots &amp; Playgrounds'!$A$9:$N$33,H$6,0)),0,VLOOKUP('Project Details by Yr'!$B104,'Parking Lots &amp; Playgrounds'!$A$9:$N$33,H$6,0))+IF(ISNA(VLOOKUP($B104,Vehicles!$B$9:$O$50,H$6,0)),0,VLOOKUP($B104,Vehicles!$B$9:$O$50,H$6,0))</f>
        <v>0</v>
      </c>
      <c r="H104" s="50">
        <v>1</v>
      </c>
      <c r="I104" s="49">
        <f t="shared" si="9"/>
        <v>0</v>
      </c>
      <c r="J104" s="49">
        <f t="shared" si="10"/>
        <v>0</v>
      </c>
      <c r="K104" s="49">
        <f t="shared" si="11"/>
        <v>0</v>
      </c>
    </row>
    <row r="105" spans="1:12" x14ac:dyDescent="0.25">
      <c r="A105" s="48">
        <v>43</v>
      </c>
      <c r="B105" s="40" t="s">
        <v>185</v>
      </c>
      <c r="C105" s="40" t="s">
        <v>101</v>
      </c>
      <c r="D105" s="40" t="s">
        <v>271</v>
      </c>
      <c r="E105" s="43" t="s">
        <v>16</v>
      </c>
      <c r="G105" s="49">
        <f>IF(ISNA(VLOOKUP($B105,'Other Capital Needs'!$C$51:$P$95,H$6,0)),0,VLOOKUP($B105,'Other Capital Needs'!$C$51:$P$95,H$6,0))+IF(ISNA(VLOOKUP('Project Details by Yr'!$B105,'Public Grounds'!$A$11:$N$49,H$6,0)),0,VLOOKUP('Project Details by Yr'!$B105,'Public Grounds'!$A$11:$N$49,H$6,0))+IF(ISNA(VLOOKUP('Project Details by Yr'!$B105,'Public Buildings'!$A$10:$N$96,H$6,0)),0,VLOOKUP('Project Details by Yr'!$B105,'Public Buildings'!$A$10:$N$96,H$6,0))+IF(ISNA(VLOOKUP('Project Details by Yr'!$B105,Bridges!$A$9:$N$24,H$6,0)),0,VLOOKUP('Project Details by Yr'!$B105,Bridges!$A$9:$N$24,H$6,0))+IF(ISNA(VLOOKUP('Project Details by Yr'!$B105,'Parking Lots &amp; Playgrounds'!$A$9:$N$33,H$6,0)),0,VLOOKUP('Project Details by Yr'!$B105,'Parking Lots &amp; Playgrounds'!$A$9:$N$33,H$6,0))+IF(ISNA(VLOOKUP($B105,Vehicles!$B$9:$O$50,H$6,0)),0,VLOOKUP($B105,Vehicles!$B$9:$O$50,H$6,0))</f>
        <v>0</v>
      </c>
      <c r="H105" s="50"/>
      <c r="I105" s="49">
        <f t="shared" si="9"/>
        <v>0</v>
      </c>
      <c r="J105" s="49">
        <f t="shared" si="10"/>
        <v>0</v>
      </c>
      <c r="K105" s="49">
        <f t="shared" si="11"/>
        <v>0</v>
      </c>
      <c r="L105" s="52" t="s">
        <v>293</v>
      </c>
    </row>
    <row r="106" spans="1:12" x14ac:dyDescent="0.25">
      <c r="A106" s="48">
        <v>53</v>
      </c>
      <c r="B106" s="40" t="s">
        <v>189</v>
      </c>
      <c r="C106" s="40" t="s">
        <v>101</v>
      </c>
      <c r="D106" s="40" t="s">
        <v>271</v>
      </c>
      <c r="E106" s="43" t="s">
        <v>16</v>
      </c>
      <c r="G106" s="49">
        <f>IF(ISNA(VLOOKUP($B106,'Other Capital Needs'!$C$51:$P$95,H$6,0)),0,VLOOKUP($B106,'Other Capital Needs'!$C$51:$P$95,H$6,0))+IF(ISNA(VLOOKUP('Project Details by Yr'!$B106,'Public Grounds'!$A$11:$N$49,H$6,0)),0,VLOOKUP('Project Details by Yr'!$B106,'Public Grounds'!$A$11:$N$49,H$6,0))+IF(ISNA(VLOOKUP('Project Details by Yr'!$B106,'Public Buildings'!$A$10:$N$96,H$6,0)),0,VLOOKUP('Project Details by Yr'!$B106,'Public Buildings'!$A$10:$N$96,H$6,0))+IF(ISNA(VLOOKUP('Project Details by Yr'!$B106,Bridges!$A$9:$N$24,H$6,0)),0,VLOOKUP('Project Details by Yr'!$B106,Bridges!$A$9:$N$24,H$6,0))+IF(ISNA(VLOOKUP('Project Details by Yr'!$B106,'Parking Lots &amp; Playgrounds'!$A$9:$N$33,H$6,0)),0,VLOOKUP('Project Details by Yr'!$B106,'Parking Lots &amp; Playgrounds'!$A$9:$N$33,H$6,0))+IF(ISNA(VLOOKUP($B106,Vehicles!$B$9:$O$50,H$6,0)),0,VLOOKUP($B106,Vehicles!$B$9:$O$50,H$6,0))</f>
        <v>0</v>
      </c>
      <c r="H106" s="50"/>
      <c r="I106" s="49">
        <f t="shared" si="9"/>
        <v>0</v>
      </c>
      <c r="J106" s="49">
        <f t="shared" si="10"/>
        <v>0</v>
      </c>
      <c r="K106" s="49">
        <f t="shared" si="11"/>
        <v>0</v>
      </c>
    </row>
    <row r="107" spans="1:12" x14ac:dyDescent="0.25">
      <c r="A107" s="48">
        <v>53</v>
      </c>
      <c r="B107" s="40" t="s">
        <v>190</v>
      </c>
      <c r="C107" s="40" t="s">
        <v>101</v>
      </c>
      <c r="D107" s="40" t="s">
        <v>271</v>
      </c>
      <c r="E107" s="43" t="s">
        <v>16</v>
      </c>
      <c r="G107" s="49">
        <f>IF(ISNA(VLOOKUP($B107,'Other Capital Needs'!$C$51:$P$95,H$6,0)),0,VLOOKUP($B107,'Other Capital Needs'!$C$51:$P$95,H$6,0))+IF(ISNA(VLOOKUP('Project Details by Yr'!$B107,'Public Grounds'!$A$11:$N$49,H$6,0)),0,VLOOKUP('Project Details by Yr'!$B107,'Public Grounds'!$A$11:$N$49,H$6,0))+IF(ISNA(VLOOKUP('Project Details by Yr'!$B107,'Public Buildings'!$A$10:$N$96,H$6,0)),0,VLOOKUP('Project Details by Yr'!$B107,'Public Buildings'!$A$10:$N$96,H$6,0))+IF(ISNA(VLOOKUP('Project Details by Yr'!$B107,Bridges!$A$9:$N$24,H$6,0)),0,VLOOKUP('Project Details by Yr'!$B107,Bridges!$A$9:$N$24,H$6,0))+IF(ISNA(VLOOKUP('Project Details by Yr'!$B107,'Parking Lots &amp; Playgrounds'!$A$9:$N$33,H$6,0)),0,VLOOKUP('Project Details by Yr'!$B107,'Parking Lots &amp; Playgrounds'!$A$9:$N$33,H$6,0))+IF(ISNA(VLOOKUP($B107,Vehicles!$B$9:$O$50,H$6,0)),0,VLOOKUP($B107,Vehicles!$B$9:$O$50,H$6,0))</f>
        <v>0</v>
      </c>
      <c r="H107" s="50"/>
      <c r="I107" s="49">
        <f t="shared" si="9"/>
        <v>0</v>
      </c>
      <c r="J107" s="49">
        <f t="shared" si="10"/>
        <v>0</v>
      </c>
      <c r="K107" s="49">
        <f t="shared" si="11"/>
        <v>0</v>
      </c>
    </row>
    <row r="108" spans="1:12" x14ac:dyDescent="0.25">
      <c r="B108" s="40" t="s">
        <v>20</v>
      </c>
      <c r="C108" s="54" t="s">
        <v>46</v>
      </c>
      <c r="D108" s="54" t="s">
        <v>271</v>
      </c>
      <c r="E108" s="43" t="s">
        <v>16</v>
      </c>
      <c r="G108" s="49">
        <f>IF(ISNA(VLOOKUP($B108,'Other Capital Needs'!$C$51:$P$95,H$6,0)),0,VLOOKUP($B108,'Other Capital Needs'!$C$51:$P$95,H$6,0))+IF(ISNA(VLOOKUP('Project Details by Yr'!$B108,'Public Grounds'!$A$11:$N$49,H$6,0)),0,VLOOKUP('Project Details by Yr'!$B108,'Public Grounds'!$A$11:$N$49,H$6,0))+IF(ISNA(VLOOKUP('Project Details by Yr'!$B108,'Public Buildings'!$A$10:$N$96,H$6,0)),0,VLOOKUP('Project Details by Yr'!$B108,'Public Buildings'!$A$10:$N$96,H$6,0))+IF(ISNA(VLOOKUP('Project Details by Yr'!$B108,Bridges!$A$9:$N$24,H$6,0)),0,VLOOKUP('Project Details by Yr'!$B108,Bridges!$A$9:$N$24,H$6,0))+IF(ISNA(VLOOKUP('Project Details by Yr'!$B108,'Parking Lots &amp; Playgrounds'!$A$9:$N$33,H$6,0)),0,VLOOKUP('Project Details by Yr'!$B108,'Parking Lots &amp; Playgrounds'!$A$9:$N$33,H$6,0))+IF(ISNA(VLOOKUP($B108,Vehicles!$B$9:$O$50,H$6,0)),0,VLOOKUP($B108,Vehicles!$B$9:$O$50,H$6,0))</f>
        <v>0</v>
      </c>
      <c r="H108" s="50">
        <v>1</v>
      </c>
      <c r="I108" s="49">
        <f t="shared" si="9"/>
        <v>0</v>
      </c>
      <c r="J108" s="49">
        <f t="shared" si="10"/>
        <v>0</v>
      </c>
      <c r="K108" s="49">
        <f t="shared" si="11"/>
        <v>0</v>
      </c>
    </row>
    <row r="109" spans="1:12" x14ac:dyDescent="0.25">
      <c r="B109" s="40" t="s">
        <v>21</v>
      </c>
      <c r="C109" s="54" t="s">
        <v>46</v>
      </c>
      <c r="D109" s="54" t="s">
        <v>271</v>
      </c>
      <c r="E109" s="43" t="s">
        <v>16</v>
      </c>
      <c r="G109" s="49">
        <f>IF(ISNA(VLOOKUP($B109,'Other Capital Needs'!$C$51:$P$95,H$6,0)),0,VLOOKUP($B109,'Other Capital Needs'!$C$51:$P$95,H$6,0))+IF(ISNA(VLOOKUP('Project Details by Yr'!$B109,'Public Grounds'!$A$11:$N$49,H$6,0)),0,VLOOKUP('Project Details by Yr'!$B109,'Public Grounds'!$A$11:$N$49,H$6,0))+IF(ISNA(VLOOKUP('Project Details by Yr'!$B109,'Public Buildings'!$A$10:$N$96,H$6,0)),0,VLOOKUP('Project Details by Yr'!$B109,'Public Buildings'!$A$10:$N$96,H$6,0))+IF(ISNA(VLOOKUP('Project Details by Yr'!$B109,Bridges!$A$9:$N$24,H$6,0)),0,VLOOKUP('Project Details by Yr'!$B109,Bridges!$A$9:$N$24,H$6,0))+IF(ISNA(VLOOKUP('Project Details by Yr'!$B109,'Parking Lots &amp; Playgrounds'!$A$9:$N$33,H$6,0)),0,VLOOKUP('Project Details by Yr'!$B109,'Parking Lots &amp; Playgrounds'!$A$9:$N$33,H$6,0))+IF(ISNA(VLOOKUP($B109,Vehicles!$B$9:$O$50,H$6,0)),0,VLOOKUP($B109,Vehicles!$B$9:$O$50,H$6,0))</f>
        <v>23500</v>
      </c>
      <c r="H109" s="50">
        <v>1</v>
      </c>
      <c r="I109" s="49">
        <f t="shared" si="9"/>
        <v>0</v>
      </c>
      <c r="J109" s="49">
        <f t="shared" si="10"/>
        <v>23500</v>
      </c>
      <c r="K109" s="49">
        <f t="shared" si="11"/>
        <v>0</v>
      </c>
    </row>
    <row r="110" spans="1:12" x14ac:dyDescent="0.25">
      <c r="B110" s="40" t="s">
        <v>25</v>
      </c>
      <c r="C110" s="54" t="s">
        <v>46</v>
      </c>
      <c r="D110" s="54" t="s">
        <v>271</v>
      </c>
      <c r="E110" s="43" t="s">
        <v>16</v>
      </c>
      <c r="G110" s="49">
        <f>IF(ISNA(VLOOKUP($B110,'Other Capital Needs'!$C$51:$P$95,H$6,0)),0,VLOOKUP($B110,'Other Capital Needs'!$C$51:$P$95,H$6,0))+IF(ISNA(VLOOKUP('Project Details by Yr'!$B110,'Public Grounds'!$A$11:$N$49,H$6,0)),0,VLOOKUP('Project Details by Yr'!$B110,'Public Grounds'!$A$11:$N$49,H$6,0))+IF(ISNA(VLOOKUP('Project Details by Yr'!$B110,'Public Buildings'!$A$10:$N$96,H$6,0)),0,VLOOKUP('Project Details by Yr'!$B110,'Public Buildings'!$A$10:$N$96,H$6,0))+IF(ISNA(VLOOKUP('Project Details by Yr'!$B110,Bridges!$A$9:$N$24,H$6,0)),0,VLOOKUP('Project Details by Yr'!$B110,Bridges!$A$9:$N$24,H$6,0))+IF(ISNA(VLOOKUP('Project Details by Yr'!$B110,'Parking Lots &amp; Playgrounds'!$A$9:$N$33,H$6,0)),0,VLOOKUP('Project Details by Yr'!$B110,'Parking Lots &amp; Playgrounds'!$A$9:$N$33,H$6,0))+IF(ISNA(VLOOKUP($B110,Vehicles!$B$9:$O$50,H$6,0)),0,VLOOKUP($B110,Vehicles!$B$9:$O$50,H$6,0))</f>
        <v>70000</v>
      </c>
      <c r="H110" s="50">
        <v>1</v>
      </c>
      <c r="I110" s="49">
        <f t="shared" si="9"/>
        <v>0</v>
      </c>
      <c r="J110" s="49">
        <f t="shared" si="10"/>
        <v>70000</v>
      </c>
      <c r="K110" s="49">
        <f t="shared" si="11"/>
        <v>0</v>
      </c>
    </row>
    <row r="111" spans="1:12" x14ac:dyDescent="0.25">
      <c r="B111" s="40" t="s">
        <v>216</v>
      </c>
      <c r="C111" s="40" t="s">
        <v>47</v>
      </c>
      <c r="D111" s="40" t="s">
        <v>271</v>
      </c>
      <c r="E111" s="43" t="s">
        <v>16</v>
      </c>
      <c r="G111" s="49">
        <f>IF(ISNA(VLOOKUP($B111,'Other Capital Needs'!$C$51:$P$95,H$6,0)),0,VLOOKUP($B111,'Other Capital Needs'!$C$51:$P$95,H$6,0))+IF(ISNA(VLOOKUP('Project Details by Yr'!$B111,'Public Grounds'!$A$11:$N$49,H$6,0)),0,VLOOKUP('Project Details by Yr'!$B111,'Public Grounds'!$A$11:$N$49,H$6,0))+IF(ISNA(VLOOKUP('Project Details by Yr'!$B111,'Public Buildings'!$A$10:$N$96,H$6,0)),0,VLOOKUP('Project Details by Yr'!$B111,'Public Buildings'!$A$10:$N$96,H$6,0))+IF(ISNA(VLOOKUP('Project Details by Yr'!$B111,Bridges!$A$9:$N$24,H$6,0)),0,VLOOKUP('Project Details by Yr'!$B111,Bridges!$A$9:$N$24,H$6,0))+IF(ISNA(VLOOKUP('Project Details by Yr'!$B111,'Parking Lots &amp; Playgrounds'!$A$9:$N$33,H$6,0)),0,VLOOKUP('Project Details by Yr'!$B111,'Parking Lots &amp; Playgrounds'!$A$9:$N$33,H$6,0))+IF(ISNA(VLOOKUP($B111,Vehicles!$B$9:$O$50,H$6,0)),0,VLOOKUP($B111,Vehicles!$B$9:$O$50,H$6,0))</f>
        <v>0</v>
      </c>
      <c r="H111" s="50"/>
      <c r="I111" s="49">
        <f t="shared" si="9"/>
        <v>0</v>
      </c>
      <c r="J111" s="49">
        <f t="shared" si="10"/>
        <v>0</v>
      </c>
      <c r="K111" s="49">
        <f t="shared" si="11"/>
        <v>0</v>
      </c>
      <c r="L111" s="52" t="s">
        <v>289</v>
      </c>
    </row>
    <row r="112" spans="1:12" x14ac:dyDescent="0.25">
      <c r="B112" s="40" t="s">
        <v>224</v>
      </c>
      <c r="C112" s="40" t="s">
        <v>47</v>
      </c>
      <c r="D112" s="40" t="s">
        <v>271</v>
      </c>
      <c r="E112" s="43" t="s">
        <v>16</v>
      </c>
      <c r="G112" s="49">
        <f>IF(ISNA(VLOOKUP($B112,'Other Capital Needs'!$C$51:$P$95,H$6,0)),0,VLOOKUP($B112,'Other Capital Needs'!$C$51:$P$95,H$6,0))+IF(ISNA(VLOOKUP('Project Details by Yr'!$B112,'Public Grounds'!$A$11:$N$49,H$6,0)),0,VLOOKUP('Project Details by Yr'!$B112,'Public Grounds'!$A$11:$N$49,H$6,0))+IF(ISNA(VLOOKUP('Project Details by Yr'!$B112,'Public Buildings'!$A$10:$N$96,H$6,0)),0,VLOOKUP('Project Details by Yr'!$B112,'Public Buildings'!$A$10:$N$96,H$6,0))+IF(ISNA(VLOOKUP('Project Details by Yr'!$B112,Bridges!$A$9:$N$24,H$6,0)),0,VLOOKUP('Project Details by Yr'!$B112,Bridges!$A$9:$N$24,H$6,0))+IF(ISNA(VLOOKUP('Project Details by Yr'!$B112,'Parking Lots &amp; Playgrounds'!$A$9:$N$33,H$6,0)),0,VLOOKUP('Project Details by Yr'!$B112,'Parking Lots &amp; Playgrounds'!$A$9:$N$33,H$6,0))+IF(ISNA(VLOOKUP($B112,Vehicles!$B$9:$O$50,H$6,0)),0,VLOOKUP($B112,Vehicles!$B$9:$O$50,H$6,0))</f>
        <v>45000</v>
      </c>
      <c r="H112" s="50"/>
      <c r="I112" s="49">
        <f t="shared" si="9"/>
        <v>0</v>
      </c>
      <c r="J112" s="49">
        <f t="shared" si="10"/>
        <v>0</v>
      </c>
      <c r="K112" s="49">
        <f t="shared" si="11"/>
        <v>0</v>
      </c>
    </row>
    <row r="113" spans="2:12" x14ac:dyDescent="0.25">
      <c r="B113" s="54" t="s">
        <v>221</v>
      </c>
      <c r="C113" s="54" t="s">
        <v>279</v>
      </c>
      <c r="D113" s="54" t="s">
        <v>271</v>
      </c>
      <c r="E113" s="53" t="s">
        <v>16</v>
      </c>
      <c r="F113" s="54"/>
      <c r="G113" s="49">
        <f>IF(ISNA(VLOOKUP($B113,'Other Capital Needs'!$C$51:$P$95,H$6,0)),0,VLOOKUP($B113,'Other Capital Needs'!$C$51:$P$95,H$6,0))+IF(ISNA(VLOOKUP('Project Details by Yr'!$B113,'Public Grounds'!$A$11:$N$49,H$6,0)),0,VLOOKUP('Project Details by Yr'!$B113,'Public Grounds'!$A$11:$N$49,H$6,0))+IF(ISNA(VLOOKUP('Project Details by Yr'!$B113,'Public Buildings'!$A$10:$N$96,H$6,0)),0,VLOOKUP('Project Details by Yr'!$B113,'Public Buildings'!$A$10:$N$96,H$6,0))+IF(ISNA(VLOOKUP('Project Details by Yr'!$B113,Bridges!$A$9:$N$24,H$6,0)),0,VLOOKUP('Project Details by Yr'!$B113,Bridges!$A$9:$N$24,H$6,0))+IF(ISNA(VLOOKUP('Project Details by Yr'!$B113,'Parking Lots &amp; Playgrounds'!$A$9:$N$33,H$6,0)),0,VLOOKUP('Project Details by Yr'!$B113,'Parking Lots &amp; Playgrounds'!$A$9:$N$33,H$6,0))+IF(ISNA(VLOOKUP($B113,Vehicles!$B$9:$O$50,H$6,0)),0,VLOOKUP($B113,Vehicles!$B$9:$O$50,H$6,0))</f>
        <v>0</v>
      </c>
      <c r="H113" s="50"/>
      <c r="I113" s="49">
        <f t="shared" si="9"/>
        <v>0</v>
      </c>
      <c r="J113" s="49">
        <f t="shared" si="10"/>
        <v>0</v>
      </c>
      <c r="K113" s="49">
        <f t="shared" si="11"/>
        <v>0</v>
      </c>
      <c r="L113" s="52" t="s">
        <v>289</v>
      </c>
    </row>
    <row r="114" spans="2:12" x14ac:dyDescent="0.25">
      <c r="B114" s="57" t="s">
        <v>232</v>
      </c>
      <c r="C114" s="40" t="s">
        <v>280</v>
      </c>
      <c r="D114" s="40" t="s">
        <v>271</v>
      </c>
      <c r="E114" s="43" t="s">
        <v>16</v>
      </c>
      <c r="G114" s="49">
        <f>IF(ISNA(VLOOKUP($B114,'Other Capital Needs'!$C$51:$P$95,H$6,0)),0,VLOOKUP($B114,'Other Capital Needs'!$C$51:$P$95,H$6,0))+IF(ISNA(VLOOKUP('Project Details by Yr'!$B114,'Public Grounds'!$A$11:$N$49,H$6,0)),0,VLOOKUP('Project Details by Yr'!$B114,'Public Grounds'!$A$11:$N$49,H$6,0))+IF(ISNA(VLOOKUP('Project Details by Yr'!$B114,'Public Buildings'!$A$10:$N$96,H$6,0)),0,VLOOKUP('Project Details by Yr'!$B114,'Public Buildings'!$A$10:$N$96,H$6,0))+IF(ISNA(VLOOKUP('Project Details by Yr'!$B114,Bridges!$A$9:$N$24,H$6,0)),0,VLOOKUP('Project Details by Yr'!$B114,Bridges!$A$9:$N$24,H$6,0))+IF(ISNA(VLOOKUP('Project Details by Yr'!$B114,'Parking Lots &amp; Playgrounds'!$A$9:$N$33,H$6,0)),0,VLOOKUP('Project Details by Yr'!$B114,'Parking Lots &amp; Playgrounds'!$A$9:$N$33,H$6,0))+IF(ISNA(VLOOKUP($B114,Vehicles!$B$9:$O$50,H$6,0)),0,VLOOKUP($B114,Vehicles!$B$9:$O$50,H$6,0))</f>
        <v>95000</v>
      </c>
      <c r="H114" s="50"/>
      <c r="I114" s="49">
        <f t="shared" si="9"/>
        <v>0</v>
      </c>
      <c r="J114" s="49">
        <f t="shared" si="10"/>
        <v>0</v>
      </c>
      <c r="K114" s="49">
        <f t="shared" si="11"/>
        <v>0</v>
      </c>
      <c r="L114" s="52" t="s">
        <v>289</v>
      </c>
    </row>
    <row r="115" spans="2:12" x14ac:dyDescent="0.25">
      <c r="B115" s="40" t="s">
        <v>225</v>
      </c>
      <c r="C115" s="40" t="s">
        <v>47</v>
      </c>
      <c r="D115" s="40" t="s">
        <v>271</v>
      </c>
      <c r="E115" s="43" t="s">
        <v>16</v>
      </c>
      <c r="G115" s="49">
        <f>IF(ISNA(VLOOKUP($B115,'Other Capital Needs'!$C$51:$P$95,H$6,0)),0,VLOOKUP($B115,'Other Capital Needs'!$C$51:$P$95,H$6,0))+IF(ISNA(VLOOKUP('Project Details by Yr'!$B115,'Public Grounds'!$A$11:$N$49,H$6,0)),0,VLOOKUP('Project Details by Yr'!$B115,'Public Grounds'!$A$11:$N$49,H$6,0))+IF(ISNA(VLOOKUP('Project Details by Yr'!$B115,'Public Buildings'!$A$10:$N$96,H$6,0)),0,VLOOKUP('Project Details by Yr'!$B115,'Public Buildings'!$A$10:$N$96,H$6,0))+IF(ISNA(VLOOKUP('Project Details by Yr'!$B115,Bridges!$A$9:$N$24,H$6,0)),0,VLOOKUP('Project Details by Yr'!$B115,Bridges!$A$9:$N$24,H$6,0))+IF(ISNA(VLOOKUP('Project Details by Yr'!$B115,'Parking Lots &amp; Playgrounds'!$A$9:$N$33,H$6,0)),0,VLOOKUP('Project Details by Yr'!$B115,'Parking Lots &amp; Playgrounds'!$A$9:$N$33,H$6,0))+IF(ISNA(VLOOKUP($B115,Vehicles!$B$9:$O$50,H$6,0)),0,VLOOKUP($B115,Vehicles!$B$9:$O$50,H$6,0))</f>
        <v>25000</v>
      </c>
      <c r="H115" s="50">
        <v>1</v>
      </c>
      <c r="I115" s="49">
        <f t="shared" si="9"/>
        <v>0</v>
      </c>
      <c r="J115" s="49">
        <f t="shared" si="10"/>
        <v>25000</v>
      </c>
      <c r="K115" s="49">
        <f t="shared" si="11"/>
        <v>0</v>
      </c>
    </row>
    <row r="116" spans="2:12" x14ac:dyDescent="0.25">
      <c r="B116" s="40" t="s">
        <v>199</v>
      </c>
      <c r="C116" s="40" t="s">
        <v>47</v>
      </c>
      <c r="D116" s="40" t="s">
        <v>272</v>
      </c>
      <c r="E116" s="43" t="s">
        <v>19</v>
      </c>
      <c r="G116" s="49">
        <f>IF(ISNA(VLOOKUP($B116,'Other Capital Needs'!$C$51:$P$95,H$6,0)),0,VLOOKUP($B116,'Other Capital Needs'!$C$51:$P$95,H$6,0))+IF(ISNA(VLOOKUP('Project Details by Yr'!$B116,'Public Grounds'!$A$11:$N$49,H$6,0)),0,VLOOKUP('Project Details by Yr'!$B116,'Public Grounds'!$A$11:$N$49,H$6,0))+IF(ISNA(VLOOKUP('Project Details by Yr'!$B116,'Public Buildings'!$A$10:$N$96,H$6,0)),0,VLOOKUP('Project Details by Yr'!$B116,'Public Buildings'!$A$10:$N$96,H$6,0))+IF(ISNA(VLOOKUP('Project Details by Yr'!$B116,Bridges!$A$9:$N$24,H$6,0)),0,VLOOKUP('Project Details by Yr'!$B116,Bridges!$A$9:$N$24,H$6,0))+IF(ISNA(VLOOKUP('Project Details by Yr'!$B116,'Parking Lots &amp; Playgrounds'!$A$9:$N$33,H$6,0)),0,VLOOKUP('Project Details by Yr'!$B116,'Parking Lots &amp; Playgrounds'!$A$9:$N$33,H$6,0))+IF(ISNA(VLOOKUP($B116,Vehicles!$B$9:$O$50,H$6,0)),0,VLOOKUP($B116,Vehicles!$B$9:$O$50,H$6,0))</f>
        <v>0</v>
      </c>
      <c r="H116" s="50">
        <v>1</v>
      </c>
      <c r="I116" s="49">
        <f t="shared" si="9"/>
        <v>0</v>
      </c>
      <c r="J116" s="49">
        <f t="shared" si="10"/>
        <v>0</v>
      </c>
      <c r="K116" s="49">
        <f t="shared" si="11"/>
        <v>0</v>
      </c>
    </row>
    <row r="117" spans="2:12" x14ac:dyDescent="0.25">
      <c r="B117" s="40" t="s">
        <v>191</v>
      </c>
      <c r="C117" s="40" t="s">
        <v>47</v>
      </c>
      <c r="D117" s="40" t="s">
        <v>272</v>
      </c>
      <c r="E117" s="43" t="s">
        <v>16</v>
      </c>
      <c r="G117" s="49">
        <f>IF(ISNA(VLOOKUP($B117,'Other Capital Needs'!$C$51:$P$95,H$6,0)),0,VLOOKUP($B117,'Other Capital Needs'!$C$51:$P$95,H$6,0))+IF(ISNA(VLOOKUP('Project Details by Yr'!$B117,'Public Grounds'!$A$11:$N$49,H$6,0)),0,VLOOKUP('Project Details by Yr'!$B117,'Public Grounds'!$A$11:$N$49,H$6,0))+IF(ISNA(VLOOKUP('Project Details by Yr'!$B117,'Public Buildings'!$A$10:$N$96,H$6,0)),0,VLOOKUP('Project Details by Yr'!$B117,'Public Buildings'!$A$10:$N$96,H$6,0))+IF(ISNA(VLOOKUP('Project Details by Yr'!$B117,Bridges!$A$9:$N$24,H$6,0)),0,VLOOKUP('Project Details by Yr'!$B117,Bridges!$A$9:$N$24,H$6,0))+IF(ISNA(VLOOKUP('Project Details by Yr'!$B117,'Parking Lots &amp; Playgrounds'!$A$9:$N$33,H$6,0)),0,VLOOKUP('Project Details by Yr'!$B117,'Parking Lots &amp; Playgrounds'!$A$9:$N$33,H$6,0))+IF(ISNA(VLOOKUP($B117,Vehicles!$B$9:$O$50,H$6,0)),0,VLOOKUP($B117,Vehicles!$B$9:$O$50,H$6,0))</f>
        <v>10000</v>
      </c>
      <c r="H117" s="50">
        <v>1</v>
      </c>
      <c r="I117" s="49">
        <f t="shared" si="9"/>
        <v>0</v>
      </c>
      <c r="J117" s="49">
        <f t="shared" si="10"/>
        <v>10000</v>
      </c>
      <c r="K117" s="49">
        <f t="shared" si="11"/>
        <v>0</v>
      </c>
    </row>
    <row r="118" spans="2:12" x14ac:dyDescent="0.25">
      <c r="B118" s="40" t="s">
        <v>192</v>
      </c>
      <c r="C118" s="40" t="s">
        <v>47</v>
      </c>
      <c r="D118" s="40" t="s">
        <v>272</v>
      </c>
      <c r="E118" s="43" t="s">
        <v>16</v>
      </c>
      <c r="G118" s="49">
        <f>IF(ISNA(VLOOKUP($B118,'Other Capital Needs'!$C$51:$P$95,H$6,0)),0,VLOOKUP($B118,'Other Capital Needs'!$C$51:$P$95,H$6,0))+IF(ISNA(VLOOKUP('Project Details by Yr'!$B118,'Public Grounds'!$A$11:$N$49,H$6,0)),0,VLOOKUP('Project Details by Yr'!$B118,'Public Grounds'!$A$11:$N$49,H$6,0))+IF(ISNA(VLOOKUP('Project Details by Yr'!$B118,'Public Buildings'!$A$10:$N$96,H$6,0)),0,VLOOKUP('Project Details by Yr'!$B118,'Public Buildings'!$A$10:$N$96,H$6,0))+IF(ISNA(VLOOKUP('Project Details by Yr'!$B118,Bridges!$A$9:$N$24,H$6,0)),0,VLOOKUP('Project Details by Yr'!$B118,Bridges!$A$9:$N$24,H$6,0))+IF(ISNA(VLOOKUP('Project Details by Yr'!$B118,'Parking Lots &amp; Playgrounds'!$A$9:$N$33,H$6,0)),0,VLOOKUP('Project Details by Yr'!$B118,'Parking Lots &amp; Playgrounds'!$A$9:$N$33,H$6,0))+IF(ISNA(VLOOKUP($B118,Vehicles!$B$9:$O$50,H$6,0)),0,VLOOKUP($B118,Vehicles!$B$9:$O$50,H$6,0))</f>
        <v>25000</v>
      </c>
      <c r="H118" s="50">
        <v>1</v>
      </c>
      <c r="I118" s="49">
        <f t="shared" si="9"/>
        <v>0</v>
      </c>
      <c r="J118" s="49">
        <f t="shared" si="10"/>
        <v>25000</v>
      </c>
      <c r="K118" s="49">
        <f t="shared" si="11"/>
        <v>0</v>
      </c>
    </row>
    <row r="119" spans="2:12" x14ac:dyDescent="0.25">
      <c r="B119" s="40" t="s">
        <v>193</v>
      </c>
      <c r="C119" s="40" t="s">
        <v>47</v>
      </c>
      <c r="D119" s="40" t="s">
        <v>272</v>
      </c>
      <c r="E119" s="43" t="s">
        <v>16</v>
      </c>
      <c r="G119" s="49">
        <f>IF(ISNA(VLOOKUP($B119,'Other Capital Needs'!$C$51:$P$95,H$6,0)),0,VLOOKUP($B119,'Other Capital Needs'!$C$51:$P$95,H$6,0))+IF(ISNA(VLOOKUP('Project Details by Yr'!$B119,'Public Grounds'!$A$11:$N$49,H$6,0)),0,VLOOKUP('Project Details by Yr'!$B119,'Public Grounds'!$A$11:$N$49,H$6,0))+IF(ISNA(VLOOKUP('Project Details by Yr'!$B119,'Public Buildings'!$A$10:$N$96,H$6,0)),0,VLOOKUP('Project Details by Yr'!$B119,'Public Buildings'!$A$10:$N$96,H$6,0))+IF(ISNA(VLOOKUP('Project Details by Yr'!$B119,Bridges!$A$9:$N$24,H$6,0)),0,VLOOKUP('Project Details by Yr'!$B119,Bridges!$A$9:$N$24,H$6,0))+IF(ISNA(VLOOKUP('Project Details by Yr'!$B119,'Parking Lots &amp; Playgrounds'!$A$9:$N$33,H$6,0)),0,VLOOKUP('Project Details by Yr'!$B119,'Parking Lots &amp; Playgrounds'!$A$9:$N$33,H$6,0))+IF(ISNA(VLOOKUP($B119,Vehicles!$B$9:$O$50,H$6,0)),0,VLOOKUP($B119,Vehicles!$B$9:$O$50,H$6,0))</f>
        <v>10000</v>
      </c>
      <c r="H119" s="50">
        <v>1</v>
      </c>
      <c r="I119" s="49">
        <f t="shared" si="9"/>
        <v>0</v>
      </c>
      <c r="J119" s="49">
        <f t="shared" si="10"/>
        <v>10000</v>
      </c>
      <c r="K119" s="49">
        <f t="shared" si="11"/>
        <v>0</v>
      </c>
    </row>
    <row r="120" spans="2:12" x14ac:dyDescent="0.25">
      <c r="B120" s="40" t="s">
        <v>201</v>
      </c>
      <c r="C120" s="40" t="s">
        <v>47</v>
      </c>
      <c r="D120" s="40" t="s">
        <v>272</v>
      </c>
      <c r="E120" s="43" t="s">
        <v>16</v>
      </c>
      <c r="G120" s="49">
        <f>IF(ISNA(VLOOKUP($B120,'Other Capital Needs'!$C$51:$P$95,H$6,0)),0,VLOOKUP($B120,'Other Capital Needs'!$C$51:$P$95,H$6,0))+IF(ISNA(VLOOKUP('Project Details by Yr'!$B120,'Public Grounds'!$A$11:$N$49,H$6,0)),0,VLOOKUP('Project Details by Yr'!$B120,'Public Grounds'!$A$11:$N$49,H$6,0))+IF(ISNA(VLOOKUP('Project Details by Yr'!$B120,'Public Buildings'!$A$10:$N$96,H$6,0)),0,VLOOKUP('Project Details by Yr'!$B120,'Public Buildings'!$A$10:$N$96,H$6,0))+IF(ISNA(VLOOKUP('Project Details by Yr'!$B120,Bridges!$A$9:$N$24,H$6,0)),0,VLOOKUP('Project Details by Yr'!$B120,Bridges!$A$9:$N$24,H$6,0))+IF(ISNA(VLOOKUP('Project Details by Yr'!$B120,'Parking Lots &amp; Playgrounds'!$A$9:$N$33,H$6,0)),0,VLOOKUP('Project Details by Yr'!$B120,'Parking Lots &amp; Playgrounds'!$A$9:$N$33,H$6,0))+IF(ISNA(VLOOKUP($B120,Vehicles!$B$9:$O$50,H$6,0)),0,VLOOKUP($B120,Vehicles!$B$9:$O$50,H$6,0))</f>
        <v>35000</v>
      </c>
      <c r="H120" s="50">
        <v>1</v>
      </c>
      <c r="I120" s="49">
        <f t="shared" si="9"/>
        <v>0</v>
      </c>
      <c r="J120" s="49">
        <f t="shared" si="10"/>
        <v>35000</v>
      </c>
      <c r="K120" s="49">
        <f t="shared" si="11"/>
        <v>0</v>
      </c>
    </row>
    <row r="121" spans="2:12" x14ac:dyDescent="0.25">
      <c r="B121" s="40" t="s">
        <v>82</v>
      </c>
      <c r="C121" s="40" t="s">
        <v>91</v>
      </c>
      <c r="D121" s="40" t="s">
        <v>271</v>
      </c>
      <c r="E121" s="43" t="s">
        <v>16</v>
      </c>
      <c r="G121" s="49">
        <f>IF(ISNA(VLOOKUP($B121,'Other Capital Needs'!$C$51:$P$95,H$6,0)),0,VLOOKUP($B121,'Other Capital Needs'!$C$51:$P$95,H$6,0))+IF(ISNA(VLOOKUP('Project Details by Yr'!$B121,'Public Grounds'!$A$11:$N$49,H$6,0)),0,VLOOKUP('Project Details by Yr'!$B121,'Public Grounds'!$A$11:$N$49,H$6,0))+IF(ISNA(VLOOKUP('Project Details by Yr'!$B121,'Public Buildings'!$A$10:$N$96,H$6,0)),0,VLOOKUP('Project Details by Yr'!$B121,'Public Buildings'!$A$10:$N$96,H$6,0))+IF(ISNA(VLOOKUP('Project Details by Yr'!$B121,Bridges!$A$9:$N$24,H$6,0)),0,VLOOKUP('Project Details by Yr'!$B121,Bridges!$A$9:$N$24,H$6,0))+IF(ISNA(VLOOKUP('Project Details by Yr'!$B121,'Parking Lots &amp; Playgrounds'!$A$9:$N$33,H$6,0)),0,VLOOKUP('Project Details by Yr'!$B121,'Parking Lots &amp; Playgrounds'!$A$9:$N$33,H$6,0))+IF(ISNA(VLOOKUP($B121,Vehicles!$B$9:$O$50,H$6,0)),0,VLOOKUP($B121,Vehicles!$B$9:$O$50,H$6,0))</f>
        <v>275000</v>
      </c>
      <c r="H121" s="50">
        <v>1</v>
      </c>
      <c r="I121" s="49">
        <f t="shared" si="9"/>
        <v>0</v>
      </c>
      <c r="J121" s="49">
        <f t="shared" si="10"/>
        <v>275000</v>
      </c>
      <c r="K121" s="49">
        <f t="shared" si="11"/>
        <v>0</v>
      </c>
    </row>
    <row r="122" spans="2:12" x14ac:dyDescent="0.25">
      <c r="B122" s="40" t="str">
        <f>B56</f>
        <v>East Berlin Pool</v>
      </c>
      <c r="C122" s="40" t="str">
        <f t="shared" ref="C122:G122" si="12">C56</f>
        <v>Parking Lots &amp; Playgrounds</v>
      </c>
      <c r="D122" s="40" t="str">
        <f t="shared" si="12"/>
        <v>Town</v>
      </c>
      <c r="E122" s="43" t="str">
        <f t="shared" si="12"/>
        <v>GF</v>
      </c>
      <c r="G122" s="49">
        <f t="shared" si="12"/>
        <v>0</v>
      </c>
      <c r="H122" s="50">
        <v>1</v>
      </c>
      <c r="I122" s="49">
        <f t="shared" si="9"/>
        <v>0</v>
      </c>
      <c r="J122" s="49">
        <f t="shared" si="10"/>
        <v>0</v>
      </c>
      <c r="K122" s="49">
        <f t="shared" si="11"/>
        <v>0</v>
      </c>
    </row>
    <row r="123" spans="2:12" x14ac:dyDescent="0.25">
      <c r="B123" s="40" t="str">
        <f>B57</f>
        <v>Dennehy Field</v>
      </c>
      <c r="C123" s="40" t="str">
        <f t="shared" ref="C123:G123" si="13">C57</f>
        <v>Parking Lots &amp; Playgrounds</v>
      </c>
      <c r="D123" s="40" t="str">
        <f t="shared" si="13"/>
        <v>Town</v>
      </c>
      <c r="E123" s="43" t="str">
        <f t="shared" si="13"/>
        <v>GF</v>
      </c>
      <c r="G123" s="49">
        <f t="shared" si="13"/>
        <v>0</v>
      </c>
      <c r="H123" s="50">
        <v>1</v>
      </c>
      <c r="I123" s="49">
        <f t="shared" si="9"/>
        <v>0</v>
      </c>
      <c r="J123" s="49">
        <f t="shared" si="10"/>
        <v>0</v>
      </c>
      <c r="K123" s="49">
        <f t="shared" si="11"/>
        <v>0</v>
      </c>
    </row>
    <row r="124" spans="2:12" x14ac:dyDescent="0.25">
      <c r="B124" s="40" t="s">
        <v>124</v>
      </c>
      <c r="C124" s="40" t="s">
        <v>49</v>
      </c>
      <c r="D124" s="40" t="s">
        <v>271</v>
      </c>
      <c r="E124" s="43" t="s">
        <v>16</v>
      </c>
      <c r="G124" s="49">
        <f>IF(ISNA(VLOOKUP($B124,'Other Capital Needs'!$C$51:$P$95,H$6,0)),0,VLOOKUP($B124,'Other Capital Needs'!$C$51:$P$95,H$6,0))+IF(ISNA(VLOOKUP('Project Details by Yr'!$B124,'Public Grounds'!$A$11:$N$49,H$6,0)),0,VLOOKUP('Project Details by Yr'!$B124,'Public Grounds'!$A$11:$N$49,H$6,0))+IF(ISNA(VLOOKUP('Project Details by Yr'!$B124,'Public Buildings'!$A$10:$N$96,H$6,0)),0,VLOOKUP('Project Details by Yr'!$B124,'Public Buildings'!$A$10:$N$96,H$6,0))+IF(ISNA(VLOOKUP('Project Details by Yr'!$B124,Bridges!$A$9:$N$24,H$6,0)),0,VLOOKUP('Project Details by Yr'!$B124,Bridges!$A$9:$N$24,H$6,0))+IF(ISNA(VLOOKUP('Project Details by Yr'!$B124,'Parking Lots &amp; Playgrounds'!$A$9:$N$33,H$6,0)),0,VLOOKUP('Project Details by Yr'!$B124,'Parking Lots &amp; Playgrounds'!$A$9:$N$33,H$6,0))+IF(ISNA(VLOOKUP($B124,Vehicles!$B$9:$O$50,H$6,0)),0,VLOOKUP($B124,Vehicles!$B$9:$O$50,H$6,0))</f>
        <v>125000</v>
      </c>
      <c r="H124" s="50">
        <v>1</v>
      </c>
      <c r="I124" s="49">
        <f t="shared" si="9"/>
        <v>0</v>
      </c>
      <c r="J124" s="49">
        <f t="shared" si="10"/>
        <v>125000</v>
      </c>
      <c r="K124" s="49">
        <f t="shared" si="11"/>
        <v>0</v>
      </c>
    </row>
    <row r="125" spans="2:12" x14ac:dyDescent="0.25">
      <c r="B125" s="40" t="s">
        <v>125</v>
      </c>
      <c r="C125" s="40" t="s">
        <v>49</v>
      </c>
      <c r="D125" s="40" t="s">
        <v>271</v>
      </c>
      <c r="E125" s="43" t="s">
        <v>16</v>
      </c>
      <c r="G125" s="49">
        <f>IF(ISNA(VLOOKUP($B125,'Other Capital Needs'!$C$51:$P$95,H$6,0)),0,VLOOKUP($B125,'Other Capital Needs'!$C$51:$P$95,H$6,0))+IF(ISNA(VLOOKUP('Project Details by Yr'!$B125,'Public Grounds'!$A$11:$N$49,H$6,0)),0,VLOOKUP('Project Details by Yr'!$B125,'Public Grounds'!$A$11:$N$49,H$6,0))+IF(ISNA(VLOOKUP('Project Details by Yr'!$B125,'Public Buildings'!$A$10:$N$96,H$6,0)),0,VLOOKUP('Project Details by Yr'!$B125,'Public Buildings'!$A$10:$N$96,H$6,0))+IF(ISNA(VLOOKUP('Project Details by Yr'!$B125,Bridges!$A$9:$N$24,H$6,0)),0,VLOOKUP('Project Details by Yr'!$B125,Bridges!$A$9:$N$24,H$6,0))+IF(ISNA(VLOOKUP('Project Details by Yr'!$B125,'Parking Lots &amp; Playgrounds'!$A$9:$N$33,H$6,0)),0,VLOOKUP('Project Details by Yr'!$B125,'Parking Lots &amp; Playgrounds'!$A$9:$N$33,H$6,0))+IF(ISNA(VLOOKUP($B125,Vehicles!$B$9:$O$50,H$6,0)),0,VLOOKUP($B125,Vehicles!$B$9:$O$50,H$6,0))</f>
        <v>29327</v>
      </c>
      <c r="H125" s="50">
        <v>1</v>
      </c>
      <c r="I125" s="49">
        <f t="shared" si="9"/>
        <v>0</v>
      </c>
      <c r="J125" s="49">
        <f t="shared" si="10"/>
        <v>29327</v>
      </c>
      <c r="K125" s="49">
        <f t="shared" si="11"/>
        <v>0</v>
      </c>
    </row>
    <row r="126" spans="2:12" x14ac:dyDescent="0.25">
      <c r="B126" s="40" t="s">
        <v>126</v>
      </c>
      <c r="C126" s="40" t="s">
        <v>49</v>
      </c>
      <c r="D126" s="40" t="s">
        <v>271</v>
      </c>
      <c r="E126" s="43" t="s">
        <v>16</v>
      </c>
      <c r="G126" s="49">
        <f>IF(ISNA(VLOOKUP($B126,'Other Capital Needs'!$C$51:$P$95,H$6,0)),0,VLOOKUP($B126,'Other Capital Needs'!$C$51:$P$95,H$6,0))+IF(ISNA(VLOOKUP('Project Details by Yr'!$B126,'Public Grounds'!$A$11:$N$49,H$6,0)),0,VLOOKUP('Project Details by Yr'!$B126,'Public Grounds'!$A$11:$N$49,H$6,0))+IF(ISNA(VLOOKUP('Project Details by Yr'!$B126,'Public Buildings'!$A$10:$N$96,H$6,0)),0,VLOOKUP('Project Details by Yr'!$B126,'Public Buildings'!$A$10:$N$96,H$6,0))+IF(ISNA(VLOOKUP('Project Details by Yr'!$B126,Bridges!$A$9:$N$24,H$6,0)),0,VLOOKUP('Project Details by Yr'!$B126,Bridges!$A$9:$N$24,H$6,0))+IF(ISNA(VLOOKUP('Project Details by Yr'!$B126,'Parking Lots &amp; Playgrounds'!$A$9:$N$33,H$6,0)),0,VLOOKUP('Project Details by Yr'!$B126,'Parking Lots &amp; Playgrounds'!$A$9:$N$33,H$6,0))+IF(ISNA(VLOOKUP($B126,Vehicles!$B$9:$O$50,H$6,0)),0,VLOOKUP($B126,Vehicles!$B$9:$O$50,H$6,0))</f>
        <v>29327</v>
      </c>
      <c r="H126" s="50">
        <v>1</v>
      </c>
      <c r="I126" s="49">
        <f t="shared" si="9"/>
        <v>0</v>
      </c>
      <c r="J126" s="49">
        <f t="shared" si="10"/>
        <v>29327</v>
      </c>
      <c r="K126" s="49">
        <f t="shared" si="11"/>
        <v>0</v>
      </c>
    </row>
    <row r="127" spans="2:12" x14ac:dyDescent="0.25">
      <c r="B127" s="40" t="s">
        <v>127</v>
      </c>
      <c r="C127" s="40" t="s">
        <v>49</v>
      </c>
      <c r="D127" s="40" t="s">
        <v>271</v>
      </c>
      <c r="E127" s="43" t="s">
        <v>16</v>
      </c>
      <c r="G127" s="49">
        <f>IF(ISNA(VLOOKUP($B127,'Other Capital Needs'!$C$51:$P$95,H$6,0)),0,VLOOKUP($B127,'Other Capital Needs'!$C$51:$P$95,H$6,0))+IF(ISNA(VLOOKUP('Project Details by Yr'!$B127,'Public Grounds'!$A$11:$N$49,H$6,0)),0,VLOOKUP('Project Details by Yr'!$B127,'Public Grounds'!$A$11:$N$49,H$6,0))+IF(ISNA(VLOOKUP('Project Details by Yr'!$B127,'Public Buildings'!$A$10:$N$96,H$6,0)),0,VLOOKUP('Project Details by Yr'!$B127,'Public Buildings'!$A$10:$N$96,H$6,0))+IF(ISNA(VLOOKUP('Project Details by Yr'!$B127,Bridges!$A$9:$N$24,H$6,0)),0,VLOOKUP('Project Details by Yr'!$B127,Bridges!$A$9:$N$24,H$6,0))+IF(ISNA(VLOOKUP('Project Details by Yr'!$B127,'Parking Lots &amp; Playgrounds'!$A$9:$N$33,H$6,0)),0,VLOOKUP('Project Details by Yr'!$B127,'Parking Lots &amp; Playgrounds'!$A$9:$N$33,H$6,0))+IF(ISNA(VLOOKUP($B127,Vehicles!$B$9:$O$50,H$6,0)),0,VLOOKUP($B127,Vehicles!$B$9:$O$50,H$6,0))</f>
        <v>0</v>
      </c>
      <c r="H127" s="50">
        <v>1</v>
      </c>
      <c r="I127" s="49">
        <f t="shared" si="9"/>
        <v>0</v>
      </c>
      <c r="J127" s="49">
        <f t="shared" si="10"/>
        <v>0</v>
      </c>
      <c r="K127" s="49">
        <f t="shared" si="11"/>
        <v>0</v>
      </c>
    </row>
    <row r="128" spans="2:12" x14ac:dyDescent="0.25">
      <c r="B128" s="40" t="s">
        <v>128</v>
      </c>
      <c r="C128" s="40" t="s">
        <v>49</v>
      </c>
      <c r="D128" s="40" t="s">
        <v>271</v>
      </c>
      <c r="E128" s="43" t="s">
        <v>16</v>
      </c>
      <c r="G128" s="49">
        <f>IF(ISNA(VLOOKUP($B128,'Other Capital Needs'!$C$51:$P$95,H$6,0)),0,VLOOKUP($B128,'Other Capital Needs'!$C$51:$P$95,H$6,0))+IF(ISNA(VLOOKUP('Project Details by Yr'!$B128,'Public Grounds'!$A$11:$N$49,H$6,0)),0,VLOOKUP('Project Details by Yr'!$B128,'Public Grounds'!$A$11:$N$49,H$6,0))+IF(ISNA(VLOOKUP('Project Details by Yr'!$B128,'Public Buildings'!$A$10:$N$96,H$6,0)),0,VLOOKUP('Project Details by Yr'!$B128,'Public Buildings'!$A$10:$N$96,H$6,0))+IF(ISNA(VLOOKUP('Project Details by Yr'!$B128,Bridges!$A$9:$N$24,H$6,0)),0,VLOOKUP('Project Details by Yr'!$B128,Bridges!$A$9:$N$24,H$6,0))+IF(ISNA(VLOOKUP('Project Details by Yr'!$B128,'Parking Lots &amp; Playgrounds'!$A$9:$N$33,H$6,0)),0,VLOOKUP('Project Details by Yr'!$B128,'Parking Lots &amp; Playgrounds'!$A$9:$N$33,H$6,0))+IF(ISNA(VLOOKUP($B128,Vehicles!$B$9:$O$50,H$6,0)),0,VLOOKUP($B128,Vehicles!$B$9:$O$50,H$6,0))</f>
        <v>28000</v>
      </c>
      <c r="H128" s="50">
        <v>1</v>
      </c>
      <c r="I128" s="49">
        <f t="shared" si="9"/>
        <v>0</v>
      </c>
      <c r="J128" s="49">
        <f t="shared" si="10"/>
        <v>28000</v>
      </c>
      <c r="K128" s="49">
        <f t="shared" si="11"/>
        <v>0</v>
      </c>
    </row>
    <row r="129" spans="2:12" x14ac:dyDescent="0.25">
      <c r="B129" t="s">
        <v>308</v>
      </c>
      <c r="C129" s="40" t="s">
        <v>49</v>
      </c>
      <c r="D129" s="40" t="s">
        <v>271</v>
      </c>
      <c r="E129" s="43" t="s">
        <v>16</v>
      </c>
      <c r="G129" s="49">
        <f>IF(ISNA(VLOOKUP($B129,'Other Capital Needs'!$C$51:$P$95,H$6,0)),0,VLOOKUP($B129,'Other Capital Needs'!$C$51:$P$95,H$6,0))+IF(ISNA(VLOOKUP('Project Details by Yr'!$B129,'Public Grounds'!$A$11:$N$49,H$6,0)),0,VLOOKUP('Project Details by Yr'!$B129,'Public Grounds'!$A$11:$N$49,H$6,0))+IF(ISNA(VLOOKUP('Project Details by Yr'!$B129,'Public Buildings'!$A$10:$N$96,H$6,0)),0,VLOOKUP('Project Details by Yr'!$B129,'Public Buildings'!$A$10:$N$96,H$6,0))+IF(ISNA(VLOOKUP('Project Details by Yr'!$B129,Bridges!$A$9:$N$24,H$6,0)),0,VLOOKUP('Project Details by Yr'!$B129,Bridges!$A$9:$N$24,H$6,0))+IF(ISNA(VLOOKUP('Project Details by Yr'!$B129,'Parking Lots &amp; Playgrounds'!$A$9:$N$33,H$6,0)),0,VLOOKUP('Project Details by Yr'!$B129,'Parking Lots &amp; Playgrounds'!$A$9:$N$33,H$6,0))+IF(ISNA(VLOOKUP($B129,Vehicles!$B$9:$O$50,H$6,0)),0,VLOOKUP($B129,Vehicles!$B$9:$O$50,H$6,0))</f>
        <v>60000</v>
      </c>
      <c r="H129" s="50">
        <v>1</v>
      </c>
      <c r="I129" s="49">
        <f t="shared" si="9"/>
        <v>0</v>
      </c>
      <c r="J129" s="49">
        <f t="shared" si="10"/>
        <v>60000</v>
      </c>
      <c r="K129" s="49">
        <f t="shared" si="11"/>
        <v>0</v>
      </c>
    </row>
    <row r="130" spans="2:12" x14ac:dyDescent="0.25">
      <c r="B130" s="40" t="s">
        <v>120</v>
      </c>
      <c r="C130" s="40" t="s">
        <v>49</v>
      </c>
      <c r="D130" s="40" t="s">
        <v>271</v>
      </c>
      <c r="E130" s="43" t="s">
        <v>16</v>
      </c>
      <c r="G130" s="49">
        <f>IF(ISNA(VLOOKUP($B130,'Other Capital Needs'!$C$51:$P$95,H$6,0)),0,VLOOKUP($B130,'Other Capital Needs'!$C$51:$P$95,H$6,0))+IF(ISNA(VLOOKUP('Project Details by Yr'!$B130,'Public Grounds'!$A$11:$N$49,H$6,0)),0,VLOOKUP('Project Details by Yr'!$B130,'Public Grounds'!$A$11:$N$49,H$6,0))+IF(ISNA(VLOOKUP('Project Details by Yr'!$B130,'Public Buildings'!$A$10:$N$96,H$6,0)),0,VLOOKUP('Project Details by Yr'!$B130,'Public Buildings'!$A$10:$N$96,H$6,0))+IF(ISNA(VLOOKUP('Project Details by Yr'!$B130,Bridges!$A$9:$N$24,H$6,0)),0,VLOOKUP('Project Details by Yr'!$B130,Bridges!$A$9:$N$24,H$6,0))+IF(ISNA(VLOOKUP('Project Details by Yr'!$B130,'Parking Lots &amp; Playgrounds'!$A$9:$N$33,H$6,0)),0,VLOOKUP('Project Details by Yr'!$B130,'Parking Lots &amp; Playgrounds'!$A$9:$N$33,H$6,0))+IF(ISNA(VLOOKUP($B130,Vehicles!$B$9:$O$50,H$6,0)),0,VLOOKUP($B130,Vehicles!$B$9:$O$50,H$6,0))</f>
        <v>200000</v>
      </c>
      <c r="H130" s="50">
        <v>1</v>
      </c>
      <c r="I130" s="49">
        <f t="shared" si="9"/>
        <v>0</v>
      </c>
      <c r="J130" s="49">
        <f t="shared" si="10"/>
        <v>200000</v>
      </c>
      <c r="K130" s="49">
        <f t="shared" si="11"/>
        <v>0</v>
      </c>
    </row>
    <row r="131" spans="2:12" x14ac:dyDescent="0.25">
      <c r="B131" s="40" t="s">
        <v>123</v>
      </c>
      <c r="C131" s="40" t="s">
        <v>49</v>
      </c>
      <c r="D131" s="40" t="s">
        <v>271</v>
      </c>
      <c r="E131" s="43" t="s">
        <v>16</v>
      </c>
      <c r="G131" s="49">
        <f>IF(ISNA(VLOOKUP($B131,'Other Capital Needs'!$C$51:$P$95,H$6,0)),0,VLOOKUP($B131,'Other Capital Needs'!$C$51:$P$95,H$6,0))+IF(ISNA(VLOOKUP('Project Details by Yr'!$B131,'Public Grounds'!$A$11:$N$49,H$6,0)),0,VLOOKUP('Project Details by Yr'!$B131,'Public Grounds'!$A$11:$N$49,H$6,0))+IF(ISNA(VLOOKUP('Project Details by Yr'!$B131,'Public Buildings'!$A$10:$N$96,H$6,0)),0,VLOOKUP('Project Details by Yr'!$B131,'Public Buildings'!$A$10:$N$96,H$6,0))+IF(ISNA(VLOOKUP('Project Details by Yr'!$B131,Bridges!$A$9:$N$24,H$6,0)),0,VLOOKUP('Project Details by Yr'!$B131,Bridges!$A$9:$N$24,H$6,0))+IF(ISNA(VLOOKUP('Project Details by Yr'!$B131,'Parking Lots &amp; Playgrounds'!$A$9:$N$33,H$6,0)),0,VLOOKUP('Project Details by Yr'!$B131,'Parking Lots &amp; Playgrounds'!$A$9:$N$33,H$6,0))+IF(ISNA(VLOOKUP($B131,Vehicles!$B$9:$O$50,H$6,0)),0,VLOOKUP($B131,Vehicles!$B$9:$O$50,H$6,0))</f>
        <v>0</v>
      </c>
      <c r="H131" s="50">
        <v>1</v>
      </c>
      <c r="I131" s="49">
        <f t="shared" si="9"/>
        <v>0</v>
      </c>
      <c r="J131" s="49">
        <f t="shared" si="10"/>
        <v>0</v>
      </c>
      <c r="K131" s="49">
        <f t="shared" si="11"/>
        <v>0</v>
      </c>
    </row>
    <row r="132" spans="2:12" x14ac:dyDescent="0.25">
      <c r="B132" s="40" t="s">
        <v>113</v>
      </c>
      <c r="C132" s="40" t="s">
        <v>49</v>
      </c>
      <c r="D132" s="40" t="s">
        <v>271</v>
      </c>
      <c r="E132" s="43" t="s">
        <v>19</v>
      </c>
      <c r="G132" s="49">
        <f>IF(ISNA(VLOOKUP($B132,'Other Capital Needs'!$C$51:$P$95,H$6,0)),0,VLOOKUP($B132,'Other Capital Needs'!$C$51:$P$95,H$6,0))+IF(ISNA(VLOOKUP('Project Details by Yr'!$B132,'Public Grounds'!$A$11:$N$49,H$6,0)),0,VLOOKUP('Project Details by Yr'!$B132,'Public Grounds'!$A$11:$N$49,H$6,0))+IF(ISNA(VLOOKUP('Project Details by Yr'!$B132,'Public Buildings'!$A$10:$N$96,H$6,0)),0,VLOOKUP('Project Details by Yr'!$B132,'Public Buildings'!$A$10:$N$96,H$6,0))+IF(ISNA(VLOOKUP('Project Details by Yr'!$B132,Bridges!$A$9:$N$24,H$6,0)),0,VLOOKUP('Project Details by Yr'!$B132,Bridges!$A$9:$N$24,H$6,0))+IF(ISNA(VLOOKUP('Project Details by Yr'!$B132,'Parking Lots &amp; Playgrounds'!$A$9:$N$33,H$6,0)),0,VLOOKUP('Project Details by Yr'!$B132,'Parking Lots &amp; Playgrounds'!$A$9:$N$33,H$6,0))+IF(ISNA(VLOOKUP($B132,Vehicles!$B$9:$O$50,H$6,0)),0,VLOOKUP($B132,Vehicles!$B$9:$O$50,H$6,0))</f>
        <v>700000</v>
      </c>
      <c r="H132" s="50">
        <v>1</v>
      </c>
      <c r="I132" s="49">
        <f t="shared" si="9"/>
        <v>700000</v>
      </c>
      <c r="J132" s="49">
        <f t="shared" si="10"/>
        <v>0</v>
      </c>
      <c r="K132" s="49">
        <f t="shared" si="11"/>
        <v>0</v>
      </c>
    </row>
    <row r="133" spans="2:12" x14ac:dyDescent="0.25">
      <c r="B133" s="40" t="s">
        <v>115</v>
      </c>
      <c r="C133" s="40" t="s">
        <v>49</v>
      </c>
      <c r="D133" s="40" t="s">
        <v>271</v>
      </c>
      <c r="E133" s="43" t="s">
        <v>19</v>
      </c>
      <c r="G133" s="49">
        <f>IF(ISNA(VLOOKUP($B133,'Other Capital Needs'!$C$51:$P$95,H$6,0)),0,VLOOKUP($B133,'Other Capital Needs'!$C$51:$P$95,H$6,0))+IF(ISNA(VLOOKUP('Project Details by Yr'!$B133,'Public Grounds'!$A$11:$N$49,H$6,0)),0,VLOOKUP('Project Details by Yr'!$B133,'Public Grounds'!$A$11:$N$49,H$6,0))+IF(ISNA(VLOOKUP('Project Details by Yr'!$B133,'Public Buildings'!$A$10:$N$96,H$6,0)),0,VLOOKUP('Project Details by Yr'!$B133,'Public Buildings'!$A$10:$N$96,H$6,0))+IF(ISNA(VLOOKUP('Project Details by Yr'!$B133,Bridges!$A$9:$N$24,H$6,0)),0,VLOOKUP('Project Details by Yr'!$B133,Bridges!$A$9:$N$24,H$6,0))+IF(ISNA(VLOOKUP('Project Details by Yr'!$B133,'Parking Lots &amp; Playgrounds'!$A$9:$N$33,H$6,0)),0,VLOOKUP('Project Details by Yr'!$B133,'Parking Lots &amp; Playgrounds'!$A$9:$N$33,H$6,0))+IF(ISNA(VLOOKUP($B133,Vehicles!$B$9:$O$50,H$6,0)),0,VLOOKUP($B133,Vehicles!$B$9:$O$50,H$6,0))</f>
        <v>600000</v>
      </c>
      <c r="H133" s="50">
        <v>1</v>
      </c>
      <c r="I133" s="49">
        <f t="shared" si="9"/>
        <v>600000</v>
      </c>
      <c r="J133" s="49">
        <f t="shared" si="10"/>
        <v>0</v>
      </c>
      <c r="K133" s="49">
        <f t="shared" si="11"/>
        <v>0</v>
      </c>
    </row>
    <row r="134" spans="2:12" x14ac:dyDescent="0.25">
      <c r="B134" s="40" t="s">
        <v>132</v>
      </c>
      <c r="C134" s="40" t="s">
        <v>49</v>
      </c>
      <c r="D134" s="40" t="s">
        <v>271</v>
      </c>
      <c r="E134" s="43" t="s">
        <v>16</v>
      </c>
      <c r="G134" s="49">
        <f>IF(ISNA(VLOOKUP($B134,'Other Capital Needs'!$C$51:$P$95,H$6,0)),0,VLOOKUP($B134,'Other Capital Needs'!$C$51:$P$95,H$6,0))+IF(ISNA(VLOOKUP('Project Details by Yr'!$B134,'Public Grounds'!$A$11:$N$49,H$6,0)),0,VLOOKUP('Project Details by Yr'!$B134,'Public Grounds'!$A$11:$N$49,H$6,0))+IF(ISNA(VLOOKUP('Project Details by Yr'!$B134,'Public Buildings'!$A$10:$N$96,H$6,0)),0,VLOOKUP('Project Details by Yr'!$B134,'Public Buildings'!$A$10:$N$96,H$6,0))+IF(ISNA(VLOOKUP('Project Details by Yr'!$B134,Bridges!$A$9:$N$24,H$6,0)),0,VLOOKUP('Project Details by Yr'!$B134,Bridges!$A$9:$N$24,H$6,0))+IF(ISNA(VLOOKUP('Project Details by Yr'!$B134,'Parking Lots &amp; Playgrounds'!$A$9:$N$33,H$6,0)),0,VLOOKUP('Project Details by Yr'!$B134,'Parking Lots &amp; Playgrounds'!$A$9:$N$33,H$6,0))+IF(ISNA(VLOOKUP($B134,Vehicles!$B$9:$O$50,H$6,0)),0,VLOOKUP($B134,Vehicles!$B$9:$O$50,H$6,0))</f>
        <v>7500</v>
      </c>
      <c r="H134" s="50">
        <v>1</v>
      </c>
      <c r="I134" s="49">
        <f t="shared" si="9"/>
        <v>0</v>
      </c>
      <c r="J134" s="49">
        <f t="shared" si="10"/>
        <v>7500</v>
      </c>
      <c r="K134" s="49">
        <f t="shared" si="11"/>
        <v>0</v>
      </c>
    </row>
    <row r="135" spans="2:12" x14ac:dyDescent="0.25">
      <c r="B135" s="40" t="s">
        <v>136</v>
      </c>
      <c r="C135" s="40" t="s">
        <v>49</v>
      </c>
      <c r="D135" s="40" t="s">
        <v>271</v>
      </c>
      <c r="E135" s="43" t="s">
        <v>16</v>
      </c>
      <c r="G135" s="49">
        <f>IF(ISNA(VLOOKUP($B135,'Other Capital Needs'!$C$51:$P$95,H$6,0)),0,VLOOKUP($B135,'Other Capital Needs'!$C$51:$P$95,H$6,0))+IF(ISNA(VLOOKUP('Project Details by Yr'!$B135,'Public Grounds'!$A$11:$N$49,H$6,0)),0,VLOOKUP('Project Details by Yr'!$B135,'Public Grounds'!$A$11:$N$49,H$6,0))+IF(ISNA(VLOOKUP('Project Details by Yr'!$B135,'Public Buildings'!$A$10:$N$96,H$6,0)),0,VLOOKUP('Project Details by Yr'!$B135,'Public Buildings'!$A$10:$N$96,H$6,0))+IF(ISNA(VLOOKUP('Project Details by Yr'!$B135,Bridges!$A$9:$N$24,H$6,0)),0,VLOOKUP('Project Details by Yr'!$B135,Bridges!$A$9:$N$24,H$6,0))+IF(ISNA(VLOOKUP('Project Details by Yr'!$B135,'Parking Lots &amp; Playgrounds'!$A$9:$N$33,H$6,0)),0,VLOOKUP('Project Details by Yr'!$B135,'Parking Lots &amp; Playgrounds'!$A$9:$N$33,H$6,0))+IF(ISNA(VLOOKUP($B135,Vehicles!$B$9:$O$50,H$6,0)),0,VLOOKUP($B135,Vehicles!$B$9:$O$50,H$6,0))</f>
        <v>25000</v>
      </c>
      <c r="H135" s="50">
        <v>1</v>
      </c>
      <c r="I135" s="49">
        <f t="shared" si="9"/>
        <v>0</v>
      </c>
      <c r="J135" s="49">
        <f t="shared" si="10"/>
        <v>25000</v>
      </c>
      <c r="K135" s="49">
        <f t="shared" si="11"/>
        <v>0</v>
      </c>
    </row>
    <row r="136" spans="2:12" x14ac:dyDescent="0.25">
      <c r="B136" s="40" t="s">
        <v>139</v>
      </c>
      <c r="C136" s="40" t="s">
        <v>49</v>
      </c>
      <c r="D136" s="40" t="s">
        <v>272</v>
      </c>
      <c r="E136" s="43" t="s">
        <v>16</v>
      </c>
      <c r="G136" s="49">
        <f>IF(ISNA(VLOOKUP($B136,'Other Capital Needs'!$C$51:$P$95,H$6,0)),0,VLOOKUP($B136,'Other Capital Needs'!$C$51:$P$95,H$6,0))+IF(ISNA(VLOOKUP('Project Details by Yr'!$B136,'Public Grounds'!$A$11:$N$49,H$6,0)),0,VLOOKUP('Project Details by Yr'!$B136,'Public Grounds'!$A$11:$N$49,H$6,0))+IF(ISNA(VLOOKUP('Project Details by Yr'!$B136,'Public Buildings'!$A$10:$N$96,H$6,0)),0,VLOOKUP('Project Details by Yr'!$B136,'Public Buildings'!$A$10:$N$96,H$6,0))+IF(ISNA(VLOOKUP('Project Details by Yr'!$B136,Bridges!$A$9:$N$24,H$6,0)),0,VLOOKUP('Project Details by Yr'!$B136,Bridges!$A$9:$N$24,H$6,0))+IF(ISNA(VLOOKUP('Project Details by Yr'!$B136,'Parking Lots &amp; Playgrounds'!$A$9:$N$33,H$6,0)),0,VLOOKUP('Project Details by Yr'!$B136,'Parking Lots &amp; Playgrounds'!$A$9:$N$33,H$6,0))+IF(ISNA(VLOOKUP($B136,Vehicles!$B$9:$O$50,H$6,0)),0,VLOOKUP($B136,Vehicles!$B$9:$O$50,H$6,0))</f>
        <v>44588</v>
      </c>
      <c r="H136" s="50">
        <v>1</v>
      </c>
      <c r="I136" s="49">
        <f t="shared" si="9"/>
        <v>0</v>
      </c>
      <c r="J136" s="49">
        <f t="shared" si="10"/>
        <v>44588</v>
      </c>
      <c r="K136" s="49">
        <f t="shared" si="11"/>
        <v>0</v>
      </c>
    </row>
    <row r="137" spans="2:12" x14ac:dyDescent="0.25">
      <c r="E137" s="43"/>
      <c r="G137" s="49"/>
      <c r="I137" s="62"/>
      <c r="J137" s="62"/>
      <c r="K137" s="62"/>
    </row>
    <row r="138" spans="2:12" x14ac:dyDescent="0.25">
      <c r="B138" s="40" t="s">
        <v>273</v>
      </c>
      <c r="C138" s="40" t="s">
        <v>250</v>
      </c>
      <c r="D138" s="40" t="s">
        <v>271</v>
      </c>
      <c r="E138" s="43" t="s">
        <v>19</v>
      </c>
      <c r="G138" s="49">
        <f>Summary!F41</f>
        <v>1500000</v>
      </c>
      <c r="H138" s="50">
        <v>1</v>
      </c>
      <c r="I138" s="49">
        <f t="shared" si="9"/>
        <v>1500000</v>
      </c>
      <c r="J138" s="49">
        <f t="shared" si="10"/>
        <v>0</v>
      </c>
      <c r="K138" s="49">
        <f t="shared" si="11"/>
        <v>0</v>
      </c>
    </row>
    <row r="139" spans="2:12" x14ac:dyDescent="0.25">
      <c r="B139" s="40" t="s">
        <v>205</v>
      </c>
      <c r="C139" s="40" t="s">
        <v>48</v>
      </c>
      <c r="D139" s="40" t="s">
        <v>271</v>
      </c>
      <c r="E139" s="43" t="s">
        <v>16</v>
      </c>
      <c r="G139" s="49">
        <f>IF(ISNA(VLOOKUP($B139,'Other Capital Needs'!$C$51:$P$95,H$6,0)),0,VLOOKUP($B139,'Other Capital Needs'!$C$51:$P$95,H$6,0))+IF(ISNA(VLOOKUP('Project Details by Yr'!$B139,'Public Grounds'!$A$11:$N$49,H$6,0)),0,VLOOKUP('Project Details by Yr'!$B139,'Public Grounds'!$A$11:$N$49,H$6,0))+IF(ISNA(VLOOKUP('Project Details by Yr'!$B139,'Public Buildings'!$A$10:$N$96,H$6,0)),0,VLOOKUP('Project Details by Yr'!$B139,'Public Buildings'!$A$10:$N$96,H$6,0))+IF(ISNA(VLOOKUP('Project Details by Yr'!$B139,Bridges!$A$9:$N$24,H$6,0)),0,VLOOKUP('Project Details by Yr'!$B139,Bridges!$A$9:$N$24,H$6,0))+IF(ISNA(VLOOKUP('Project Details by Yr'!$B139,'Parking Lots &amp; Playgrounds'!$A$9:$N$33,H$6,0)),0,VLOOKUP('Project Details by Yr'!$B139,'Parking Lots &amp; Playgrounds'!$A$9:$N$33,H$6,0))+IF(ISNA(VLOOKUP($B139,Vehicles!$B$9:$O$50,H$6,0)),0,VLOOKUP($B139,Vehicles!$B$9:$O$50,H$6,0))</f>
        <v>500000</v>
      </c>
      <c r="H139" s="50">
        <v>1</v>
      </c>
      <c r="I139" s="49">
        <f t="shared" si="9"/>
        <v>0</v>
      </c>
      <c r="J139" s="49">
        <f t="shared" si="10"/>
        <v>500000</v>
      </c>
      <c r="K139" s="49">
        <f t="shared" si="11"/>
        <v>0</v>
      </c>
      <c r="L139" s="52" t="s">
        <v>302</v>
      </c>
    </row>
    <row r="140" spans="2:12" x14ac:dyDescent="0.25">
      <c r="B140" s="40" t="str">
        <f>B78</f>
        <v>Burnham Street</v>
      </c>
      <c r="C140" s="40" t="str">
        <f t="shared" ref="C140:E140" si="14">C78</f>
        <v>Bridges</v>
      </c>
      <c r="D140" s="40" t="str">
        <f t="shared" si="14"/>
        <v>Town</v>
      </c>
      <c r="E140" s="43" t="str">
        <f t="shared" si="14"/>
        <v>Bond</v>
      </c>
      <c r="G140" s="49">
        <f>G78</f>
        <v>425000</v>
      </c>
      <c r="H140" s="50">
        <v>1</v>
      </c>
      <c r="I140" s="49">
        <f t="shared" si="9"/>
        <v>425000</v>
      </c>
      <c r="J140" s="49">
        <f t="shared" si="10"/>
        <v>0</v>
      </c>
      <c r="K140" s="49">
        <f t="shared" si="11"/>
        <v>0</v>
      </c>
    </row>
    <row r="141" spans="2:12" ht="15.75" thickBot="1" x14ac:dyDescent="0.3">
      <c r="G141" s="58">
        <f>SUM(G86:G140)</f>
        <v>5448921</v>
      </c>
      <c r="H141" s="59">
        <f t="shared" ref="H141:K141" si="15">SUM(H86:H140)</f>
        <v>46</v>
      </c>
      <c r="I141" s="58">
        <f t="shared" si="15"/>
        <v>3225000</v>
      </c>
      <c r="J141" s="58">
        <f t="shared" si="15"/>
        <v>1863921</v>
      </c>
      <c r="K141" s="58">
        <f t="shared" si="15"/>
        <v>220000</v>
      </c>
    </row>
    <row r="142" spans="2:12" ht="15.75" thickTop="1" x14ac:dyDescent="0.25">
      <c r="G142" s="60" t="e">
        <f>G141-Summary!F96</f>
        <v>#REF!</v>
      </c>
      <c r="I142" s="63"/>
      <c r="J142" s="63"/>
      <c r="L142" s="64" t="s">
        <v>295</v>
      </c>
    </row>
    <row r="143" spans="2:12" x14ac:dyDescent="0.25">
      <c r="G143" s="60"/>
    </row>
    <row r="145" spans="1:12" x14ac:dyDescent="0.25">
      <c r="B145" s="46" t="s">
        <v>274</v>
      </c>
      <c r="C145" s="46" t="s">
        <v>246</v>
      </c>
      <c r="D145" s="46" t="s">
        <v>275</v>
      </c>
      <c r="E145" s="46" t="s">
        <v>270</v>
      </c>
      <c r="G145" s="46" t="s">
        <v>5</v>
      </c>
      <c r="H145" s="47" t="s">
        <v>284</v>
      </c>
      <c r="I145" s="46" t="s">
        <v>19</v>
      </c>
      <c r="J145" s="46" t="s">
        <v>16</v>
      </c>
      <c r="K145" s="46" t="s">
        <v>285</v>
      </c>
    </row>
    <row r="146" spans="1:12" x14ac:dyDescent="0.25">
      <c r="E146" s="43"/>
      <c r="J146" s="61"/>
      <c r="K146" s="61"/>
    </row>
    <row r="147" spans="1:12" x14ac:dyDescent="0.25">
      <c r="A147" s="48" t="s">
        <v>210</v>
      </c>
      <c r="B147" s="40" t="s">
        <v>204</v>
      </c>
      <c r="C147" s="40" t="s">
        <v>101</v>
      </c>
      <c r="D147" s="40" t="s">
        <v>271</v>
      </c>
      <c r="E147" s="43" t="s">
        <v>16</v>
      </c>
      <c r="G147" s="49">
        <f>IF(ISNA(VLOOKUP($B147,'Other Capital Needs'!$C$51:$P$95,I$6,0)),0,VLOOKUP($B147,'Other Capital Needs'!$C$51:$P$95,I$6,0))+IF(ISNA(VLOOKUP('Project Details by Yr'!$B147,'Public Grounds'!$A$11:$N$49,I$6,0)),0,VLOOKUP('Project Details by Yr'!$B147,'Public Grounds'!$A$11:$N$49,I$6,0))+IF(ISNA(VLOOKUP('Project Details by Yr'!$B147,'Public Buildings'!$A$10:$N$96,I$6,0)),0,VLOOKUP('Project Details by Yr'!$B147,'Public Buildings'!$A$10:$N$96,I$6,0))+IF(ISNA(VLOOKUP('Project Details by Yr'!$B147,Bridges!$A$9:$N$24,I$6,0)),0,VLOOKUP('Project Details by Yr'!$B147,Bridges!$A$9:$N$24,I$6,0))+IF(ISNA(VLOOKUP('Project Details by Yr'!$B147,'Parking Lots &amp; Playgrounds'!$A$9:$N$33,I$6,0)),0,VLOOKUP('Project Details by Yr'!$B147,'Parking Lots &amp; Playgrounds'!$A$9:$N$33,I$6,0))+IF(ISNA(VLOOKUP($B147,Vehicles!$B$9:$O$50,I$6,0)),0,VLOOKUP($B147,Vehicles!$B$9:$O$50,I$6,0))</f>
        <v>43640</v>
      </c>
      <c r="H147" s="50">
        <v>1</v>
      </c>
      <c r="I147" s="49">
        <f t="shared" ref="I147:I165" si="16">IF($H147=1,IF($E147="Bond",$G147,IF(E147="BAN",$G147,0)),0)</f>
        <v>0</v>
      </c>
      <c r="J147" s="49">
        <f t="shared" ref="J147:J197" si="17">IF($H147=1,IF($E147="GF",$G147,0),0)</f>
        <v>43640</v>
      </c>
      <c r="K147" s="49">
        <f t="shared" ref="K147:K197" si="18">IF($H147=1,IF($E147="Grant",$G147,0),0)</f>
        <v>0</v>
      </c>
    </row>
    <row r="148" spans="1:12" x14ac:dyDescent="0.25">
      <c r="A148" s="48" t="s">
        <v>209</v>
      </c>
      <c r="B148" s="40" t="s">
        <v>107</v>
      </c>
      <c r="C148" s="40" t="s">
        <v>101</v>
      </c>
      <c r="D148" s="40" t="s">
        <v>271</v>
      </c>
      <c r="E148" s="43" t="s">
        <v>16</v>
      </c>
      <c r="G148" s="49">
        <f>IF(ISNA(VLOOKUP($B148,'Other Capital Needs'!$C$51:$P$95,I$6,0)),0,VLOOKUP($B148,'Other Capital Needs'!$C$51:$P$95,I$6,0))+IF(ISNA(VLOOKUP('Project Details by Yr'!$B148,'Public Grounds'!$A$11:$N$49,I$6,0)),0,VLOOKUP('Project Details by Yr'!$B148,'Public Grounds'!$A$11:$N$49,I$6,0))+IF(ISNA(VLOOKUP('Project Details by Yr'!$B148,'Public Buildings'!$A$10:$N$96,I$6,0)),0,VLOOKUP('Project Details by Yr'!$B148,'Public Buildings'!$A$10:$N$96,I$6,0))+IF(ISNA(VLOOKUP('Project Details by Yr'!$B148,Bridges!$A$9:$N$24,I$6,0)),0,VLOOKUP('Project Details by Yr'!$B148,Bridges!$A$9:$N$24,I$6,0))+IF(ISNA(VLOOKUP('Project Details by Yr'!$B148,'Parking Lots &amp; Playgrounds'!$A$9:$N$33,I$6,0)),0,VLOOKUP('Project Details by Yr'!$B148,'Parking Lots &amp; Playgrounds'!$A$9:$N$33,I$6,0))+IF(ISNA(VLOOKUP($B148,Vehicles!$B$9:$O$50,I$6,0)),0,VLOOKUP($B148,Vehicles!$B$9:$O$50,I$6,0))</f>
        <v>50000</v>
      </c>
      <c r="H148" s="50">
        <v>1</v>
      </c>
      <c r="I148" s="49">
        <f t="shared" si="16"/>
        <v>0</v>
      </c>
      <c r="J148" s="49">
        <f t="shared" si="17"/>
        <v>50000</v>
      </c>
      <c r="K148" s="49">
        <f t="shared" si="18"/>
        <v>0</v>
      </c>
    </row>
    <row r="149" spans="1:12" x14ac:dyDescent="0.25">
      <c r="A149" s="48">
        <v>17</v>
      </c>
      <c r="B149" s="40" t="s">
        <v>146</v>
      </c>
      <c r="C149" s="40" t="s">
        <v>101</v>
      </c>
      <c r="D149" s="40" t="s">
        <v>271</v>
      </c>
      <c r="E149" s="43" t="s">
        <v>285</v>
      </c>
      <c r="G149" s="49">
        <f>IF(ISNA(VLOOKUP($B149,'Other Capital Needs'!$C$51:$P$95,I$6,0)),0,VLOOKUP($B149,'Other Capital Needs'!$C$51:$P$95,I$6,0))+IF(ISNA(VLOOKUP('Project Details by Yr'!$B149,'Public Grounds'!$A$11:$N$49,I$6,0)),0,VLOOKUP('Project Details by Yr'!$B149,'Public Grounds'!$A$11:$N$49,I$6,0))+IF(ISNA(VLOOKUP('Project Details by Yr'!$B149,'Public Buildings'!$A$10:$N$96,I$6,0)),0,VLOOKUP('Project Details by Yr'!$B149,'Public Buildings'!$A$10:$N$96,I$6,0))+IF(ISNA(VLOOKUP('Project Details by Yr'!$B149,Bridges!$A$9:$N$24,I$6,0)),0,VLOOKUP('Project Details by Yr'!$B149,Bridges!$A$9:$N$24,I$6,0))+IF(ISNA(VLOOKUP('Project Details by Yr'!$B149,'Parking Lots &amp; Playgrounds'!$A$9:$N$33,I$6,0)),0,VLOOKUP('Project Details by Yr'!$B149,'Parking Lots &amp; Playgrounds'!$A$9:$N$33,I$6,0))+IF(ISNA(VLOOKUP($B149,Vehicles!$B$9:$O$50,I$6,0)),0,VLOOKUP($B149,Vehicles!$B$9:$O$50,I$6,0))</f>
        <v>0</v>
      </c>
      <c r="H149" s="50">
        <v>1</v>
      </c>
      <c r="I149" s="49">
        <f t="shared" si="16"/>
        <v>0</v>
      </c>
      <c r="J149" s="49">
        <f t="shared" si="17"/>
        <v>0</v>
      </c>
      <c r="K149" s="49">
        <f t="shared" si="18"/>
        <v>0</v>
      </c>
    </row>
    <row r="150" spans="1:12" x14ac:dyDescent="0.25">
      <c r="A150" s="48">
        <v>31</v>
      </c>
      <c r="B150" s="40" t="s">
        <v>152</v>
      </c>
      <c r="C150" s="40" t="s">
        <v>101</v>
      </c>
      <c r="D150" s="40" t="s">
        <v>271</v>
      </c>
      <c r="E150" s="43" t="s">
        <v>16</v>
      </c>
      <c r="G150" s="49">
        <f>IF(ISNA(VLOOKUP($B150,'Other Capital Needs'!$C$51:$P$95,I$6,0)),0,VLOOKUP($B150,'Other Capital Needs'!$C$51:$P$95,I$6,0))+IF(ISNA(VLOOKUP('Project Details by Yr'!$B150,'Public Grounds'!$A$11:$N$49,I$6,0)),0,VLOOKUP('Project Details by Yr'!$B150,'Public Grounds'!$A$11:$N$49,I$6,0))+IF(ISNA(VLOOKUP('Project Details by Yr'!$B150,'Public Buildings'!$A$10:$N$96,I$6,0)),0,VLOOKUP('Project Details by Yr'!$B150,'Public Buildings'!$A$10:$N$96,I$6,0))+IF(ISNA(VLOOKUP('Project Details by Yr'!$B150,Bridges!$A$9:$N$24,I$6,0)),0,VLOOKUP('Project Details by Yr'!$B150,Bridges!$A$9:$N$24,I$6,0))+IF(ISNA(VLOOKUP('Project Details by Yr'!$B150,'Parking Lots &amp; Playgrounds'!$A$9:$N$33,I$6,0)),0,VLOOKUP('Project Details by Yr'!$B150,'Parking Lots &amp; Playgrounds'!$A$9:$N$33,I$6,0))+IF(ISNA(VLOOKUP($B150,Vehicles!$B$9:$O$50,I$6,0)),0,VLOOKUP($B150,Vehicles!$B$9:$O$50,I$6,0))</f>
        <v>200000</v>
      </c>
      <c r="H150" s="50">
        <v>1</v>
      </c>
      <c r="I150" s="49">
        <f t="shared" si="16"/>
        <v>0</v>
      </c>
      <c r="J150" s="49">
        <f t="shared" si="17"/>
        <v>200000</v>
      </c>
      <c r="K150" s="49">
        <f t="shared" si="18"/>
        <v>0</v>
      </c>
    </row>
    <row r="151" spans="1:12" x14ac:dyDescent="0.25">
      <c r="A151" s="48">
        <v>32</v>
      </c>
      <c r="B151" s="40" t="s">
        <v>157</v>
      </c>
      <c r="C151" s="40" t="s">
        <v>101</v>
      </c>
      <c r="D151" s="40" t="s">
        <v>271</v>
      </c>
      <c r="E151" s="43" t="s">
        <v>16</v>
      </c>
      <c r="G151" s="49">
        <f>IF(ISNA(VLOOKUP($B151,'Other Capital Needs'!$C$51:$P$95,I$6,0)),0,VLOOKUP($B151,'Other Capital Needs'!$C$51:$P$95,I$6,0))+IF(ISNA(VLOOKUP('Project Details by Yr'!$B151,'Public Grounds'!$A$11:$N$49,I$6,0)),0,VLOOKUP('Project Details by Yr'!$B151,'Public Grounds'!$A$11:$N$49,I$6,0))+IF(ISNA(VLOOKUP('Project Details by Yr'!$B151,'Public Buildings'!$A$10:$N$96,I$6,0)),0,VLOOKUP('Project Details by Yr'!$B151,'Public Buildings'!$A$10:$N$96,I$6,0))+IF(ISNA(VLOOKUP('Project Details by Yr'!$B151,Bridges!$A$9:$N$24,I$6,0)),0,VLOOKUP('Project Details by Yr'!$B151,Bridges!$A$9:$N$24,I$6,0))+IF(ISNA(VLOOKUP('Project Details by Yr'!$B151,'Parking Lots &amp; Playgrounds'!$A$9:$N$33,I$6,0)),0,VLOOKUP('Project Details by Yr'!$B151,'Parking Lots &amp; Playgrounds'!$A$9:$N$33,I$6,0))+IF(ISNA(VLOOKUP($B151,Vehicles!$B$9:$O$50,I$6,0)),0,VLOOKUP($B151,Vehicles!$B$9:$O$50,I$6,0))</f>
        <v>0</v>
      </c>
      <c r="H151" s="50">
        <v>1</v>
      </c>
      <c r="I151" s="49">
        <f t="shared" si="16"/>
        <v>0</v>
      </c>
      <c r="J151" s="49">
        <f t="shared" si="17"/>
        <v>0</v>
      </c>
      <c r="K151" s="49">
        <f t="shared" si="18"/>
        <v>0</v>
      </c>
    </row>
    <row r="152" spans="1:12" x14ac:dyDescent="0.25">
      <c r="A152" s="48">
        <v>32</v>
      </c>
      <c r="B152" s="40" t="s">
        <v>158</v>
      </c>
      <c r="C152" s="40" t="s">
        <v>101</v>
      </c>
      <c r="D152" s="40" t="s">
        <v>271</v>
      </c>
      <c r="E152" s="43" t="s">
        <v>16</v>
      </c>
      <c r="G152" s="49">
        <f>IF(ISNA(VLOOKUP($B152,'Other Capital Needs'!$C$51:$P$95,I$6,0)),0,VLOOKUP($B152,'Other Capital Needs'!$C$51:$P$95,I$6,0))+IF(ISNA(VLOOKUP('Project Details by Yr'!$B152,'Public Grounds'!$A$11:$N$49,I$6,0)),0,VLOOKUP('Project Details by Yr'!$B152,'Public Grounds'!$A$11:$N$49,I$6,0))+IF(ISNA(VLOOKUP('Project Details by Yr'!$B152,'Public Buildings'!$A$10:$N$96,I$6,0)),0,VLOOKUP('Project Details by Yr'!$B152,'Public Buildings'!$A$10:$N$96,I$6,0))+IF(ISNA(VLOOKUP('Project Details by Yr'!$B152,Bridges!$A$9:$N$24,I$6,0)),0,VLOOKUP('Project Details by Yr'!$B152,Bridges!$A$9:$N$24,I$6,0))+IF(ISNA(VLOOKUP('Project Details by Yr'!$B152,'Parking Lots &amp; Playgrounds'!$A$9:$N$33,I$6,0)),0,VLOOKUP('Project Details by Yr'!$B152,'Parking Lots &amp; Playgrounds'!$A$9:$N$33,I$6,0))+IF(ISNA(VLOOKUP($B152,Vehicles!$B$9:$O$50,I$6,0)),0,VLOOKUP($B152,Vehicles!$B$9:$O$50,I$6,0))</f>
        <v>0</v>
      </c>
      <c r="H152" s="50">
        <v>1</v>
      </c>
      <c r="I152" s="49">
        <f t="shared" si="16"/>
        <v>0</v>
      </c>
      <c r="J152" s="49">
        <f t="shared" si="17"/>
        <v>0</v>
      </c>
      <c r="K152" s="49">
        <f t="shared" si="18"/>
        <v>0</v>
      </c>
    </row>
    <row r="153" spans="1:12" x14ac:dyDescent="0.25">
      <c r="A153" s="48">
        <v>32</v>
      </c>
      <c r="B153" s="54" t="s">
        <v>166</v>
      </c>
      <c r="C153" s="40" t="s">
        <v>101</v>
      </c>
      <c r="D153" s="40" t="s">
        <v>271</v>
      </c>
      <c r="E153" s="53" t="s">
        <v>16</v>
      </c>
      <c r="G153" s="49">
        <f>IF(ISNA(VLOOKUP($B153,'Other Capital Needs'!$C$51:$P$95,I$6,0)),0,VLOOKUP($B153,'Other Capital Needs'!$C$51:$P$95,I$6,0))+IF(ISNA(VLOOKUP('Project Details by Yr'!$B153,'Public Grounds'!$A$11:$N$49,I$6,0)),0,VLOOKUP('Project Details by Yr'!$B153,'Public Grounds'!$A$11:$N$49,I$6,0))+IF(ISNA(VLOOKUP('Project Details by Yr'!$B153,'Public Buildings'!$A$10:$N$96,I$6,0)),0,VLOOKUP('Project Details by Yr'!$B153,'Public Buildings'!$A$10:$N$96,I$6,0))+IF(ISNA(VLOOKUP('Project Details by Yr'!$B153,Bridges!$A$9:$N$24,I$6,0)),0,VLOOKUP('Project Details by Yr'!$B153,Bridges!$A$9:$N$24,I$6,0))+IF(ISNA(VLOOKUP('Project Details by Yr'!$B153,'Parking Lots &amp; Playgrounds'!$A$9:$N$33,I$6,0)),0,VLOOKUP('Project Details by Yr'!$B153,'Parking Lots &amp; Playgrounds'!$A$9:$N$33,I$6,0))+IF(ISNA(VLOOKUP($B153,Vehicles!$B$9:$O$50,I$6,0)),0,VLOOKUP($B153,Vehicles!$B$9:$O$50,I$6,0))</f>
        <v>0</v>
      </c>
      <c r="H153" s="50">
        <v>1</v>
      </c>
      <c r="I153" s="49">
        <f t="shared" si="16"/>
        <v>0</v>
      </c>
      <c r="J153" s="49">
        <f t="shared" si="17"/>
        <v>0</v>
      </c>
      <c r="K153" s="49">
        <f t="shared" si="18"/>
        <v>0</v>
      </c>
    </row>
    <row r="154" spans="1:12" x14ac:dyDescent="0.25">
      <c r="A154" s="48">
        <v>32</v>
      </c>
      <c r="B154" s="54" t="s">
        <v>167</v>
      </c>
      <c r="C154" s="40" t="s">
        <v>101</v>
      </c>
      <c r="D154" s="40" t="s">
        <v>271</v>
      </c>
      <c r="E154" s="53" t="s">
        <v>16</v>
      </c>
      <c r="G154" s="49">
        <f>IF(ISNA(VLOOKUP($B154,'Other Capital Needs'!$C$51:$P$95,I$6,0)),0,VLOOKUP($B154,'Other Capital Needs'!$C$51:$P$95,I$6,0))+IF(ISNA(VLOOKUP('Project Details by Yr'!$B154,'Public Grounds'!$A$11:$N$49,I$6,0)),0,VLOOKUP('Project Details by Yr'!$B154,'Public Grounds'!$A$11:$N$49,I$6,0))+IF(ISNA(VLOOKUP('Project Details by Yr'!$B154,'Public Buildings'!$A$10:$N$96,I$6,0)),0,VLOOKUP('Project Details by Yr'!$B154,'Public Buildings'!$A$10:$N$96,I$6,0))+IF(ISNA(VLOOKUP('Project Details by Yr'!$B154,Bridges!$A$9:$N$24,I$6,0)),0,VLOOKUP('Project Details by Yr'!$B154,Bridges!$A$9:$N$24,I$6,0))+IF(ISNA(VLOOKUP('Project Details by Yr'!$B154,'Parking Lots &amp; Playgrounds'!$A$9:$N$33,I$6,0)),0,VLOOKUP('Project Details by Yr'!$B154,'Parking Lots &amp; Playgrounds'!$A$9:$N$33,I$6,0))+IF(ISNA(VLOOKUP($B154,Vehicles!$B$9:$O$50,I$6,0)),0,VLOOKUP($B154,Vehicles!$B$9:$O$50,I$6,0))</f>
        <v>0</v>
      </c>
      <c r="H154" s="50">
        <v>1</v>
      </c>
      <c r="I154" s="49">
        <f t="shared" si="16"/>
        <v>0</v>
      </c>
      <c r="J154" s="49">
        <f t="shared" si="17"/>
        <v>0</v>
      </c>
      <c r="K154" s="49">
        <f t="shared" si="18"/>
        <v>0</v>
      </c>
    </row>
    <row r="155" spans="1:12" x14ac:dyDescent="0.25">
      <c r="A155" s="48">
        <v>32</v>
      </c>
      <c r="B155" s="54" t="s">
        <v>168</v>
      </c>
      <c r="C155" s="40" t="s">
        <v>101</v>
      </c>
      <c r="D155" s="40" t="s">
        <v>271</v>
      </c>
      <c r="E155" s="53" t="s">
        <v>16</v>
      </c>
      <c r="G155" s="49">
        <f>IF(ISNA(VLOOKUP($B155,'Other Capital Needs'!$C$51:$P$95,I$6,0)),0,VLOOKUP($B155,'Other Capital Needs'!$C$51:$P$95,I$6,0))+IF(ISNA(VLOOKUP('Project Details by Yr'!$B155,'Public Grounds'!$A$11:$N$49,I$6,0)),0,VLOOKUP('Project Details by Yr'!$B155,'Public Grounds'!$A$11:$N$49,I$6,0))+IF(ISNA(VLOOKUP('Project Details by Yr'!$B155,'Public Buildings'!$A$10:$N$96,I$6,0)),0,VLOOKUP('Project Details by Yr'!$B155,'Public Buildings'!$A$10:$N$96,I$6,0))+IF(ISNA(VLOOKUP('Project Details by Yr'!$B155,Bridges!$A$9:$N$24,I$6,0)),0,VLOOKUP('Project Details by Yr'!$B155,Bridges!$A$9:$N$24,I$6,0))+IF(ISNA(VLOOKUP('Project Details by Yr'!$B155,'Parking Lots &amp; Playgrounds'!$A$9:$N$33,I$6,0)),0,VLOOKUP('Project Details by Yr'!$B155,'Parking Lots &amp; Playgrounds'!$A$9:$N$33,I$6,0))+IF(ISNA(VLOOKUP($B155,Vehicles!$B$9:$O$50,I$6,0)),0,VLOOKUP($B155,Vehicles!$B$9:$O$50,I$6,0))</f>
        <v>0</v>
      </c>
      <c r="H155" s="50">
        <v>1</v>
      </c>
      <c r="I155" s="49">
        <f t="shared" si="16"/>
        <v>0</v>
      </c>
      <c r="J155" s="49">
        <f t="shared" si="17"/>
        <v>0</v>
      </c>
      <c r="K155" s="49">
        <f t="shared" si="18"/>
        <v>0</v>
      </c>
    </row>
    <row r="156" spans="1:12" x14ac:dyDescent="0.25">
      <c r="A156" s="48">
        <v>36</v>
      </c>
      <c r="B156" s="54" t="s">
        <v>177</v>
      </c>
      <c r="C156" s="54" t="s">
        <v>101</v>
      </c>
      <c r="D156" s="54" t="s">
        <v>271</v>
      </c>
      <c r="E156" s="53" t="s">
        <v>16</v>
      </c>
      <c r="F156" s="54"/>
      <c r="G156" s="49">
        <f>IF(ISNA(VLOOKUP($B156,'Other Capital Needs'!$C$51:$P$95,I$6,0)),0,VLOOKUP($B156,'Other Capital Needs'!$C$51:$P$95,I$6,0))+IF(ISNA(VLOOKUP('Project Details by Yr'!$B156,'Public Grounds'!$A$11:$N$49,I$6,0)),0,VLOOKUP('Project Details by Yr'!$B156,'Public Grounds'!$A$11:$N$49,I$6,0))+IF(ISNA(VLOOKUP('Project Details by Yr'!$B156,'Public Buildings'!$A$10:$N$96,I$6,0)),0,VLOOKUP('Project Details by Yr'!$B156,'Public Buildings'!$A$10:$N$96,I$6,0))+IF(ISNA(VLOOKUP('Project Details by Yr'!$B156,Bridges!$A$9:$N$24,I$6,0)),0,VLOOKUP('Project Details by Yr'!$B156,Bridges!$A$9:$N$24,I$6,0))+IF(ISNA(VLOOKUP('Project Details by Yr'!$B156,'Parking Lots &amp; Playgrounds'!$A$9:$N$33,I$6,0)),0,VLOOKUP('Project Details by Yr'!$B156,'Parking Lots &amp; Playgrounds'!$A$9:$N$33,I$6,0))+IF(ISNA(VLOOKUP($B156,Vehicles!$B$9:$O$50,I$6,0)),0,VLOOKUP($B156,Vehicles!$B$9:$O$50,I$6,0))</f>
        <v>0</v>
      </c>
      <c r="H156" s="50">
        <v>1</v>
      </c>
      <c r="I156" s="49">
        <f t="shared" si="16"/>
        <v>0</v>
      </c>
      <c r="J156" s="49">
        <f t="shared" si="17"/>
        <v>0</v>
      </c>
      <c r="K156" s="49">
        <f t="shared" si="18"/>
        <v>0</v>
      </c>
    </row>
    <row r="157" spans="1:12" x14ac:dyDescent="0.25">
      <c r="A157" s="48">
        <v>36</v>
      </c>
      <c r="B157" s="54" t="s">
        <v>179</v>
      </c>
      <c r="C157" s="54" t="s">
        <v>101</v>
      </c>
      <c r="D157" s="54" t="s">
        <v>271</v>
      </c>
      <c r="E157" s="53" t="s">
        <v>285</v>
      </c>
      <c r="F157" s="54"/>
      <c r="G157" s="49">
        <f>IF(ISNA(VLOOKUP($B157,'Other Capital Needs'!$C$51:$P$95,I$6,0)),0,VLOOKUP($B157,'Other Capital Needs'!$C$51:$P$95,I$6,0))+IF(ISNA(VLOOKUP('Project Details by Yr'!$B157,'Public Grounds'!$A$11:$N$49,I$6,0)),0,VLOOKUP('Project Details by Yr'!$B157,'Public Grounds'!$A$11:$N$49,I$6,0))+IF(ISNA(VLOOKUP('Project Details by Yr'!$B157,'Public Buildings'!$A$10:$N$96,I$6,0)),0,VLOOKUP('Project Details by Yr'!$B157,'Public Buildings'!$A$10:$N$96,I$6,0))+IF(ISNA(VLOOKUP('Project Details by Yr'!$B157,Bridges!$A$9:$N$24,I$6,0)),0,VLOOKUP('Project Details by Yr'!$B157,Bridges!$A$9:$N$24,I$6,0))+IF(ISNA(VLOOKUP('Project Details by Yr'!$B157,'Parking Lots &amp; Playgrounds'!$A$9:$N$33,I$6,0)),0,VLOOKUP('Project Details by Yr'!$B157,'Parking Lots &amp; Playgrounds'!$A$9:$N$33,I$6,0))+IF(ISNA(VLOOKUP($B157,Vehicles!$B$9:$O$50,I$6,0)),0,VLOOKUP($B157,Vehicles!$B$9:$O$50,I$6,0))</f>
        <v>120000</v>
      </c>
      <c r="H157" s="50">
        <v>1</v>
      </c>
      <c r="I157" s="49">
        <f t="shared" si="16"/>
        <v>0</v>
      </c>
      <c r="J157" s="49">
        <f t="shared" si="17"/>
        <v>0</v>
      </c>
      <c r="K157" s="49">
        <f t="shared" si="18"/>
        <v>120000</v>
      </c>
    </row>
    <row r="158" spans="1:12" x14ac:dyDescent="0.25">
      <c r="A158" s="48">
        <v>36</v>
      </c>
      <c r="B158" s="54" t="s">
        <v>180</v>
      </c>
      <c r="C158" s="54" t="s">
        <v>101</v>
      </c>
      <c r="D158" s="54" t="s">
        <v>271</v>
      </c>
      <c r="E158" s="53" t="s">
        <v>16</v>
      </c>
      <c r="F158" s="54"/>
      <c r="G158" s="49">
        <f>IF(ISNA(VLOOKUP($B158,'Other Capital Needs'!$C$51:$P$95,I$6,0)),0,VLOOKUP($B158,'Other Capital Needs'!$C$51:$P$95,I$6,0))+IF(ISNA(VLOOKUP('Project Details by Yr'!$B158,'Public Grounds'!$A$11:$N$49,I$6,0)),0,VLOOKUP('Project Details by Yr'!$B158,'Public Grounds'!$A$11:$N$49,I$6,0))+IF(ISNA(VLOOKUP('Project Details by Yr'!$B158,'Public Buildings'!$A$10:$N$96,I$6,0)),0,VLOOKUP('Project Details by Yr'!$B158,'Public Buildings'!$A$10:$N$96,I$6,0))+IF(ISNA(VLOOKUP('Project Details by Yr'!$B158,Bridges!$A$9:$N$24,I$6,0)),0,VLOOKUP('Project Details by Yr'!$B158,Bridges!$A$9:$N$24,I$6,0))+IF(ISNA(VLOOKUP('Project Details by Yr'!$B158,'Parking Lots &amp; Playgrounds'!$A$9:$N$33,I$6,0)),0,VLOOKUP('Project Details by Yr'!$B158,'Parking Lots &amp; Playgrounds'!$A$9:$N$33,I$6,0))+IF(ISNA(VLOOKUP($B158,Vehicles!$B$9:$O$50,I$6,0)),0,VLOOKUP($B158,Vehicles!$B$9:$O$50,I$6,0))</f>
        <v>0</v>
      </c>
      <c r="H158" s="50">
        <v>1</v>
      </c>
      <c r="I158" s="49">
        <f t="shared" si="16"/>
        <v>0</v>
      </c>
      <c r="J158" s="49">
        <f t="shared" si="17"/>
        <v>0</v>
      </c>
      <c r="K158" s="49">
        <f t="shared" si="18"/>
        <v>0</v>
      </c>
    </row>
    <row r="159" spans="1:12" x14ac:dyDescent="0.25">
      <c r="A159" s="48">
        <v>43</v>
      </c>
      <c r="B159" s="40" t="s">
        <v>185</v>
      </c>
      <c r="C159" s="40" t="s">
        <v>101</v>
      </c>
      <c r="D159" s="40" t="s">
        <v>271</v>
      </c>
      <c r="E159" s="43" t="s">
        <v>16</v>
      </c>
      <c r="G159" s="49">
        <f>IF(ISNA(VLOOKUP($B159,'Other Capital Needs'!$C$51:$P$95,I$6,0)),0,VLOOKUP($B159,'Other Capital Needs'!$C$51:$P$95,I$6,0))+IF(ISNA(VLOOKUP('Project Details by Yr'!$B159,'Public Grounds'!$A$11:$N$49,I$6,0)),0,VLOOKUP('Project Details by Yr'!$B159,'Public Grounds'!$A$11:$N$49,I$6,0))+IF(ISNA(VLOOKUP('Project Details by Yr'!$B159,'Public Buildings'!$A$10:$N$96,I$6,0)),0,VLOOKUP('Project Details by Yr'!$B159,'Public Buildings'!$A$10:$N$96,I$6,0))+IF(ISNA(VLOOKUP('Project Details by Yr'!$B159,Bridges!$A$9:$N$24,I$6,0)),0,VLOOKUP('Project Details by Yr'!$B159,Bridges!$A$9:$N$24,I$6,0))+IF(ISNA(VLOOKUP('Project Details by Yr'!$B159,'Parking Lots &amp; Playgrounds'!$A$9:$N$33,I$6,0)),0,VLOOKUP('Project Details by Yr'!$B159,'Parking Lots &amp; Playgrounds'!$A$9:$N$33,I$6,0))+IF(ISNA(VLOOKUP($B159,Vehicles!$B$9:$O$50,I$6,0)),0,VLOOKUP($B159,Vehicles!$B$9:$O$50,I$6,0))</f>
        <v>0</v>
      </c>
      <c r="H159" s="50"/>
      <c r="I159" s="49">
        <f t="shared" si="16"/>
        <v>0</v>
      </c>
      <c r="J159" s="49">
        <f t="shared" si="17"/>
        <v>0</v>
      </c>
      <c r="K159" s="49">
        <f t="shared" si="18"/>
        <v>0</v>
      </c>
      <c r="L159" s="52" t="s">
        <v>293</v>
      </c>
    </row>
    <row r="160" spans="1:12" x14ac:dyDescent="0.25">
      <c r="A160" s="48">
        <v>43</v>
      </c>
      <c r="B160" s="40" t="s">
        <v>186</v>
      </c>
      <c r="C160" s="40" t="s">
        <v>101</v>
      </c>
      <c r="D160" s="40" t="s">
        <v>271</v>
      </c>
      <c r="E160" s="43" t="s">
        <v>16</v>
      </c>
      <c r="G160" s="49">
        <f>IF(ISNA(VLOOKUP($B160,'Other Capital Needs'!$C$51:$P$95,I$6,0)),0,VLOOKUP($B160,'Other Capital Needs'!$C$51:$P$95,I$6,0))+IF(ISNA(VLOOKUP('Project Details by Yr'!$B160,'Public Grounds'!$A$11:$N$49,I$6,0)),0,VLOOKUP('Project Details by Yr'!$B160,'Public Grounds'!$A$11:$N$49,I$6,0))+IF(ISNA(VLOOKUP('Project Details by Yr'!$B160,'Public Buildings'!$A$10:$N$96,I$6,0)),0,VLOOKUP('Project Details by Yr'!$B160,'Public Buildings'!$A$10:$N$96,I$6,0))+IF(ISNA(VLOOKUP('Project Details by Yr'!$B160,Bridges!$A$9:$N$24,I$6,0)),0,VLOOKUP('Project Details by Yr'!$B160,Bridges!$A$9:$N$24,I$6,0))+IF(ISNA(VLOOKUP('Project Details by Yr'!$B160,'Parking Lots &amp; Playgrounds'!$A$9:$N$33,I$6,0)),0,VLOOKUP('Project Details by Yr'!$B160,'Parking Lots &amp; Playgrounds'!$A$9:$N$33,I$6,0))+IF(ISNA(VLOOKUP($B160,Vehicles!$B$9:$O$50,I$6,0)),0,VLOOKUP($B160,Vehicles!$B$9:$O$50,I$6,0))</f>
        <v>0</v>
      </c>
      <c r="H160" s="50"/>
      <c r="I160" s="49">
        <f t="shared" si="16"/>
        <v>0</v>
      </c>
      <c r="J160" s="49">
        <f t="shared" si="17"/>
        <v>0</v>
      </c>
      <c r="K160" s="49">
        <f t="shared" si="18"/>
        <v>0</v>
      </c>
      <c r="L160" s="52" t="s">
        <v>293</v>
      </c>
    </row>
    <row r="161" spans="1:12" x14ac:dyDescent="0.25">
      <c r="A161" s="48">
        <v>44</v>
      </c>
      <c r="B161" s="40" t="s">
        <v>188</v>
      </c>
      <c r="C161" s="40" t="s">
        <v>101</v>
      </c>
      <c r="D161" s="40" t="s">
        <v>271</v>
      </c>
      <c r="E161" s="43" t="s">
        <v>16</v>
      </c>
      <c r="G161" s="49">
        <f>IF(ISNA(VLOOKUP($B161,'Other Capital Needs'!$C$51:$P$95,I$6,0)),0,VLOOKUP($B161,'Other Capital Needs'!$C$51:$P$95,I$6,0))+IF(ISNA(VLOOKUP('Project Details by Yr'!$B161,'Public Grounds'!$A$11:$N$49,I$6,0)),0,VLOOKUP('Project Details by Yr'!$B161,'Public Grounds'!$A$11:$N$49,I$6,0))+IF(ISNA(VLOOKUP('Project Details by Yr'!$B161,'Public Buildings'!$A$10:$N$96,I$6,0)),0,VLOOKUP('Project Details by Yr'!$B161,'Public Buildings'!$A$10:$N$96,I$6,0))+IF(ISNA(VLOOKUP('Project Details by Yr'!$B161,Bridges!$A$9:$N$24,I$6,0)),0,VLOOKUP('Project Details by Yr'!$B161,Bridges!$A$9:$N$24,I$6,0))+IF(ISNA(VLOOKUP('Project Details by Yr'!$B161,'Parking Lots &amp; Playgrounds'!$A$9:$N$33,I$6,0)),0,VLOOKUP('Project Details by Yr'!$B161,'Parking Lots &amp; Playgrounds'!$A$9:$N$33,I$6,0))+IF(ISNA(VLOOKUP($B161,Vehicles!$B$9:$O$50,I$6,0)),0,VLOOKUP($B161,Vehicles!$B$9:$O$50,I$6,0))</f>
        <v>0</v>
      </c>
      <c r="H161" s="50"/>
      <c r="I161" s="49">
        <f t="shared" si="16"/>
        <v>0</v>
      </c>
      <c r="J161" s="49">
        <f t="shared" si="17"/>
        <v>0</v>
      </c>
      <c r="K161" s="49">
        <f t="shared" si="18"/>
        <v>0</v>
      </c>
      <c r="L161" s="52" t="s">
        <v>289</v>
      </c>
    </row>
    <row r="162" spans="1:12" x14ac:dyDescent="0.25">
      <c r="A162" s="48">
        <v>53</v>
      </c>
      <c r="B162" s="40" t="s">
        <v>189</v>
      </c>
      <c r="C162" s="40" t="s">
        <v>101</v>
      </c>
      <c r="D162" s="40" t="s">
        <v>271</v>
      </c>
      <c r="E162" s="43" t="s">
        <v>16</v>
      </c>
      <c r="G162" s="49">
        <f>IF(ISNA(VLOOKUP($B162,'Other Capital Needs'!$C$51:$P$95,I$6,0)),0,VLOOKUP($B162,'Other Capital Needs'!$C$51:$P$95,I$6,0))+IF(ISNA(VLOOKUP('Project Details by Yr'!$B162,'Public Grounds'!$A$11:$N$49,I$6,0)),0,VLOOKUP('Project Details by Yr'!$B162,'Public Grounds'!$A$11:$N$49,I$6,0))+IF(ISNA(VLOOKUP('Project Details by Yr'!$B162,'Public Buildings'!$A$10:$N$96,I$6,0)),0,VLOOKUP('Project Details by Yr'!$B162,'Public Buildings'!$A$10:$N$96,I$6,0))+IF(ISNA(VLOOKUP('Project Details by Yr'!$B162,Bridges!$A$9:$N$24,I$6,0)),0,VLOOKUP('Project Details by Yr'!$B162,Bridges!$A$9:$N$24,I$6,0))+IF(ISNA(VLOOKUP('Project Details by Yr'!$B162,'Parking Lots &amp; Playgrounds'!$A$9:$N$33,I$6,0)),0,VLOOKUP('Project Details by Yr'!$B162,'Parking Lots &amp; Playgrounds'!$A$9:$N$33,I$6,0))+IF(ISNA(VLOOKUP($B162,Vehicles!$B$9:$O$50,I$6,0)),0,VLOOKUP($B162,Vehicles!$B$9:$O$50,I$6,0))</f>
        <v>0</v>
      </c>
      <c r="H162" s="50"/>
      <c r="I162" s="49">
        <f t="shared" si="16"/>
        <v>0</v>
      </c>
      <c r="J162" s="49">
        <f t="shared" si="17"/>
        <v>0</v>
      </c>
      <c r="K162" s="49">
        <f t="shared" si="18"/>
        <v>0</v>
      </c>
    </row>
    <row r="163" spans="1:12" x14ac:dyDescent="0.25">
      <c r="A163" s="48">
        <v>53</v>
      </c>
      <c r="B163" s="40" t="s">
        <v>190</v>
      </c>
      <c r="C163" s="40" t="s">
        <v>101</v>
      </c>
      <c r="D163" s="40" t="s">
        <v>271</v>
      </c>
      <c r="E163" s="43" t="s">
        <v>16</v>
      </c>
      <c r="G163" s="49">
        <f>IF(ISNA(VLOOKUP($B163,'Other Capital Needs'!$C$51:$P$95,I$6,0)),0,VLOOKUP($B163,'Other Capital Needs'!$C$51:$P$95,I$6,0))+IF(ISNA(VLOOKUP('Project Details by Yr'!$B163,'Public Grounds'!$A$11:$N$49,I$6,0)),0,VLOOKUP('Project Details by Yr'!$B163,'Public Grounds'!$A$11:$N$49,I$6,0))+IF(ISNA(VLOOKUP('Project Details by Yr'!$B163,'Public Buildings'!$A$10:$N$96,I$6,0)),0,VLOOKUP('Project Details by Yr'!$B163,'Public Buildings'!$A$10:$N$96,I$6,0))+IF(ISNA(VLOOKUP('Project Details by Yr'!$B163,Bridges!$A$9:$N$24,I$6,0)),0,VLOOKUP('Project Details by Yr'!$B163,Bridges!$A$9:$N$24,I$6,0))+IF(ISNA(VLOOKUP('Project Details by Yr'!$B163,'Parking Lots &amp; Playgrounds'!$A$9:$N$33,I$6,0)),0,VLOOKUP('Project Details by Yr'!$B163,'Parking Lots &amp; Playgrounds'!$A$9:$N$33,I$6,0))+IF(ISNA(VLOOKUP($B163,Vehicles!$B$9:$O$50,I$6,0)),0,VLOOKUP($B163,Vehicles!$B$9:$O$50,I$6,0))</f>
        <v>0</v>
      </c>
      <c r="H163" s="50"/>
      <c r="I163" s="49">
        <f t="shared" si="16"/>
        <v>0</v>
      </c>
      <c r="J163" s="49">
        <f t="shared" si="17"/>
        <v>0</v>
      </c>
      <c r="K163" s="49">
        <f t="shared" si="18"/>
        <v>0</v>
      </c>
    </row>
    <row r="164" spans="1:12" x14ac:dyDescent="0.25">
      <c r="B164" s="40" t="s">
        <v>23</v>
      </c>
      <c r="C164" s="54" t="s">
        <v>46</v>
      </c>
      <c r="D164" s="54" t="s">
        <v>271</v>
      </c>
      <c r="E164" s="43" t="s">
        <v>16</v>
      </c>
      <c r="G164" s="49">
        <f>IF(ISNA(VLOOKUP($B164,'Other Capital Needs'!$C$51:$P$95,I$6,0)),0,VLOOKUP($B164,'Other Capital Needs'!$C$51:$P$95,I$6,0))+IF(ISNA(VLOOKUP('Project Details by Yr'!$B164,'Public Grounds'!$A$11:$N$49,I$6,0)),0,VLOOKUP('Project Details by Yr'!$B164,'Public Grounds'!$A$11:$N$49,I$6,0))+IF(ISNA(VLOOKUP('Project Details by Yr'!$B164,'Public Buildings'!$A$10:$N$96,I$6,0)),0,VLOOKUP('Project Details by Yr'!$B164,'Public Buildings'!$A$10:$N$96,I$6,0))+IF(ISNA(VLOOKUP('Project Details by Yr'!$B164,Bridges!$A$9:$N$24,I$6,0)),0,VLOOKUP('Project Details by Yr'!$B164,Bridges!$A$9:$N$24,I$6,0))+IF(ISNA(VLOOKUP('Project Details by Yr'!$B164,'Parking Lots &amp; Playgrounds'!$A$9:$N$33,I$6,0)),0,VLOOKUP('Project Details by Yr'!$B164,'Parking Lots &amp; Playgrounds'!$A$9:$N$33,I$6,0))+IF(ISNA(VLOOKUP($B164,Vehicles!$B$9:$O$50,I$6,0)),0,VLOOKUP($B164,Vehicles!$B$9:$O$50,I$6,0))</f>
        <v>15000</v>
      </c>
      <c r="H164" s="50">
        <v>1</v>
      </c>
      <c r="I164" s="49">
        <f t="shared" si="16"/>
        <v>0</v>
      </c>
      <c r="J164" s="49">
        <f t="shared" si="17"/>
        <v>15000</v>
      </c>
      <c r="K164" s="49">
        <f t="shared" si="18"/>
        <v>0</v>
      </c>
    </row>
    <row r="165" spans="1:12" x14ac:dyDescent="0.25">
      <c r="B165" s="40" t="s">
        <v>27</v>
      </c>
      <c r="C165" s="54" t="s">
        <v>46</v>
      </c>
      <c r="D165" s="54" t="s">
        <v>271</v>
      </c>
      <c r="E165" s="43" t="s">
        <v>16</v>
      </c>
      <c r="G165" s="49">
        <f>IF(ISNA(VLOOKUP($B165,'Other Capital Needs'!$C$51:$P$95,I$6,0)),0,VLOOKUP($B165,'Other Capital Needs'!$C$51:$P$95,I$6,0))+IF(ISNA(VLOOKUP('Project Details by Yr'!$B165,'Public Grounds'!$A$11:$N$49,I$6,0)),0,VLOOKUP('Project Details by Yr'!$B165,'Public Grounds'!$A$11:$N$49,I$6,0))+IF(ISNA(VLOOKUP('Project Details by Yr'!$B165,'Public Buildings'!$A$10:$N$96,I$6,0)),0,VLOOKUP('Project Details by Yr'!$B165,'Public Buildings'!$A$10:$N$96,I$6,0))+IF(ISNA(VLOOKUP('Project Details by Yr'!$B165,Bridges!$A$9:$N$24,I$6,0)),0,VLOOKUP('Project Details by Yr'!$B165,Bridges!$A$9:$N$24,I$6,0))+IF(ISNA(VLOOKUP('Project Details by Yr'!$B165,'Parking Lots &amp; Playgrounds'!$A$9:$N$33,I$6,0)),0,VLOOKUP('Project Details by Yr'!$B165,'Parking Lots &amp; Playgrounds'!$A$9:$N$33,I$6,0))+IF(ISNA(VLOOKUP($B165,Vehicles!$B$9:$O$50,I$6,0)),0,VLOOKUP($B165,Vehicles!$B$9:$O$50,I$6,0))</f>
        <v>6000</v>
      </c>
      <c r="H165" s="50">
        <v>1</v>
      </c>
      <c r="I165" s="49">
        <f t="shared" si="16"/>
        <v>0</v>
      </c>
      <c r="J165" s="49">
        <f t="shared" si="17"/>
        <v>6000</v>
      </c>
      <c r="K165" s="49">
        <f t="shared" si="18"/>
        <v>0</v>
      </c>
    </row>
    <row r="166" spans="1:12" x14ac:dyDescent="0.25">
      <c r="B166" s="40" t="s">
        <v>263</v>
      </c>
      <c r="C166" s="40" t="s">
        <v>47</v>
      </c>
      <c r="D166" s="40" t="s">
        <v>271</v>
      </c>
      <c r="E166" s="43" t="s">
        <v>13</v>
      </c>
      <c r="G166" s="49">
        <f>IF(ISNA(VLOOKUP($B166,'Other Capital Needs'!$C$51:$P$95,I$6,0)),0,VLOOKUP($B166,'Other Capital Needs'!$C$51:$P$95,I$6,0))+IF(ISNA(VLOOKUP('Project Details by Yr'!$B166,'Public Grounds'!$A$11:$N$49,I$6,0)),0,VLOOKUP('Project Details by Yr'!$B166,'Public Grounds'!$A$11:$N$49,I$6,0))+IF(ISNA(VLOOKUP('Project Details by Yr'!$B166,'Public Buildings'!$A$10:$N$96,I$6,0)),0,VLOOKUP('Project Details by Yr'!$B166,'Public Buildings'!$A$10:$N$96,I$6,0))+IF(ISNA(VLOOKUP('Project Details by Yr'!$B166,Bridges!$A$9:$N$24,I$6,0)),0,VLOOKUP('Project Details by Yr'!$B166,Bridges!$A$9:$N$24,I$6,0))+IF(ISNA(VLOOKUP('Project Details by Yr'!$B166,'Parking Lots &amp; Playgrounds'!$A$9:$N$33,I$6,0)),0,VLOOKUP('Project Details by Yr'!$B166,'Parking Lots &amp; Playgrounds'!$A$9:$N$33,I$6,0))+IF(ISNA(VLOOKUP($B166,Vehicles!$B$9:$O$50,I$6,0)),0,VLOOKUP($B166,Vehicles!$B$9:$O$50,I$6,0))</f>
        <v>450000</v>
      </c>
      <c r="H166" s="50">
        <v>1</v>
      </c>
      <c r="I166" s="49">
        <f t="shared" ref="I166:I167" si="19">IF($H166=1,IF($E166="Bond",$G166,IF(E166="BAN",$G166,0)),0)</f>
        <v>450000</v>
      </c>
      <c r="J166" s="49">
        <f t="shared" si="17"/>
        <v>0</v>
      </c>
      <c r="K166" s="49">
        <f t="shared" si="18"/>
        <v>0</v>
      </c>
    </row>
    <row r="167" spans="1:12" x14ac:dyDescent="0.25">
      <c r="B167" s="40" t="s">
        <v>264</v>
      </c>
      <c r="C167" s="40" t="s">
        <v>47</v>
      </c>
      <c r="D167" s="40" t="s">
        <v>271</v>
      </c>
      <c r="E167" s="43" t="s">
        <v>13</v>
      </c>
      <c r="G167" s="49">
        <f>IF(ISNA(VLOOKUP($B167,'Other Capital Needs'!$C$51:$P$95,I$6,0)),0,VLOOKUP($B167,'Other Capital Needs'!$C$51:$P$95,I$6,0))+IF(ISNA(VLOOKUP('Project Details by Yr'!$B167,'Public Grounds'!$A$11:$N$49,I$6,0)),0,VLOOKUP('Project Details by Yr'!$B167,'Public Grounds'!$A$11:$N$49,I$6,0))+IF(ISNA(VLOOKUP('Project Details by Yr'!$B167,'Public Buildings'!$A$10:$N$96,I$6,0)),0,VLOOKUP('Project Details by Yr'!$B167,'Public Buildings'!$A$10:$N$96,I$6,0))+IF(ISNA(VLOOKUP('Project Details by Yr'!$B167,Bridges!$A$9:$N$24,I$6,0)),0,VLOOKUP('Project Details by Yr'!$B167,Bridges!$A$9:$N$24,I$6,0))+IF(ISNA(VLOOKUP('Project Details by Yr'!$B167,'Parking Lots &amp; Playgrounds'!$A$9:$N$33,I$6,0)),0,VLOOKUP('Project Details by Yr'!$B167,'Parking Lots &amp; Playgrounds'!$A$9:$N$33,I$6,0))+IF(ISNA(VLOOKUP($B167,Vehicles!$B$9:$O$50,I$6,0)),0,VLOOKUP($B167,Vehicles!$B$9:$O$50,I$6,0))</f>
        <v>350000</v>
      </c>
      <c r="H167" s="50">
        <v>1</v>
      </c>
      <c r="I167" s="49">
        <f t="shared" si="19"/>
        <v>350000</v>
      </c>
      <c r="J167" s="49">
        <f t="shared" si="17"/>
        <v>0</v>
      </c>
      <c r="K167" s="49">
        <f t="shared" si="18"/>
        <v>0</v>
      </c>
    </row>
    <row r="168" spans="1:12" x14ac:dyDescent="0.25">
      <c r="B168" s="40" t="s">
        <v>224</v>
      </c>
      <c r="C168" s="40" t="s">
        <v>47</v>
      </c>
      <c r="D168" s="40" t="s">
        <v>271</v>
      </c>
      <c r="E168" s="43" t="s">
        <v>16</v>
      </c>
      <c r="G168" s="49">
        <f>IF(ISNA(VLOOKUP($B168,'Other Capital Needs'!$C$51:$P$95,I$6,0)),0,VLOOKUP($B168,'Other Capital Needs'!$C$51:$P$95,I$6,0))+IF(ISNA(VLOOKUP('Project Details by Yr'!$B168,'Public Grounds'!$A$11:$N$49,I$6,0)),0,VLOOKUP('Project Details by Yr'!$B168,'Public Grounds'!$A$11:$N$49,I$6,0))+IF(ISNA(VLOOKUP('Project Details by Yr'!$B168,'Public Buildings'!$A$10:$N$96,I$6,0)),0,VLOOKUP('Project Details by Yr'!$B168,'Public Buildings'!$A$10:$N$96,I$6,0))+IF(ISNA(VLOOKUP('Project Details by Yr'!$B168,Bridges!$A$9:$N$24,I$6,0)),0,VLOOKUP('Project Details by Yr'!$B168,Bridges!$A$9:$N$24,I$6,0))+IF(ISNA(VLOOKUP('Project Details by Yr'!$B168,'Parking Lots &amp; Playgrounds'!$A$9:$N$33,I$6,0)),0,VLOOKUP('Project Details by Yr'!$B168,'Parking Lots &amp; Playgrounds'!$A$9:$N$33,I$6,0))+IF(ISNA(VLOOKUP($B168,Vehicles!$B$9:$O$50,I$6,0)),0,VLOOKUP($B168,Vehicles!$B$9:$O$50,I$6,0))</f>
        <v>45000</v>
      </c>
      <c r="H168" s="50"/>
      <c r="I168" s="49">
        <f>IF($H168=1,IF($E168="Bond",$G168,IF(E168="BAN",$G168,0)),0)</f>
        <v>0</v>
      </c>
      <c r="J168" s="49">
        <f t="shared" si="17"/>
        <v>0</v>
      </c>
      <c r="K168" s="49">
        <f t="shared" si="18"/>
        <v>0</v>
      </c>
      <c r="L168" s="52" t="s">
        <v>289</v>
      </c>
    </row>
    <row r="169" spans="1:12" x14ac:dyDescent="0.25">
      <c r="B169" s="54" t="s">
        <v>220</v>
      </c>
      <c r="C169" s="54" t="s">
        <v>279</v>
      </c>
      <c r="D169" s="54" t="s">
        <v>271</v>
      </c>
      <c r="E169" s="53" t="s">
        <v>16</v>
      </c>
      <c r="F169" s="54"/>
      <c r="G169" s="49">
        <f>IF(ISNA(VLOOKUP($B169,'Other Capital Needs'!$C$51:$P$95,I$6,0)),0,VLOOKUP($B169,'Other Capital Needs'!$C$51:$P$95,I$6,0))+IF(ISNA(VLOOKUP('Project Details by Yr'!$B169,'Public Grounds'!$A$11:$N$49,I$6,0)),0,VLOOKUP('Project Details by Yr'!$B169,'Public Grounds'!$A$11:$N$49,I$6,0))+IF(ISNA(VLOOKUP('Project Details by Yr'!$B169,'Public Buildings'!$A$10:$N$96,I$6,0)),0,VLOOKUP('Project Details by Yr'!$B169,'Public Buildings'!$A$10:$N$96,I$6,0))+IF(ISNA(VLOOKUP('Project Details by Yr'!$B169,Bridges!$A$9:$N$24,I$6,0)),0,VLOOKUP('Project Details by Yr'!$B169,Bridges!$A$9:$N$24,I$6,0))+IF(ISNA(VLOOKUP('Project Details by Yr'!$B169,'Parking Lots &amp; Playgrounds'!$A$9:$N$33,I$6,0)),0,VLOOKUP('Project Details by Yr'!$B169,'Parking Lots &amp; Playgrounds'!$A$9:$N$33,I$6,0))+IF(ISNA(VLOOKUP($B169,Vehicles!$B$9:$O$50,I$6,0)),0,VLOOKUP($B169,Vehicles!$B$9:$O$50,I$6,0))</f>
        <v>308333</v>
      </c>
      <c r="H169" s="50"/>
      <c r="I169" s="49">
        <f t="shared" ref="I169:I197" si="20">IF($H169=1,IF($E169="Bond",$G169,IF(E169="BAN",$G169,0)),0)</f>
        <v>0</v>
      </c>
      <c r="J169" s="49">
        <f t="shared" si="17"/>
        <v>0</v>
      </c>
      <c r="K169" s="49">
        <f t="shared" si="18"/>
        <v>0</v>
      </c>
      <c r="L169" s="52" t="s">
        <v>289</v>
      </c>
    </row>
    <row r="170" spans="1:12" x14ac:dyDescent="0.25">
      <c r="B170" s="40" t="s">
        <v>225</v>
      </c>
      <c r="C170" s="40" t="s">
        <v>47</v>
      </c>
      <c r="D170" s="40" t="s">
        <v>271</v>
      </c>
      <c r="E170" s="43" t="s">
        <v>16</v>
      </c>
      <c r="G170" s="49">
        <f>IF(ISNA(VLOOKUP($B170,'Other Capital Needs'!$C$51:$P$95,I$6,0)),0,VLOOKUP($B170,'Other Capital Needs'!$C$51:$P$95,I$6,0))+IF(ISNA(VLOOKUP('Project Details by Yr'!$B170,'Public Grounds'!$A$11:$N$49,I$6,0)),0,VLOOKUP('Project Details by Yr'!$B170,'Public Grounds'!$A$11:$N$49,I$6,0))+IF(ISNA(VLOOKUP('Project Details by Yr'!$B170,'Public Buildings'!$A$10:$N$96,I$6,0)),0,VLOOKUP('Project Details by Yr'!$B170,'Public Buildings'!$A$10:$N$96,I$6,0))+IF(ISNA(VLOOKUP('Project Details by Yr'!$B170,Bridges!$A$9:$N$24,I$6,0)),0,VLOOKUP('Project Details by Yr'!$B170,Bridges!$A$9:$N$24,I$6,0))+IF(ISNA(VLOOKUP('Project Details by Yr'!$B170,'Parking Lots &amp; Playgrounds'!$A$9:$N$33,I$6,0)),0,VLOOKUP('Project Details by Yr'!$B170,'Parking Lots &amp; Playgrounds'!$A$9:$N$33,I$6,0))+IF(ISNA(VLOOKUP($B170,Vehicles!$B$9:$O$50,I$6,0)),0,VLOOKUP($B170,Vehicles!$B$9:$O$50,I$6,0))</f>
        <v>25000</v>
      </c>
      <c r="H170" s="50">
        <v>1</v>
      </c>
      <c r="I170" s="49">
        <f t="shared" si="20"/>
        <v>0</v>
      </c>
      <c r="J170" s="49">
        <f t="shared" si="17"/>
        <v>25000</v>
      </c>
      <c r="K170" s="49">
        <f t="shared" si="18"/>
        <v>0</v>
      </c>
    </row>
    <row r="171" spans="1:12" x14ac:dyDescent="0.25">
      <c r="B171" s="40" t="s">
        <v>191</v>
      </c>
      <c r="C171" s="40" t="s">
        <v>47</v>
      </c>
      <c r="D171" s="40" t="s">
        <v>272</v>
      </c>
      <c r="E171" s="43" t="s">
        <v>16</v>
      </c>
      <c r="G171" s="49">
        <f>IF(ISNA(VLOOKUP($B171,'Other Capital Needs'!$C$51:$P$95,I$6,0)),0,VLOOKUP($B171,'Other Capital Needs'!$C$51:$P$95,I$6,0))+IF(ISNA(VLOOKUP('Project Details by Yr'!$B171,'Public Grounds'!$A$11:$N$49,I$6,0)),0,VLOOKUP('Project Details by Yr'!$B171,'Public Grounds'!$A$11:$N$49,I$6,0))+IF(ISNA(VLOOKUP('Project Details by Yr'!$B171,'Public Buildings'!$A$10:$N$96,I$6,0)),0,VLOOKUP('Project Details by Yr'!$B171,'Public Buildings'!$A$10:$N$96,I$6,0))+IF(ISNA(VLOOKUP('Project Details by Yr'!$B171,Bridges!$A$9:$N$24,I$6,0)),0,VLOOKUP('Project Details by Yr'!$B171,Bridges!$A$9:$N$24,I$6,0))+IF(ISNA(VLOOKUP('Project Details by Yr'!$B171,'Parking Lots &amp; Playgrounds'!$A$9:$N$33,I$6,0)),0,VLOOKUP('Project Details by Yr'!$B171,'Parking Lots &amp; Playgrounds'!$A$9:$N$33,I$6,0))+IF(ISNA(VLOOKUP($B171,Vehicles!$B$9:$O$50,I$6,0)),0,VLOOKUP($B171,Vehicles!$B$9:$O$50,I$6,0))</f>
        <v>10000</v>
      </c>
      <c r="H171" s="50">
        <v>1</v>
      </c>
      <c r="I171" s="49">
        <f t="shared" si="20"/>
        <v>0</v>
      </c>
      <c r="J171" s="49">
        <f t="shared" si="17"/>
        <v>10000</v>
      </c>
      <c r="K171" s="49">
        <f t="shared" si="18"/>
        <v>0</v>
      </c>
    </row>
    <row r="172" spans="1:12" x14ac:dyDescent="0.25">
      <c r="B172" s="40" t="s">
        <v>192</v>
      </c>
      <c r="C172" s="40" t="s">
        <v>47</v>
      </c>
      <c r="D172" s="40" t="s">
        <v>272</v>
      </c>
      <c r="E172" s="43" t="s">
        <v>16</v>
      </c>
      <c r="G172" s="49">
        <f>IF(ISNA(VLOOKUP($B172,'Other Capital Needs'!$C$51:$P$95,I$6,0)),0,VLOOKUP($B172,'Other Capital Needs'!$C$51:$P$95,I$6,0))+IF(ISNA(VLOOKUP('Project Details by Yr'!$B172,'Public Grounds'!$A$11:$N$49,I$6,0)),0,VLOOKUP('Project Details by Yr'!$B172,'Public Grounds'!$A$11:$N$49,I$6,0))+IF(ISNA(VLOOKUP('Project Details by Yr'!$B172,'Public Buildings'!$A$10:$N$96,I$6,0)),0,VLOOKUP('Project Details by Yr'!$B172,'Public Buildings'!$A$10:$N$96,I$6,0))+IF(ISNA(VLOOKUP('Project Details by Yr'!$B172,Bridges!$A$9:$N$24,I$6,0)),0,VLOOKUP('Project Details by Yr'!$B172,Bridges!$A$9:$N$24,I$6,0))+IF(ISNA(VLOOKUP('Project Details by Yr'!$B172,'Parking Lots &amp; Playgrounds'!$A$9:$N$33,I$6,0)),0,VLOOKUP('Project Details by Yr'!$B172,'Parking Lots &amp; Playgrounds'!$A$9:$N$33,I$6,0))+IF(ISNA(VLOOKUP($B172,Vehicles!$B$9:$O$50,I$6,0)),0,VLOOKUP($B172,Vehicles!$B$9:$O$50,I$6,0))</f>
        <v>25000</v>
      </c>
      <c r="H172" s="50">
        <v>1</v>
      </c>
      <c r="I172" s="49">
        <f t="shared" si="20"/>
        <v>0</v>
      </c>
      <c r="J172" s="49">
        <f t="shared" si="17"/>
        <v>25000</v>
      </c>
      <c r="K172" s="49">
        <f t="shared" si="18"/>
        <v>0</v>
      </c>
    </row>
    <row r="173" spans="1:12" x14ac:dyDescent="0.25">
      <c r="B173" s="40" t="s">
        <v>193</v>
      </c>
      <c r="C173" s="40" t="s">
        <v>47</v>
      </c>
      <c r="D173" s="40" t="s">
        <v>272</v>
      </c>
      <c r="E173" s="43" t="s">
        <v>16</v>
      </c>
      <c r="G173" s="49">
        <f>IF(ISNA(VLOOKUP($B173,'Other Capital Needs'!$C$51:$P$95,I$6,0)),0,VLOOKUP($B173,'Other Capital Needs'!$C$51:$P$95,I$6,0))+IF(ISNA(VLOOKUP('Project Details by Yr'!$B173,'Public Grounds'!$A$11:$N$49,I$6,0)),0,VLOOKUP('Project Details by Yr'!$B173,'Public Grounds'!$A$11:$N$49,I$6,0))+IF(ISNA(VLOOKUP('Project Details by Yr'!$B173,'Public Buildings'!$A$10:$N$96,I$6,0)),0,VLOOKUP('Project Details by Yr'!$B173,'Public Buildings'!$A$10:$N$96,I$6,0))+IF(ISNA(VLOOKUP('Project Details by Yr'!$B173,Bridges!$A$9:$N$24,I$6,0)),0,VLOOKUP('Project Details by Yr'!$B173,Bridges!$A$9:$N$24,I$6,0))+IF(ISNA(VLOOKUP('Project Details by Yr'!$B173,'Parking Lots &amp; Playgrounds'!$A$9:$N$33,I$6,0)),0,VLOOKUP('Project Details by Yr'!$B173,'Parking Lots &amp; Playgrounds'!$A$9:$N$33,I$6,0))+IF(ISNA(VLOOKUP($B173,Vehicles!$B$9:$O$50,I$6,0)),0,VLOOKUP($B173,Vehicles!$B$9:$O$50,I$6,0))</f>
        <v>10000</v>
      </c>
      <c r="H173" s="50">
        <v>1</v>
      </c>
      <c r="I173" s="49">
        <f t="shared" si="20"/>
        <v>0</v>
      </c>
      <c r="J173" s="49">
        <f t="shared" si="17"/>
        <v>10000</v>
      </c>
      <c r="K173" s="49">
        <f t="shared" si="18"/>
        <v>0</v>
      </c>
    </row>
    <row r="174" spans="1:12" x14ac:dyDescent="0.25">
      <c r="B174" s="40" t="s">
        <v>195</v>
      </c>
      <c r="C174" s="40" t="s">
        <v>47</v>
      </c>
      <c r="D174" s="40" t="s">
        <v>272</v>
      </c>
      <c r="E174" s="43" t="s">
        <v>16</v>
      </c>
      <c r="G174" s="49">
        <f>IF(ISNA(VLOOKUP($B174,'Other Capital Needs'!$C$51:$P$95,I$6,0)),0,VLOOKUP($B174,'Other Capital Needs'!$C$51:$P$95,I$6,0))+IF(ISNA(VLOOKUP('Project Details by Yr'!$B174,'Public Grounds'!$A$11:$N$49,I$6,0)),0,VLOOKUP('Project Details by Yr'!$B174,'Public Grounds'!$A$11:$N$49,I$6,0))+IF(ISNA(VLOOKUP('Project Details by Yr'!$B174,'Public Buildings'!$A$10:$N$96,I$6,0)),0,VLOOKUP('Project Details by Yr'!$B174,'Public Buildings'!$A$10:$N$96,I$6,0))+IF(ISNA(VLOOKUP('Project Details by Yr'!$B174,Bridges!$A$9:$N$24,I$6,0)),0,VLOOKUP('Project Details by Yr'!$B174,Bridges!$A$9:$N$24,I$6,0))+IF(ISNA(VLOOKUP('Project Details by Yr'!$B174,'Parking Lots &amp; Playgrounds'!$A$9:$N$33,I$6,0)),0,VLOOKUP('Project Details by Yr'!$B174,'Parking Lots &amp; Playgrounds'!$A$9:$N$33,I$6,0))+IF(ISNA(VLOOKUP($B174,Vehicles!$B$9:$O$50,I$6,0)),0,VLOOKUP($B174,Vehicles!$B$9:$O$50,I$6,0))</f>
        <v>500000</v>
      </c>
      <c r="H174" s="50">
        <v>1</v>
      </c>
      <c r="I174" s="49">
        <f t="shared" si="20"/>
        <v>0</v>
      </c>
      <c r="J174" s="49">
        <f t="shared" si="17"/>
        <v>500000</v>
      </c>
      <c r="K174" s="49">
        <f t="shared" si="18"/>
        <v>0</v>
      </c>
    </row>
    <row r="175" spans="1:12" x14ac:dyDescent="0.25">
      <c r="B175" s="40" t="s">
        <v>197</v>
      </c>
      <c r="C175" s="40" t="s">
        <v>47</v>
      </c>
      <c r="D175" s="40" t="s">
        <v>272</v>
      </c>
      <c r="E175" s="43" t="s">
        <v>16</v>
      </c>
      <c r="G175" s="49">
        <f>IF(ISNA(VLOOKUP($B175,'Other Capital Needs'!$C$51:$P$95,I$6,0)),0,VLOOKUP($B175,'Other Capital Needs'!$C$51:$P$95,I$6,0))+IF(ISNA(VLOOKUP('Project Details by Yr'!$B175,'Public Grounds'!$A$11:$N$49,I$6,0)),0,VLOOKUP('Project Details by Yr'!$B175,'Public Grounds'!$A$11:$N$49,I$6,0))+IF(ISNA(VLOOKUP('Project Details by Yr'!$B175,'Public Buildings'!$A$10:$N$96,I$6,0)),0,VLOOKUP('Project Details by Yr'!$B175,'Public Buildings'!$A$10:$N$96,I$6,0))+IF(ISNA(VLOOKUP('Project Details by Yr'!$B175,Bridges!$A$9:$N$24,I$6,0)),0,VLOOKUP('Project Details by Yr'!$B175,Bridges!$A$9:$N$24,I$6,0))+IF(ISNA(VLOOKUP('Project Details by Yr'!$B175,'Parking Lots &amp; Playgrounds'!$A$9:$N$33,I$6,0)),0,VLOOKUP('Project Details by Yr'!$B175,'Parking Lots &amp; Playgrounds'!$A$9:$N$33,I$6,0))+IF(ISNA(VLOOKUP($B175,Vehicles!$B$9:$O$50,I$6,0)),0,VLOOKUP($B175,Vehicles!$B$9:$O$50,I$6,0))</f>
        <v>175000</v>
      </c>
      <c r="H175" s="50">
        <v>1</v>
      </c>
      <c r="I175" s="49">
        <f t="shared" si="20"/>
        <v>0</v>
      </c>
      <c r="J175" s="49">
        <f t="shared" si="17"/>
        <v>175000</v>
      </c>
      <c r="K175" s="49">
        <f t="shared" si="18"/>
        <v>0</v>
      </c>
      <c r="L175" s="52" t="s">
        <v>289</v>
      </c>
    </row>
    <row r="176" spans="1:12" x14ac:dyDescent="0.25">
      <c r="B176" s="40" t="s">
        <v>198</v>
      </c>
      <c r="C176" s="40" t="s">
        <v>47</v>
      </c>
      <c r="D176" s="40" t="s">
        <v>272</v>
      </c>
      <c r="E176" s="43" t="s">
        <v>19</v>
      </c>
      <c r="G176" s="49">
        <f>IF(ISNA(VLOOKUP($B176,'Other Capital Needs'!$C$51:$P$95,I$6,0)),0,VLOOKUP($B176,'Other Capital Needs'!$C$51:$P$95,I$6,0))+IF(ISNA(VLOOKUP('Project Details by Yr'!$B176,'Public Grounds'!$A$11:$N$49,I$6,0)),0,VLOOKUP('Project Details by Yr'!$B176,'Public Grounds'!$A$11:$N$49,I$6,0))+IF(ISNA(VLOOKUP('Project Details by Yr'!$B176,'Public Buildings'!$A$10:$N$96,I$6,0)),0,VLOOKUP('Project Details by Yr'!$B176,'Public Buildings'!$A$10:$N$96,I$6,0))+IF(ISNA(VLOOKUP('Project Details by Yr'!$B176,Bridges!$A$9:$N$24,I$6,0)),0,VLOOKUP('Project Details by Yr'!$B176,Bridges!$A$9:$N$24,I$6,0))+IF(ISNA(VLOOKUP('Project Details by Yr'!$B176,'Parking Lots &amp; Playgrounds'!$A$9:$N$33,I$6,0)),0,VLOOKUP('Project Details by Yr'!$B176,'Parking Lots &amp; Playgrounds'!$A$9:$N$33,I$6,0))+IF(ISNA(VLOOKUP($B176,Vehicles!$B$9:$O$50,I$6,0)),0,VLOOKUP($B176,Vehicles!$B$9:$O$50,I$6,0))</f>
        <v>0</v>
      </c>
      <c r="H176" s="50">
        <v>1</v>
      </c>
      <c r="I176" s="49">
        <f t="shared" si="20"/>
        <v>0</v>
      </c>
      <c r="J176" s="49">
        <f t="shared" si="17"/>
        <v>0</v>
      </c>
      <c r="K176" s="49">
        <f t="shared" si="18"/>
        <v>0</v>
      </c>
    </row>
    <row r="177" spans="2:12" x14ac:dyDescent="0.25">
      <c r="B177" s="40" t="s">
        <v>202</v>
      </c>
      <c r="C177" s="40" t="s">
        <v>47</v>
      </c>
      <c r="D177" s="40" t="s">
        <v>272</v>
      </c>
      <c r="E177" s="43" t="s">
        <v>16</v>
      </c>
      <c r="G177" s="49">
        <f>IF(ISNA(VLOOKUP($B177,'Other Capital Needs'!$C$51:$P$95,I$6,0)),0,VLOOKUP($B177,'Other Capital Needs'!$C$51:$P$95,I$6,0))+IF(ISNA(VLOOKUP('Project Details by Yr'!$B177,'Public Grounds'!$A$11:$N$49,I$6,0)),0,VLOOKUP('Project Details by Yr'!$B177,'Public Grounds'!$A$11:$N$49,I$6,0))+IF(ISNA(VLOOKUP('Project Details by Yr'!$B177,'Public Buildings'!$A$10:$N$96,I$6,0)),0,VLOOKUP('Project Details by Yr'!$B177,'Public Buildings'!$A$10:$N$96,I$6,0))+IF(ISNA(VLOOKUP('Project Details by Yr'!$B177,Bridges!$A$9:$N$24,I$6,0)),0,VLOOKUP('Project Details by Yr'!$B177,Bridges!$A$9:$N$24,I$6,0))+IF(ISNA(VLOOKUP('Project Details by Yr'!$B177,'Parking Lots &amp; Playgrounds'!$A$9:$N$33,I$6,0)),0,VLOOKUP('Project Details by Yr'!$B177,'Parking Lots &amp; Playgrounds'!$A$9:$N$33,I$6,0))+IF(ISNA(VLOOKUP($B177,Vehicles!$B$9:$O$50,I$6,0)),0,VLOOKUP($B177,Vehicles!$B$9:$O$50,I$6,0))</f>
        <v>40000</v>
      </c>
      <c r="H177" s="50">
        <v>1</v>
      </c>
      <c r="I177" s="49">
        <f t="shared" si="20"/>
        <v>0</v>
      </c>
      <c r="J177" s="49">
        <f t="shared" si="17"/>
        <v>40000</v>
      </c>
      <c r="K177" s="49">
        <f t="shared" si="18"/>
        <v>0</v>
      </c>
    </row>
    <row r="178" spans="2:12" x14ac:dyDescent="0.25">
      <c r="B178" s="40" t="s">
        <v>83</v>
      </c>
      <c r="C178" s="40" t="s">
        <v>91</v>
      </c>
      <c r="D178" s="40" t="s">
        <v>271</v>
      </c>
      <c r="E178" s="43" t="s">
        <v>16</v>
      </c>
      <c r="G178" s="49">
        <f>IF(ISNA(VLOOKUP($B178,'Other Capital Needs'!$C$51:$P$95,I$6,0)),0,VLOOKUP($B178,'Other Capital Needs'!$C$51:$P$95,I$6,0))+IF(ISNA(VLOOKUP('Project Details by Yr'!$B178,'Public Grounds'!$A$11:$N$49,I$6,0)),0,VLOOKUP('Project Details by Yr'!$B178,'Public Grounds'!$A$11:$N$49,I$6,0))+IF(ISNA(VLOOKUP('Project Details by Yr'!$B178,'Public Buildings'!$A$10:$N$96,I$6,0)),0,VLOOKUP('Project Details by Yr'!$B178,'Public Buildings'!$A$10:$N$96,I$6,0))+IF(ISNA(VLOOKUP('Project Details by Yr'!$B178,Bridges!$A$9:$N$24,I$6,0)),0,VLOOKUP('Project Details by Yr'!$B178,Bridges!$A$9:$N$24,I$6,0))+IF(ISNA(VLOOKUP('Project Details by Yr'!$B178,'Parking Lots &amp; Playgrounds'!$A$9:$N$33,I$6,0)),0,VLOOKUP('Project Details by Yr'!$B178,'Parking Lots &amp; Playgrounds'!$A$9:$N$33,I$6,0))+IF(ISNA(VLOOKUP($B178,Vehicles!$B$9:$O$50,I$6,0)),0,VLOOKUP($B178,Vehicles!$B$9:$O$50,I$6,0))</f>
        <v>235000</v>
      </c>
      <c r="H178" s="50">
        <v>1</v>
      </c>
      <c r="I178" s="49">
        <f t="shared" si="20"/>
        <v>0</v>
      </c>
      <c r="J178" s="49">
        <f t="shared" si="17"/>
        <v>235000</v>
      </c>
      <c r="K178" s="49">
        <f t="shared" si="18"/>
        <v>0</v>
      </c>
    </row>
    <row r="179" spans="2:12" x14ac:dyDescent="0.25">
      <c r="B179" s="40" t="s">
        <v>84</v>
      </c>
      <c r="C179" s="40" t="s">
        <v>91</v>
      </c>
      <c r="D179" s="40" t="s">
        <v>271</v>
      </c>
      <c r="E179" s="43" t="s">
        <v>16</v>
      </c>
      <c r="G179" s="49">
        <f>IF(ISNA(VLOOKUP($B179,'Other Capital Needs'!$C$51:$P$95,I$6,0)),0,VLOOKUP($B179,'Other Capital Needs'!$C$51:$P$95,I$6,0))+IF(ISNA(VLOOKUP('Project Details by Yr'!$B179,'Public Grounds'!$A$11:$N$49,I$6,0)),0,VLOOKUP('Project Details by Yr'!$B179,'Public Grounds'!$A$11:$N$49,I$6,0))+IF(ISNA(VLOOKUP('Project Details by Yr'!$B179,'Public Buildings'!$A$10:$N$96,I$6,0)),0,VLOOKUP('Project Details by Yr'!$B179,'Public Buildings'!$A$10:$N$96,I$6,0))+IF(ISNA(VLOOKUP('Project Details by Yr'!$B179,Bridges!$A$9:$N$24,I$6,0)),0,VLOOKUP('Project Details by Yr'!$B179,Bridges!$A$9:$N$24,I$6,0))+IF(ISNA(VLOOKUP('Project Details by Yr'!$B179,'Parking Lots &amp; Playgrounds'!$A$9:$N$33,I$6,0)),0,VLOOKUP('Project Details by Yr'!$B179,'Parking Lots &amp; Playgrounds'!$A$9:$N$33,I$6,0))+IF(ISNA(VLOOKUP($B179,Vehicles!$B$9:$O$50,I$6,0)),0,VLOOKUP($B179,Vehicles!$B$9:$O$50,I$6,0))</f>
        <v>16000</v>
      </c>
      <c r="H179" s="50">
        <v>1</v>
      </c>
      <c r="I179" s="49">
        <f t="shared" si="20"/>
        <v>0</v>
      </c>
      <c r="J179" s="49">
        <f t="shared" si="17"/>
        <v>16000</v>
      </c>
      <c r="K179" s="49">
        <f t="shared" si="18"/>
        <v>0</v>
      </c>
    </row>
    <row r="180" spans="2:12" x14ac:dyDescent="0.25">
      <c r="B180" s="40" t="s">
        <v>124</v>
      </c>
      <c r="C180" s="40" t="s">
        <v>49</v>
      </c>
      <c r="D180" s="40" t="s">
        <v>271</v>
      </c>
      <c r="E180" s="43" t="s">
        <v>16</v>
      </c>
      <c r="G180" s="49">
        <f>IF(ISNA(VLOOKUP($B180,'Other Capital Needs'!$C$51:$P$95,I$6,0)),0,VLOOKUP($B180,'Other Capital Needs'!$C$51:$P$95,I$6,0))+IF(ISNA(VLOOKUP('Project Details by Yr'!$B180,'Public Grounds'!$A$11:$N$49,I$6,0)),0,VLOOKUP('Project Details by Yr'!$B180,'Public Grounds'!$A$11:$N$49,I$6,0))+IF(ISNA(VLOOKUP('Project Details by Yr'!$B180,'Public Buildings'!$A$10:$N$96,I$6,0)),0,VLOOKUP('Project Details by Yr'!$B180,'Public Buildings'!$A$10:$N$96,I$6,0))+IF(ISNA(VLOOKUP('Project Details by Yr'!$B180,Bridges!$A$9:$N$24,I$6,0)),0,VLOOKUP('Project Details by Yr'!$B180,Bridges!$A$9:$N$24,I$6,0))+IF(ISNA(VLOOKUP('Project Details by Yr'!$B180,'Parking Lots &amp; Playgrounds'!$A$9:$N$33,I$6,0)),0,VLOOKUP('Project Details by Yr'!$B180,'Parking Lots &amp; Playgrounds'!$A$9:$N$33,I$6,0))+IF(ISNA(VLOOKUP($B180,Vehicles!$B$9:$O$50,I$6,0)),0,VLOOKUP($B180,Vehicles!$B$9:$O$50,I$6,0))</f>
        <v>125000</v>
      </c>
      <c r="H180" s="50">
        <v>1</v>
      </c>
      <c r="I180" s="49">
        <f t="shared" si="20"/>
        <v>0</v>
      </c>
      <c r="J180" s="49">
        <f t="shared" si="17"/>
        <v>125000</v>
      </c>
      <c r="K180" s="49">
        <f t="shared" si="18"/>
        <v>0</v>
      </c>
    </row>
    <row r="181" spans="2:12" x14ac:dyDescent="0.25">
      <c r="B181" s="40" t="s">
        <v>125</v>
      </c>
      <c r="C181" s="40" t="s">
        <v>49</v>
      </c>
      <c r="D181" s="40" t="s">
        <v>271</v>
      </c>
      <c r="E181" s="43" t="s">
        <v>16</v>
      </c>
      <c r="G181" s="49">
        <f>IF(ISNA(VLOOKUP($B181,'Other Capital Needs'!$C$51:$P$95,I$6,0)),0,VLOOKUP($B181,'Other Capital Needs'!$C$51:$P$95,I$6,0))+IF(ISNA(VLOOKUP('Project Details by Yr'!$B181,'Public Grounds'!$A$11:$N$49,I$6,0)),0,VLOOKUP('Project Details by Yr'!$B181,'Public Grounds'!$A$11:$N$49,I$6,0))+IF(ISNA(VLOOKUP('Project Details by Yr'!$B181,'Public Buildings'!$A$10:$N$96,I$6,0)),0,VLOOKUP('Project Details by Yr'!$B181,'Public Buildings'!$A$10:$N$96,I$6,0))+IF(ISNA(VLOOKUP('Project Details by Yr'!$B181,Bridges!$A$9:$N$24,I$6,0)),0,VLOOKUP('Project Details by Yr'!$B181,Bridges!$A$9:$N$24,I$6,0))+IF(ISNA(VLOOKUP('Project Details by Yr'!$B181,'Parking Lots &amp; Playgrounds'!$A$9:$N$33,I$6,0)),0,VLOOKUP('Project Details by Yr'!$B181,'Parking Lots &amp; Playgrounds'!$A$9:$N$33,I$6,0))+IF(ISNA(VLOOKUP($B181,Vehicles!$B$9:$O$50,I$6,0)),0,VLOOKUP($B181,Vehicles!$B$9:$O$50,I$6,0))</f>
        <v>29327</v>
      </c>
      <c r="H181" s="50">
        <v>1</v>
      </c>
      <c r="I181" s="49">
        <f t="shared" si="20"/>
        <v>0</v>
      </c>
      <c r="J181" s="49">
        <f t="shared" si="17"/>
        <v>29327</v>
      </c>
      <c r="K181" s="49">
        <f t="shared" si="18"/>
        <v>0</v>
      </c>
    </row>
    <row r="182" spans="2:12" x14ac:dyDescent="0.25">
      <c r="B182" s="40" t="s">
        <v>127</v>
      </c>
      <c r="C182" s="40" t="s">
        <v>49</v>
      </c>
      <c r="D182" s="40" t="s">
        <v>271</v>
      </c>
      <c r="E182" s="43" t="s">
        <v>16</v>
      </c>
      <c r="G182" s="49">
        <f>IF(ISNA(VLOOKUP($B182,'Other Capital Needs'!$C$51:$P$95,I$6,0)),0,VLOOKUP($B182,'Other Capital Needs'!$C$51:$P$95,I$6,0))+IF(ISNA(VLOOKUP('Project Details by Yr'!$B182,'Public Grounds'!$A$11:$N$49,I$6,0)),0,VLOOKUP('Project Details by Yr'!$B182,'Public Grounds'!$A$11:$N$49,I$6,0))+IF(ISNA(VLOOKUP('Project Details by Yr'!$B182,'Public Buildings'!$A$10:$N$96,I$6,0)),0,VLOOKUP('Project Details by Yr'!$B182,'Public Buildings'!$A$10:$N$96,I$6,0))+IF(ISNA(VLOOKUP('Project Details by Yr'!$B182,Bridges!$A$9:$N$24,I$6,0)),0,VLOOKUP('Project Details by Yr'!$B182,Bridges!$A$9:$N$24,I$6,0))+IF(ISNA(VLOOKUP('Project Details by Yr'!$B182,'Parking Lots &amp; Playgrounds'!$A$9:$N$33,I$6,0)),0,VLOOKUP('Project Details by Yr'!$B182,'Parking Lots &amp; Playgrounds'!$A$9:$N$33,I$6,0))+IF(ISNA(VLOOKUP($B182,Vehicles!$B$9:$O$50,I$6,0)),0,VLOOKUP($B182,Vehicles!$B$9:$O$50,I$6,0))</f>
        <v>33000</v>
      </c>
      <c r="H182" s="50">
        <v>1</v>
      </c>
      <c r="I182" s="49">
        <f t="shared" ref="I182" si="21">IF($H182=1,IF($E182="Bond",$G182,IF(E182="BAN",$G182,0)),0)</f>
        <v>0</v>
      </c>
      <c r="J182" s="49">
        <f t="shared" si="17"/>
        <v>33000</v>
      </c>
      <c r="K182" s="49">
        <f t="shared" si="18"/>
        <v>0</v>
      </c>
    </row>
    <row r="183" spans="2:12" x14ac:dyDescent="0.25">
      <c r="B183" s="40" t="s">
        <v>126</v>
      </c>
      <c r="C183" s="40" t="s">
        <v>49</v>
      </c>
      <c r="D183" s="40" t="s">
        <v>271</v>
      </c>
      <c r="E183" s="43" t="s">
        <v>16</v>
      </c>
      <c r="G183" s="49">
        <f>IF(ISNA(VLOOKUP($B183,'Other Capital Needs'!$C$51:$P$95,I$6,0)),0,VLOOKUP($B183,'Other Capital Needs'!$C$51:$P$95,I$6,0))+IF(ISNA(VLOOKUP('Project Details by Yr'!$B183,'Public Grounds'!$A$11:$N$49,I$6,0)),0,VLOOKUP('Project Details by Yr'!$B183,'Public Grounds'!$A$11:$N$49,I$6,0))+IF(ISNA(VLOOKUP('Project Details by Yr'!$B183,'Public Buildings'!$A$10:$N$96,I$6,0)),0,VLOOKUP('Project Details by Yr'!$B183,'Public Buildings'!$A$10:$N$96,I$6,0))+IF(ISNA(VLOOKUP('Project Details by Yr'!$B183,Bridges!$A$9:$N$24,I$6,0)),0,VLOOKUP('Project Details by Yr'!$B183,Bridges!$A$9:$N$24,I$6,0))+IF(ISNA(VLOOKUP('Project Details by Yr'!$B183,'Parking Lots &amp; Playgrounds'!$A$9:$N$33,I$6,0)),0,VLOOKUP('Project Details by Yr'!$B183,'Parking Lots &amp; Playgrounds'!$A$9:$N$33,I$6,0))+IF(ISNA(VLOOKUP($B183,Vehicles!$B$9:$O$50,I$6,0)),0,VLOOKUP($B183,Vehicles!$B$9:$O$50,I$6,0))</f>
        <v>29327</v>
      </c>
      <c r="H183" s="50">
        <v>1</v>
      </c>
      <c r="I183" s="49">
        <f t="shared" si="20"/>
        <v>0</v>
      </c>
      <c r="J183" s="49">
        <f t="shared" si="17"/>
        <v>29327</v>
      </c>
      <c r="K183" s="49">
        <f t="shared" si="18"/>
        <v>0</v>
      </c>
    </row>
    <row r="184" spans="2:12" x14ac:dyDescent="0.25">
      <c r="B184" s="40" t="s">
        <v>128</v>
      </c>
      <c r="C184" s="40" t="s">
        <v>49</v>
      </c>
      <c r="D184" s="40" t="s">
        <v>271</v>
      </c>
      <c r="E184" s="43" t="s">
        <v>16</v>
      </c>
      <c r="G184" s="49">
        <f>IF(ISNA(VLOOKUP($B184,'Other Capital Needs'!$C$51:$P$95,I$6,0)),0,VLOOKUP($B184,'Other Capital Needs'!$C$51:$P$95,I$6,0))+IF(ISNA(VLOOKUP('Project Details by Yr'!$B184,'Public Grounds'!$A$11:$N$49,I$6,0)),0,VLOOKUP('Project Details by Yr'!$B184,'Public Grounds'!$A$11:$N$49,I$6,0))+IF(ISNA(VLOOKUP('Project Details by Yr'!$B184,'Public Buildings'!$A$10:$N$96,I$6,0)),0,VLOOKUP('Project Details by Yr'!$B184,'Public Buildings'!$A$10:$N$96,I$6,0))+IF(ISNA(VLOOKUP('Project Details by Yr'!$B184,Bridges!$A$9:$N$24,I$6,0)),0,VLOOKUP('Project Details by Yr'!$B184,Bridges!$A$9:$N$24,I$6,0))+IF(ISNA(VLOOKUP('Project Details by Yr'!$B184,'Parking Lots &amp; Playgrounds'!$A$9:$N$33,I$6,0)),0,VLOOKUP('Project Details by Yr'!$B184,'Parking Lots &amp; Playgrounds'!$A$9:$N$33,I$6,0))+IF(ISNA(VLOOKUP($B184,Vehicles!$B$9:$O$50,I$6,0)),0,VLOOKUP($B184,Vehicles!$B$9:$O$50,I$6,0))</f>
        <v>28000</v>
      </c>
      <c r="H184" s="50">
        <v>1</v>
      </c>
      <c r="I184" s="49">
        <f t="shared" si="20"/>
        <v>0</v>
      </c>
      <c r="J184" s="49">
        <f t="shared" si="17"/>
        <v>28000</v>
      </c>
      <c r="K184" s="49">
        <f t="shared" si="18"/>
        <v>0</v>
      </c>
    </row>
    <row r="185" spans="2:12" x14ac:dyDescent="0.25">
      <c r="B185" t="s">
        <v>308</v>
      </c>
      <c r="C185" s="40" t="s">
        <v>49</v>
      </c>
      <c r="D185" s="40" t="s">
        <v>271</v>
      </c>
      <c r="E185" s="43" t="s">
        <v>16</v>
      </c>
      <c r="G185" s="49">
        <f>IF(ISNA(VLOOKUP($B185,'Other Capital Needs'!$C$51:$P$95,I$6,0)),0,VLOOKUP($B185,'Other Capital Needs'!$C$51:$P$95,I$6,0))+IF(ISNA(VLOOKUP('Project Details by Yr'!$B185,'Public Grounds'!$A$11:$N$49,I$6,0)),0,VLOOKUP('Project Details by Yr'!$B185,'Public Grounds'!$A$11:$N$49,I$6,0))+IF(ISNA(VLOOKUP('Project Details by Yr'!$B185,'Public Buildings'!$A$10:$N$96,I$6,0)),0,VLOOKUP('Project Details by Yr'!$B185,'Public Buildings'!$A$10:$N$96,I$6,0))+IF(ISNA(VLOOKUP('Project Details by Yr'!$B185,Bridges!$A$9:$N$24,I$6,0)),0,VLOOKUP('Project Details by Yr'!$B185,Bridges!$A$9:$N$24,I$6,0))+IF(ISNA(VLOOKUP('Project Details by Yr'!$B185,'Parking Lots &amp; Playgrounds'!$A$9:$N$33,I$6,0)),0,VLOOKUP('Project Details by Yr'!$B185,'Parking Lots &amp; Playgrounds'!$A$9:$N$33,I$6,0))+IF(ISNA(VLOOKUP($B185,Vehicles!$B$9:$O$50,I$6,0)),0,VLOOKUP($B185,Vehicles!$B$9:$O$50,I$6,0))</f>
        <v>60000</v>
      </c>
      <c r="H185" s="50">
        <v>1</v>
      </c>
      <c r="I185" s="49">
        <f t="shared" ref="I185" si="22">IF($H185=1,IF($E185="Bond",$G185,IF(E185="BAN",$G185,0)),0)</f>
        <v>0</v>
      </c>
      <c r="J185" s="49">
        <f t="shared" si="17"/>
        <v>60000</v>
      </c>
      <c r="K185" s="49">
        <f t="shared" si="18"/>
        <v>0</v>
      </c>
    </row>
    <row r="186" spans="2:12" x14ac:dyDescent="0.25">
      <c r="B186" s="40" t="s">
        <v>120</v>
      </c>
      <c r="C186" s="40" t="s">
        <v>49</v>
      </c>
      <c r="D186" s="40" t="s">
        <v>271</v>
      </c>
      <c r="E186" s="43" t="s">
        <v>16</v>
      </c>
      <c r="G186" s="49">
        <f>IF(ISNA(VLOOKUP($B186,'Other Capital Needs'!$C$51:$P$95,I$6,0)),0,VLOOKUP($B186,'Other Capital Needs'!$C$51:$P$95,I$6,0))+IF(ISNA(VLOOKUP('Project Details by Yr'!$B186,'Public Grounds'!$A$11:$N$49,I$6,0)),0,VLOOKUP('Project Details by Yr'!$B186,'Public Grounds'!$A$11:$N$49,I$6,0))+IF(ISNA(VLOOKUP('Project Details by Yr'!$B186,'Public Buildings'!$A$10:$N$96,I$6,0)),0,VLOOKUP('Project Details by Yr'!$B186,'Public Buildings'!$A$10:$N$96,I$6,0))+IF(ISNA(VLOOKUP('Project Details by Yr'!$B186,Bridges!$A$9:$N$24,I$6,0)),0,VLOOKUP('Project Details by Yr'!$B186,Bridges!$A$9:$N$24,I$6,0))+IF(ISNA(VLOOKUP('Project Details by Yr'!$B186,'Parking Lots &amp; Playgrounds'!$A$9:$N$33,I$6,0)),0,VLOOKUP('Project Details by Yr'!$B186,'Parking Lots &amp; Playgrounds'!$A$9:$N$33,I$6,0))+IF(ISNA(VLOOKUP($B186,Vehicles!$B$9:$O$50,I$6,0)),0,VLOOKUP($B186,Vehicles!$B$9:$O$50,I$6,0))</f>
        <v>200000</v>
      </c>
      <c r="H186" s="50">
        <v>1</v>
      </c>
      <c r="I186" s="49">
        <f t="shared" si="20"/>
        <v>0</v>
      </c>
      <c r="J186" s="49">
        <f t="shared" si="17"/>
        <v>200000</v>
      </c>
      <c r="K186" s="49">
        <f t="shared" si="18"/>
        <v>0</v>
      </c>
    </row>
    <row r="187" spans="2:12" x14ac:dyDescent="0.25">
      <c r="B187" s="40" t="s">
        <v>121</v>
      </c>
      <c r="C187" s="40" t="s">
        <v>49</v>
      </c>
      <c r="D187" s="40" t="s">
        <v>271</v>
      </c>
      <c r="E187" s="43" t="s">
        <v>16</v>
      </c>
      <c r="G187" s="49">
        <f>IF(ISNA(VLOOKUP($B187,'Other Capital Needs'!$C$51:$P$95,I$6,0)),0,VLOOKUP($B187,'Other Capital Needs'!$C$51:$P$95,I$6,0))+IF(ISNA(VLOOKUP('Project Details by Yr'!$B187,'Public Grounds'!$A$11:$N$49,I$6,0)),0,VLOOKUP('Project Details by Yr'!$B187,'Public Grounds'!$A$11:$N$49,I$6,0))+IF(ISNA(VLOOKUP('Project Details by Yr'!$B187,'Public Buildings'!$A$10:$N$96,I$6,0)),0,VLOOKUP('Project Details by Yr'!$B187,'Public Buildings'!$A$10:$N$96,I$6,0))+IF(ISNA(VLOOKUP('Project Details by Yr'!$B187,Bridges!$A$9:$N$24,I$6,0)),0,VLOOKUP('Project Details by Yr'!$B187,Bridges!$A$9:$N$24,I$6,0))+IF(ISNA(VLOOKUP('Project Details by Yr'!$B187,'Parking Lots &amp; Playgrounds'!$A$9:$N$33,I$6,0)),0,VLOOKUP('Project Details by Yr'!$B187,'Parking Lots &amp; Playgrounds'!$A$9:$N$33,I$6,0))+IF(ISNA(VLOOKUP($B187,Vehicles!$B$9:$O$50,I$6,0)),0,VLOOKUP($B187,Vehicles!$B$9:$O$50,I$6,0))</f>
        <v>86097</v>
      </c>
      <c r="H187" s="50">
        <v>1</v>
      </c>
      <c r="I187" s="49">
        <f t="shared" si="20"/>
        <v>0</v>
      </c>
      <c r="J187" s="49">
        <f t="shared" si="17"/>
        <v>86097</v>
      </c>
      <c r="K187" s="49">
        <f t="shared" si="18"/>
        <v>0</v>
      </c>
    </row>
    <row r="188" spans="2:12" x14ac:dyDescent="0.25">
      <c r="B188" s="40" t="s">
        <v>122</v>
      </c>
      <c r="C188" s="40" t="s">
        <v>49</v>
      </c>
      <c r="D188" s="40" t="s">
        <v>271</v>
      </c>
      <c r="E188" s="43" t="s">
        <v>16</v>
      </c>
      <c r="G188" s="49">
        <f>IF(ISNA(VLOOKUP($B188,'Other Capital Needs'!$C$51:$P$95,I$6,0)),0,VLOOKUP($B188,'Other Capital Needs'!$C$51:$P$95,I$6,0))+IF(ISNA(VLOOKUP('Project Details by Yr'!$B188,'Public Grounds'!$A$11:$N$49,I$6,0)),0,VLOOKUP('Project Details by Yr'!$B188,'Public Grounds'!$A$11:$N$49,I$6,0))+IF(ISNA(VLOOKUP('Project Details by Yr'!$B188,'Public Buildings'!$A$10:$N$96,I$6,0)),0,VLOOKUP('Project Details by Yr'!$B188,'Public Buildings'!$A$10:$N$96,I$6,0))+IF(ISNA(VLOOKUP('Project Details by Yr'!$B188,Bridges!$A$9:$N$24,I$6,0)),0,VLOOKUP('Project Details by Yr'!$B188,Bridges!$A$9:$N$24,I$6,0))+IF(ISNA(VLOOKUP('Project Details by Yr'!$B188,'Parking Lots &amp; Playgrounds'!$A$9:$N$33,I$6,0)),0,VLOOKUP('Project Details by Yr'!$B188,'Parking Lots &amp; Playgrounds'!$A$9:$N$33,I$6,0))+IF(ISNA(VLOOKUP($B188,Vehicles!$B$9:$O$50,I$6,0)),0,VLOOKUP($B188,Vehicles!$B$9:$O$50,I$6,0))</f>
        <v>42025</v>
      </c>
      <c r="H188" s="50"/>
      <c r="I188" s="49">
        <f t="shared" si="20"/>
        <v>0</v>
      </c>
      <c r="J188" s="49">
        <f t="shared" si="17"/>
        <v>0</v>
      </c>
      <c r="K188" s="49">
        <f t="shared" si="18"/>
        <v>0</v>
      </c>
      <c r="L188" s="52" t="s">
        <v>289</v>
      </c>
    </row>
    <row r="189" spans="2:12" x14ac:dyDescent="0.25">
      <c r="B189" s="40" t="s">
        <v>118</v>
      </c>
      <c r="C189" s="40" t="s">
        <v>49</v>
      </c>
      <c r="D189" s="40" t="s">
        <v>271</v>
      </c>
      <c r="E189" s="43" t="s">
        <v>16</v>
      </c>
      <c r="G189" s="49">
        <f>IF(ISNA(VLOOKUP($B189,'Other Capital Needs'!$C$51:$P$95,I$6,0)),0,VLOOKUP($B189,'Other Capital Needs'!$C$51:$P$95,I$6,0))+IF(ISNA(VLOOKUP('Project Details by Yr'!$B189,'Public Grounds'!$A$11:$N$49,I$6,0)),0,VLOOKUP('Project Details by Yr'!$B189,'Public Grounds'!$A$11:$N$49,I$6,0))+IF(ISNA(VLOOKUP('Project Details by Yr'!$B189,'Public Buildings'!$A$10:$N$96,I$6,0)),0,VLOOKUP('Project Details by Yr'!$B189,'Public Buildings'!$A$10:$N$96,I$6,0))+IF(ISNA(VLOOKUP('Project Details by Yr'!$B189,Bridges!$A$9:$N$24,I$6,0)),0,VLOOKUP('Project Details by Yr'!$B189,Bridges!$A$9:$N$24,I$6,0))+IF(ISNA(VLOOKUP('Project Details by Yr'!$B189,'Parking Lots &amp; Playgrounds'!$A$9:$N$33,I$6,0)),0,VLOOKUP('Project Details by Yr'!$B189,'Parking Lots &amp; Playgrounds'!$A$9:$N$33,I$6,0))+IF(ISNA(VLOOKUP($B189,Vehicles!$B$9:$O$50,I$6,0)),0,VLOOKUP($B189,Vehicles!$B$9:$O$50,I$6,0))</f>
        <v>34218</v>
      </c>
      <c r="H189" s="50"/>
      <c r="I189" s="49">
        <f t="shared" si="20"/>
        <v>0</v>
      </c>
      <c r="J189" s="49">
        <f t="shared" si="17"/>
        <v>0</v>
      </c>
      <c r="K189" s="49">
        <f t="shared" si="18"/>
        <v>0</v>
      </c>
      <c r="L189" s="52" t="s">
        <v>289</v>
      </c>
    </row>
    <row r="190" spans="2:12" x14ac:dyDescent="0.25">
      <c r="B190" s="40" t="s">
        <v>132</v>
      </c>
      <c r="C190" s="40" t="s">
        <v>49</v>
      </c>
      <c r="D190" s="40" t="s">
        <v>271</v>
      </c>
      <c r="E190" s="43" t="s">
        <v>16</v>
      </c>
      <c r="G190" s="49">
        <f>IF(ISNA(VLOOKUP($B190,'Other Capital Needs'!$C$51:$P$95,I$6,0)),0,VLOOKUP($B190,'Other Capital Needs'!$C$51:$P$95,I$6,0))+IF(ISNA(VLOOKUP('Project Details by Yr'!$B190,'Public Grounds'!$A$11:$N$49,I$6,0)),0,VLOOKUP('Project Details by Yr'!$B190,'Public Grounds'!$A$11:$N$49,I$6,0))+IF(ISNA(VLOOKUP('Project Details by Yr'!$B190,'Public Buildings'!$A$10:$N$96,I$6,0)),0,VLOOKUP('Project Details by Yr'!$B190,'Public Buildings'!$A$10:$N$96,I$6,0))+IF(ISNA(VLOOKUP('Project Details by Yr'!$B190,Bridges!$A$9:$N$24,I$6,0)),0,VLOOKUP('Project Details by Yr'!$B190,Bridges!$A$9:$N$24,I$6,0))+IF(ISNA(VLOOKUP('Project Details by Yr'!$B190,'Parking Lots &amp; Playgrounds'!$A$9:$N$33,I$6,0)),0,VLOOKUP('Project Details by Yr'!$B190,'Parking Lots &amp; Playgrounds'!$A$9:$N$33,I$6,0))+IF(ISNA(VLOOKUP($B190,Vehicles!$B$9:$O$50,I$6,0)),0,VLOOKUP($B190,Vehicles!$B$9:$O$50,I$6,0))</f>
        <v>7500</v>
      </c>
      <c r="H190" s="50"/>
      <c r="I190" s="49">
        <f t="shared" si="20"/>
        <v>0</v>
      </c>
      <c r="J190" s="49">
        <f t="shared" si="17"/>
        <v>0</v>
      </c>
      <c r="K190" s="49">
        <f t="shared" si="18"/>
        <v>0</v>
      </c>
      <c r="L190" s="52" t="s">
        <v>289</v>
      </c>
    </row>
    <row r="191" spans="2:12" x14ac:dyDescent="0.25">
      <c r="B191" s="40" t="s">
        <v>133</v>
      </c>
      <c r="C191" s="40" t="s">
        <v>49</v>
      </c>
      <c r="D191" s="40" t="s">
        <v>271</v>
      </c>
      <c r="E191" s="43" t="s">
        <v>16</v>
      </c>
      <c r="G191" s="49">
        <f>IF(ISNA(VLOOKUP($B191,'Other Capital Needs'!$C$51:$P$95,I$6,0)),0,VLOOKUP($B191,'Other Capital Needs'!$C$51:$P$95,I$6,0))+IF(ISNA(VLOOKUP('Project Details by Yr'!$B191,'Public Grounds'!$A$11:$N$49,I$6,0)),0,VLOOKUP('Project Details by Yr'!$B191,'Public Grounds'!$A$11:$N$49,I$6,0))+IF(ISNA(VLOOKUP('Project Details by Yr'!$B191,'Public Buildings'!$A$10:$N$96,I$6,0)),0,VLOOKUP('Project Details by Yr'!$B191,'Public Buildings'!$A$10:$N$96,I$6,0))+IF(ISNA(VLOOKUP('Project Details by Yr'!$B191,Bridges!$A$9:$N$24,I$6,0)),0,VLOOKUP('Project Details by Yr'!$B191,Bridges!$A$9:$N$24,I$6,0))+IF(ISNA(VLOOKUP('Project Details by Yr'!$B191,'Parking Lots &amp; Playgrounds'!$A$9:$N$33,I$6,0)),0,VLOOKUP('Project Details by Yr'!$B191,'Parking Lots &amp; Playgrounds'!$A$9:$N$33,I$6,0))+IF(ISNA(VLOOKUP($B191,Vehicles!$B$9:$O$50,I$6,0)),0,VLOOKUP($B191,Vehicles!$B$9:$O$50,I$6,0))</f>
        <v>85000</v>
      </c>
      <c r="H191" s="50"/>
      <c r="I191" s="49">
        <f t="shared" si="20"/>
        <v>0</v>
      </c>
      <c r="J191" s="49">
        <f t="shared" si="17"/>
        <v>0</v>
      </c>
      <c r="K191" s="49">
        <f t="shared" si="18"/>
        <v>0</v>
      </c>
      <c r="L191" s="52" t="s">
        <v>289</v>
      </c>
    </row>
    <row r="192" spans="2:12" x14ac:dyDescent="0.25">
      <c r="B192" s="40" t="s">
        <v>134</v>
      </c>
      <c r="C192" s="40" t="s">
        <v>49</v>
      </c>
      <c r="D192" s="40" t="s">
        <v>271</v>
      </c>
      <c r="E192" s="43" t="s">
        <v>16</v>
      </c>
      <c r="G192" s="49">
        <f>IF(ISNA(VLOOKUP($B192,'Other Capital Needs'!$C$51:$P$95,I$6,0)),0,VLOOKUP($B192,'Other Capital Needs'!$C$51:$P$95,I$6,0))+IF(ISNA(VLOOKUP('Project Details by Yr'!$B192,'Public Grounds'!$A$11:$N$49,I$6,0)),0,VLOOKUP('Project Details by Yr'!$B192,'Public Grounds'!$A$11:$N$49,I$6,0))+IF(ISNA(VLOOKUP('Project Details by Yr'!$B192,'Public Buildings'!$A$10:$N$96,I$6,0)),0,VLOOKUP('Project Details by Yr'!$B192,'Public Buildings'!$A$10:$N$96,I$6,0))+IF(ISNA(VLOOKUP('Project Details by Yr'!$B192,Bridges!$A$9:$N$24,I$6,0)),0,VLOOKUP('Project Details by Yr'!$B192,Bridges!$A$9:$N$24,I$6,0))+IF(ISNA(VLOOKUP('Project Details by Yr'!$B192,'Parking Lots &amp; Playgrounds'!$A$9:$N$33,I$6,0)),0,VLOOKUP('Project Details by Yr'!$B192,'Parking Lots &amp; Playgrounds'!$A$9:$N$33,I$6,0))+IF(ISNA(VLOOKUP($B192,Vehicles!$B$9:$O$50,I$6,0)),0,VLOOKUP($B192,Vehicles!$B$9:$O$50,I$6,0))</f>
        <v>19869</v>
      </c>
      <c r="H192" s="50"/>
      <c r="I192" s="49">
        <f t="shared" si="20"/>
        <v>0</v>
      </c>
      <c r="J192" s="49">
        <f t="shared" si="17"/>
        <v>0</v>
      </c>
      <c r="K192" s="49">
        <f t="shared" si="18"/>
        <v>0</v>
      </c>
      <c r="L192" s="52" t="s">
        <v>289</v>
      </c>
    </row>
    <row r="193" spans="1:12" x14ac:dyDescent="0.25">
      <c r="B193" s="40" t="s">
        <v>136</v>
      </c>
      <c r="C193" s="40" t="s">
        <v>49</v>
      </c>
      <c r="D193" s="40" t="s">
        <v>271</v>
      </c>
      <c r="E193" s="43" t="s">
        <v>16</v>
      </c>
      <c r="G193" s="49">
        <f>IF(ISNA(VLOOKUP($B193,'Other Capital Needs'!$C$51:$P$95,I$6,0)),0,VLOOKUP($B193,'Other Capital Needs'!$C$51:$P$95,I$6,0))+IF(ISNA(VLOOKUP('Project Details by Yr'!$B193,'Public Grounds'!$A$11:$N$49,I$6,0)),0,VLOOKUP('Project Details by Yr'!$B193,'Public Grounds'!$A$11:$N$49,I$6,0))+IF(ISNA(VLOOKUP('Project Details by Yr'!$B193,'Public Buildings'!$A$10:$N$96,I$6,0)),0,VLOOKUP('Project Details by Yr'!$B193,'Public Buildings'!$A$10:$N$96,I$6,0))+IF(ISNA(VLOOKUP('Project Details by Yr'!$B193,Bridges!$A$9:$N$24,I$6,0)),0,VLOOKUP('Project Details by Yr'!$B193,Bridges!$A$9:$N$24,I$6,0))+IF(ISNA(VLOOKUP('Project Details by Yr'!$B193,'Parking Lots &amp; Playgrounds'!$A$9:$N$33,I$6,0)),0,VLOOKUP('Project Details by Yr'!$B193,'Parking Lots &amp; Playgrounds'!$A$9:$N$33,I$6,0))+IF(ISNA(VLOOKUP($B193,Vehicles!$B$9:$O$50,I$6,0)),0,VLOOKUP($B193,Vehicles!$B$9:$O$50,I$6,0))</f>
        <v>25625</v>
      </c>
      <c r="H193" s="50"/>
      <c r="I193" s="49">
        <f t="shared" si="20"/>
        <v>0</v>
      </c>
      <c r="J193" s="49">
        <f t="shared" si="17"/>
        <v>0</v>
      </c>
      <c r="K193" s="49">
        <f t="shared" si="18"/>
        <v>0</v>
      </c>
      <c r="L193" s="52" t="s">
        <v>289</v>
      </c>
    </row>
    <row r="194" spans="1:12" x14ac:dyDescent="0.25">
      <c r="B194" s="40" t="s">
        <v>139</v>
      </c>
      <c r="C194" s="40" t="s">
        <v>49</v>
      </c>
      <c r="D194" s="40" t="s">
        <v>272</v>
      </c>
      <c r="E194" s="43" t="s">
        <v>16</v>
      </c>
      <c r="G194" s="49">
        <f>IF(ISNA(VLOOKUP($B194,'Other Capital Needs'!$C$51:$P$95,I$6,0)),0,VLOOKUP($B194,'Other Capital Needs'!$C$51:$P$95,I$6,0))+IF(ISNA(VLOOKUP('Project Details by Yr'!$B194,'Public Grounds'!$A$11:$N$49,I$6,0)),0,VLOOKUP('Project Details by Yr'!$B194,'Public Grounds'!$A$11:$N$49,I$6,0))+IF(ISNA(VLOOKUP('Project Details by Yr'!$B194,'Public Buildings'!$A$10:$N$96,I$6,0)),0,VLOOKUP('Project Details by Yr'!$B194,'Public Buildings'!$A$10:$N$96,I$6,0))+IF(ISNA(VLOOKUP('Project Details by Yr'!$B194,Bridges!$A$9:$N$24,I$6,0)),0,VLOOKUP('Project Details by Yr'!$B194,Bridges!$A$9:$N$24,I$6,0))+IF(ISNA(VLOOKUP('Project Details by Yr'!$B194,'Parking Lots &amp; Playgrounds'!$A$9:$N$33,I$6,0)),0,VLOOKUP('Project Details by Yr'!$B194,'Parking Lots &amp; Playgrounds'!$A$9:$N$33,I$6,0))+IF(ISNA(VLOOKUP($B194,Vehicles!$B$9:$O$50,I$6,0)),0,VLOOKUP($B194,Vehicles!$B$9:$O$50,I$6,0))</f>
        <v>98655</v>
      </c>
      <c r="H194" s="50">
        <v>1</v>
      </c>
      <c r="I194" s="49">
        <f t="shared" si="20"/>
        <v>0</v>
      </c>
      <c r="J194" s="49">
        <f t="shared" si="17"/>
        <v>98655</v>
      </c>
      <c r="K194" s="49">
        <f t="shared" si="18"/>
        <v>0</v>
      </c>
    </row>
    <row r="195" spans="1:12" x14ac:dyDescent="0.25">
      <c r="E195" s="43"/>
      <c r="G195" s="49"/>
      <c r="H195" s="65"/>
      <c r="J195" s="62"/>
      <c r="K195" s="62"/>
    </row>
    <row r="196" spans="1:12" x14ac:dyDescent="0.25">
      <c r="B196" s="40" t="s">
        <v>273</v>
      </c>
      <c r="C196" s="40" t="s">
        <v>250</v>
      </c>
      <c r="D196" s="40" t="s">
        <v>271</v>
      </c>
      <c r="E196" s="43" t="s">
        <v>19</v>
      </c>
      <c r="G196" s="49">
        <f>Summary!G41</f>
        <v>0</v>
      </c>
      <c r="H196" s="65">
        <v>1</v>
      </c>
      <c r="I196" s="49">
        <f t="shared" si="20"/>
        <v>0</v>
      </c>
      <c r="J196" s="49">
        <f t="shared" si="17"/>
        <v>0</v>
      </c>
      <c r="K196" s="49">
        <f t="shared" si="18"/>
        <v>0</v>
      </c>
    </row>
    <row r="197" spans="1:12" x14ac:dyDescent="0.25">
      <c r="B197" s="40" t="s">
        <v>205</v>
      </c>
      <c r="C197" s="40" t="s">
        <v>48</v>
      </c>
      <c r="D197" s="40" t="s">
        <v>271</v>
      </c>
      <c r="E197" s="43" t="s">
        <v>16</v>
      </c>
      <c r="G197" s="49">
        <f>IF(ISNA(VLOOKUP($B197,'Other Capital Needs'!$C$51:$P$95,I$6,0)),0,VLOOKUP($B197,'Other Capital Needs'!$C$51:$P$95,I$6,0))+IF(ISNA(VLOOKUP('Project Details by Yr'!$B197,'Public Grounds'!$A$11:$N$49,I$6,0)),0,VLOOKUP('Project Details by Yr'!$B197,'Public Grounds'!$A$11:$N$49,I$6,0))+IF(ISNA(VLOOKUP('Project Details by Yr'!$B197,'Public Buildings'!$A$10:$N$96,I$6,0)),0,VLOOKUP('Project Details by Yr'!$B197,'Public Buildings'!$A$10:$N$96,I$6,0))+IF(ISNA(VLOOKUP('Project Details by Yr'!$B197,Bridges!$A$9:$N$24,I$6,0)),0,VLOOKUP('Project Details by Yr'!$B197,Bridges!$A$9:$N$24,I$6,0))+IF(ISNA(VLOOKUP('Project Details by Yr'!$B197,'Parking Lots &amp; Playgrounds'!$A$9:$N$33,I$6,0)),0,VLOOKUP('Project Details by Yr'!$B197,'Parking Lots &amp; Playgrounds'!$A$9:$N$33,I$6,0))+IF(ISNA(VLOOKUP($B197,Vehicles!$B$9:$O$50,I$6,0)),0,VLOOKUP($B197,Vehicles!$B$9:$O$50,I$6,0))</f>
        <v>500000</v>
      </c>
      <c r="H197" s="65">
        <v>1</v>
      </c>
      <c r="I197" s="49">
        <f t="shared" si="20"/>
        <v>0</v>
      </c>
      <c r="J197" s="49">
        <f t="shared" si="17"/>
        <v>500000</v>
      </c>
      <c r="K197" s="49">
        <f t="shared" si="18"/>
        <v>0</v>
      </c>
    </row>
    <row r="198" spans="1:12" x14ac:dyDescent="0.25">
      <c r="E198" s="43"/>
      <c r="G198" s="49"/>
      <c r="H198" s="65"/>
      <c r="J198" s="62"/>
      <c r="K198" s="62"/>
    </row>
    <row r="199" spans="1:12" ht="15.75" thickBot="1" x14ac:dyDescent="0.3">
      <c r="G199" s="58">
        <f>SUM(G147:G198)</f>
        <v>4027616</v>
      </c>
      <c r="H199" s="59">
        <f t="shared" ref="H199:K199" si="23">SUM(H147:H198)</f>
        <v>37</v>
      </c>
      <c r="I199" s="58">
        <f t="shared" si="23"/>
        <v>800000</v>
      </c>
      <c r="J199" s="58">
        <f t="shared" si="23"/>
        <v>2540046</v>
      </c>
      <c r="K199" s="58">
        <f t="shared" si="23"/>
        <v>120000</v>
      </c>
    </row>
    <row r="200" spans="1:12" ht="15.75" thickTop="1" x14ac:dyDescent="0.25">
      <c r="G200" s="60" t="e">
        <f>G199-Summary!G96</f>
        <v>#REF!</v>
      </c>
      <c r="H200" s="66"/>
      <c r="J200" s="63"/>
      <c r="K200" s="63"/>
    </row>
    <row r="203" spans="1:12" x14ac:dyDescent="0.25">
      <c r="B203" s="46" t="s">
        <v>274</v>
      </c>
      <c r="C203" s="46" t="s">
        <v>246</v>
      </c>
      <c r="D203" s="46" t="s">
        <v>275</v>
      </c>
      <c r="E203" s="46" t="s">
        <v>270</v>
      </c>
      <c r="G203" s="46" t="s">
        <v>6</v>
      </c>
      <c r="H203" s="47" t="s">
        <v>284</v>
      </c>
      <c r="I203" s="46" t="s">
        <v>19</v>
      </c>
      <c r="J203" s="46" t="s">
        <v>16</v>
      </c>
      <c r="K203" s="46" t="s">
        <v>285</v>
      </c>
    </row>
    <row r="204" spans="1:12" x14ac:dyDescent="0.25">
      <c r="E204" s="43"/>
      <c r="H204" s="66"/>
      <c r="I204" s="61"/>
      <c r="K204" s="61"/>
    </row>
    <row r="205" spans="1:12" x14ac:dyDescent="0.25">
      <c r="A205" s="48" t="s">
        <v>210</v>
      </c>
      <c r="B205" s="40" t="s">
        <v>204</v>
      </c>
      <c r="C205" s="40" t="s">
        <v>101</v>
      </c>
      <c r="D205" s="40" t="s">
        <v>271</v>
      </c>
      <c r="E205" s="43" t="s">
        <v>16</v>
      </c>
      <c r="G205" s="49">
        <f>IF(ISNA(VLOOKUP($B205,'Other Capital Needs'!$C$51:$P$95,J$6,0)),0,VLOOKUP($B205,'Other Capital Needs'!$C$51:$P$95,J$6,0))+IF(ISNA(VLOOKUP('Project Details by Yr'!$B205,'Public Grounds'!$A$11:$N$49,J$6,0)),0,VLOOKUP('Project Details by Yr'!$B205,'Public Grounds'!$A$11:$N$49,J$6,0))+IF(ISNA(VLOOKUP('Project Details by Yr'!$B205,'Public Buildings'!$A$10:$N$96,J$6,0)),0,VLOOKUP('Project Details by Yr'!$B205,'Public Buildings'!$A$10:$N$96,J$6,0))+IF(ISNA(VLOOKUP('Project Details by Yr'!$B205,Bridges!$A$9:$N$24,J$6,0)),0,VLOOKUP('Project Details by Yr'!$B205,Bridges!$A$9:$N$24,J$6,0))+IF(ISNA(VLOOKUP('Project Details by Yr'!$B205,'Parking Lots &amp; Playgrounds'!$A$9:$N$33,J$6,0)),0,VLOOKUP('Project Details by Yr'!$B205,'Parking Lots &amp; Playgrounds'!$A$9:$N$33,J$6,0))+IF(ISNA(VLOOKUP($B205,Vehicles!$B$9:$O$50,J$6,0)),0,VLOOKUP($B205,Vehicles!$B$9:$O$50,J$6,0))</f>
        <v>46500</v>
      </c>
      <c r="H205" s="65">
        <v>1</v>
      </c>
      <c r="I205" s="49">
        <f t="shared" ref="I205:I251" si="24">IF($H205=1,IF($E205="Bond",$G205,IF(E205="BAN",$G205,0)),0)</f>
        <v>0</v>
      </c>
      <c r="J205" s="49">
        <f t="shared" ref="J205:J251" si="25">IF($H205=1,IF($E205="GF",$G205,0),0)</f>
        <v>46500</v>
      </c>
      <c r="K205" s="49">
        <f t="shared" ref="K205:K251" si="26">IF($H205=1,IF($E205="Grant",$G205,0),0)</f>
        <v>0</v>
      </c>
    </row>
    <row r="206" spans="1:12" x14ac:dyDescent="0.25">
      <c r="A206" s="48">
        <v>14</v>
      </c>
      <c r="B206" s="40" t="s">
        <v>145</v>
      </c>
      <c r="C206" s="40" t="s">
        <v>101</v>
      </c>
      <c r="D206" s="40" t="s">
        <v>271</v>
      </c>
      <c r="E206" s="43" t="s">
        <v>16</v>
      </c>
      <c r="G206" s="49">
        <f>IF(ISNA(VLOOKUP($B206,'Other Capital Needs'!$C$51:$P$95,J$6,0)),0,VLOOKUP($B206,'Other Capital Needs'!$C$51:$P$95,J$6,0))+IF(ISNA(VLOOKUP('Project Details by Yr'!$B206,'Public Grounds'!$A$11:$N$49,J$6,0)),0,VLOOKUP('Project Details by Yr'!$B206,'Public Grounds'!$A$11:$N$49,J$6,0))+IF(ISNA(VLOOKUP('Project Details by Yr'!$B206,'Public Buildings'!$A$10:$N$96,J$6,0)),0,VLOOKUP('Project Details by Yr'!$B206,'Public Buildings'!$A$10:$N$96,J$6,0))+IF(ISNA(VLOOKUP('Project Details by Yr'!$B206,Bridges!$A$9:$N$24,J$6,0)),0,VLOOKUP('Project Details by Yr'!$B206,Bridges!$A$9:$N$24,J$6,0))+IF(ISNA(VLOOKUP('Project Details by Yr'!$B206,'Parking Lots &amp; Playgrounds'!$A$9:$N$33,J$6,0)),0,VLOOKUP('Project Details by Yr'!$B206,'Parking Lots &amp; Playgrounds'!$A$9:$N$33,J$6,0))+IF(ISNA(VLOOKUP($B206,Vehicles!$B$9:$O$50,J$6,0)),0,VLOOKUP($B206,Vehicles!$B$9:$O$50,J$6,0))</f>
        <v>0</v>
      </c>
      <c r="H206" s="65"/>
      <c r="I206" s="49">
        <f t="shared" si="24"/>
        <v>0</v>
      </c>
      <c r="J206" s="49">
        <f t="shared" si="25"/>
        <v>0</v>
      </c>
      <c r="K206" s="49">
        <f t="shared" si="26"/>
        <v>0</v>
      </c>
      <c r="L206" s="52" t="s">
        <v>289</v>
      </c>
    </row>
    <row r="207" spans="1:12" x14ac:dyDescent="0.25">
      <c r="A207" s="48">
        <v>32</v>
      </c>
      <c r="B207" s="40" t="s">
        <v>159</v>
      </c>
      <c r="C207" s="40" t="s">
        <v>101</v>
      </c>
      <c r="D207" s="40" t="s">
        <v>271</v>
      </c>
      <c r="E207" s="43" t="s">
        <v>16</v>
      </c>
      <c r="G207" s="49">
        <f>IF(ISNA(VLOOKUP($B207,'Other Capital Needs'!$C$51:$P$95,J$6,0)),0,VLOOKUP($B207,'Other Capital Needs'!$C$51:$P$95,J$6,0))+IF(ISNA(VLOOKUP('Project Details by Yr'!$B207,'Public Grounds'!$A$11:$N$49,J$6,0)),0,VLOOKUP('Project Details by Yr'!$B207,'Public Grounds'!$A$11:$N$49,J$6,0))+IF(ISNA(VLOOKUP('Project Details by Yr'!$B207,'Public Buildings'!$A$10:$N$96,J$6,0)),0,VLOOKUP('Project Details by Yr'!$B207,'Public Buildings'!$A$10:$N$96,J$6,0))+IF(ISNA(VLOOKUP('Project Details by Yr'!$B207,Bridges!$A$9:$N$24,J$6,0)),0,VLOOKUP('Project Details by Yr'!$B207,Bridges!$A$9:$N$24,J$6,0))+IF(ISNA(VLOOKUP('Project Details by Yr'!$B207,'Parking Lots &amp; Playgrounds'!$A$9:$N$33,J$6,0)),0,VLOOKUP('Project Details by Yr'!$B207,'Parking Lots &amp; Playgrounds'!$A$9:$N$33,J$6,0))+IF(ISNA(VLOOKUP($B207,Vehicles!$B$9:$O$50,J$6,0)),0,VLOOKUP($B207,Vehicles!$B$9:$O$50,J$6,0))</f>
        <v>0</v>
      </c>
      <c r="H207" s="65"/>
      <c r="I207" s="49">
        <f t="shared" si="24"/>
        <v>0</v>
      </c>
      <c r="J207" s="49">
        <f t="shared" si="25"/>
        <v>0</v>
      </c>
      <c r="K207" s="49">
        <f t="shared" si="26"/>
        <v>0</v>
      </c>
      <c r="L207" s="52" t="s">
        <v>289</v>
      </c>
    </row>
    <row r="208" spans="1:12" x14ac:dyDescent="0.25">
      <c r="A208" s="48">
        <v>32</v>
      </c>
      <c r="B208" s="40" t="s">
        <v>163</v>
      </c>
      <c r="C208" s="40" t="s">
        <v>101</v>
      </c>
      <c r="D208" s="40" t="s">
        <v>271</v>
      </c>
      <c r="E208" s="43" t="s">
        <v>16</v>
      </c>
      <c r="G208" s="49">
        <f>IF(ISNA(VLOOKUP($B208,'Other Capital Needs'!$C$51:$P$95,J$6,0)),0,VLOOKUP($B208,'Other Capital Needs'!$C$51:$P$95,J$6,0))+IF(ISNA(VLOOKUP('Project Details by Yr'!$B208,'Public Grounds'!$A$11:$N$49,J$6,0)),0,VLOOKUP('Project Details by Yr'!$B208,'Public Grounds'!$A$11:$N$49,J$6,0))+IF(ISNA(VLOOKUP('Project Details by Yr'!$B208,'Public Buildings'!$A$10:$N$96,J$6,0)),0,VLOOKUP('Project Details by Yr'!$B208,'Public Buildings'!$A$10:$N$96,J$6,0))+IF(ISNA(VLOOKUP('Project Details by Yr'!$B208,Bridges!$A$9:$N$24,J$6,0)),0,VLOOKUP('Project Details by Yr'!$B208,Bridges!$A$9:$N$24,J$6,0))+IF(ISNA(VLOOKUP('Project Details by Yr'!$B208,'Parking Lots &amp; Playgrounds'!$A$9:$N$33,J$6,0)),0,VLOOKUP('Project Details by Yr'!$B208,'Parking Lots &amp; Playgrounds'!$A$9:$N$33,J$6,0))+IF(ISNA(VLOOKUP($B208,Vehicles!$B$9:$O$50,J$6,0)),0,VLOOKUP($B208,Vehicles!$B$9:$O$50,J$6,0))</f>
        <v>0</v>
      </c>
      <c r="H208" s="65">
        <v>1</v>
      </c>
      <c r="I208" s="49">
        <f t="shared" si="24"/>
        <v>0</v>
      </c>
      <c r="J208" s="49">
        <f t="shared" si="25"/>
        <v>0</v>
      </c>
      <c r="K208" s="49">
        <f t="shared" si="26"/>
        <v>0</v>
      </c>
    </row>
    <row r="209" spans="1:12" x14ac:dyDescent="0.25">
      <c r="A209" s="48">
        <v>32</v>
      </c>
      <c r="B209" s="54" t="s">
        <v>165</v>
      </c>
      <c r="C209" s="40" t="s">
        <v>101</v>
      </c>
      <c r="D209" s="40" t="s">
        <v>271</v>
      </c>
      <c r="E209" s="53" t="s">
        <v>16</v>
      </c>
      <c r="G209" s="49">
        <f>IF(ISNA(VLOOKUP($B209,'Other Capital Needs'!$C$51:$P$95,J$6,0)),0,VLOOKUP($B209,'Other Capital Needs'!$C$51:$P$95,J$6,0))+IF(ISNA(VLOOKUP('Project Details by Yr'!$B209,'Public Grounds'!$A$11:$N$49,J$6,0)),0,VLOOKUP('Project Details by Yr'!$B209,'Public Grounds'!$A$11:$N$49,J$6,0))+IF(ISNA(VLOOKUP('Project Details by Yr'!$B209,'Public Buildings'!$A$10:$N$96,J$6,0)),0,VLOOKUP('Project Details by Yr'!$B209,'Public Buildings'!$A$10:$N$96,J$6,0))+IF(ISNA(VLOOKUP('Project Details by Yr'!$B209,Bridges!$A$9:$N$24,J$6,0)),0,VLOOKUP('Project Details by Yr'!$B209,Bridges!$A$9:$N$24,J$6,0))+IF(ISNA(VLOOKUP('Project Details by Yr'!$B209,'Parking Lots &amp; Playgrounds'!$A$9:$N$33,J$6,0)),0,VLOOKUP('Project Details by Yr'!$B209,'Parking Lots &amp; Playgrounds'!$A$9:$N$33,J$6,0))+IF(ISNA(VLOOKUP($B209,Vehicles!$B$9:$O$50,J$6,0)),0,VLOOKUP($B209,Vehicles!$B$9:$O$50,J$6,0))</f>
        <v>0</v>
      </c>
      <c r="H209" s="65">
        <v>1</v>
      </c>
      <c r="I209" s="49">
        <f t="shared" si="24"/>
        <v>0</v>
      </c>
      <c r="J209" s="49">
        <f t="shared" si="25"/>
        <v>0</v>
      </c>
      <c r="K209" s="49">
        <f t="shared" si="26"/>
        <v>0</v>
      </c>
    </row>
    <row r="210" spans="1:12" x14ac:dyDescent="0.25">
      <c r="A210" s="48">
        <v>32</v>
      </c>
      <c r="B210" s="54" t="s">
        <v>168</v>
      </c>
      <c r="C210" s="40" t="s">
        <v>101</v>
      </c>
      <c r="D210" s="40" t="s">
        <v>271</v>
      </c>
      <c r="E210" s="53" t="s">
        <v>16</v>
      </c>
      <c r="G210" s="49">
        <f>IF(ISNA(VLOOKUP($B210,'Other Capital Needs'!$C$51:$P$95,J$6,0)),0,VLOOKUP($B210,'Other Capital Needs'!$C$51:$P$95,J$6,0))+IF(ISNA(VLOOKUP('Project Details by Yr'!$B210,'Public Grounds'!$A$11:$N$49,J$6,0)),0,VLOOKUP('Project Details by Yr'!$B210,'Public Grounds'!$A$11:$N$49,J$6,0))+IF(ISNA(VLOOKUP('Project Details by Yr'!$B210,'Public Buildings'!$A$10:$N$96,J$6,0)),0,VLOOKUP('Project Details by Yr'!$B210,'Public Buildings'!$A$10:$N$96,J$6,0))+IF(ISNA(VLOOKUP('Project Details by Yr'!$B210,Bridges!$A$9:$N$24,J$6,0)),0,VLOOKUP('Project Details by Yr'!$B210,Bridges!$A$9:$N$24,J$6,0))+IF(ISNA(VLOOKUP('Project Details by Yr'!$B210,'Parking Lots &amp; Playgrounds'!$A$9:$N$33,J$6,0)),0,VLOOKUP('Project Details by Yr'!$B210,'Parking Lots &amp; Playgrounds'!$A$9:$N$33,J$6,0))+IF(ISNA(VLOOKUP($B210,Vehicles!$B$9:$O$50,J$6,0)),0,VLOOKUP($B210,Vehicles!$B$9:$O$50,J$6,0))</f>
        <v>0</v>
      </c>
      <c r="H210" s="65">
        <v>1</v>
      </c>
      <c r="I210" s="49">
        <f t="shared" si="24"/>
        <v>0</v>
      </c>
      <c r="J210" s="49">
        <f t="shared" si="25"/>
        <v>0</v>
      </c>
      <c r="K210" s="49">
        <f t="shared" si="26"/>
        <v>0</v>
      </c>
    </row>
    <row r="211" spans="1:12" x14ac:dyDescent="0.25">
      <c r="A211" s="48">
        <v>32</v>
      </c>
      <c r="B211" s="54" t="s">
        <v>169</v>
      </c>
      <c r="C211" s="40" t="s">
        <v>101</v>
      </c>
      <c r="D211" s="40" t="s">
        <v>271</v>
      </c>
      <c r="E211" s="53" t="s">
        <v>16</v>
      </c>
      <c r="G211" s="49">
        <f>IF(ISNA(VLOOKUP($B211,'Other Capital Needs'!$C$51:$P$95,J$6,0)),0,VLOOKUP($B211,'Other Capital Needs'!$C$51:$P$95,J$6,0))+IF(ISNA(VLOOKUP('Project Details by Yr'!$B211,'Public Grounds'!$A$11:$N$49,J$6,0)),0,VLOOKUP('Project Details by Yr'!$B211,'Public Grounds'!$A$11:$N$49,J$6,0))+IF(ISNA(VLOOKUP('Project Details by Yr'!$B211,'Public Buildings'!$A$10:$N$96,J$6,0)),0,VLOOKUP('Project Details by Yr'!$B211,'Public Buildings'!$A$10:$N$96,J$6,0))+IF(ISNA(VLOOKUP('Project Details by Yr'!$B211,Bridges!$A$9:$N$24,J$6,0)),0,VLOOKUP('Project Details by Yr'!$B211,Bridges!$A$9:$N$24,J$6,0))+IF(ISNA(VLOOKUP('Project Details by Yr'!$B211,'Parking Lots &amp; Playgrounds'!$A$9:$N$33,J$6,0)),0,VLOOKUP('Project Details by Yr'!$B211,'Parking Lots &amp; Playgrounds'!$A$9:$N$33,J$6,0))+IF(ISNA(VLOOKUP($B211,Vehicles!$B$9:$O$50,J$6,0)),0,VLOOKUP($B211,Vehicles!$B$9:$O$50,J$6,0))</f>
        <v>0</v>
      </c>
      <c r="H211" s="65">
        <v>1</v>
      </c>
      <c r="I211" s="49">
        <f t="shared" si="24"/>
        <v>0</v>
      </c>
      <c r="J211" s="49">
        <f t="shared" si="25"/>
        <v>0</v>
      </c>
      <c r="K211" s="49">
        <f t="shared" si="26"/>
        <v>0</v>
      </c>
    </row>
    <row r="212" spans="1:12" x14ac:dyDescent="0.25">
      <c r="A212" s="48">
        <v>32</v>
      </c>
      <c r="B212" s="54" t="s">
        <v>170</v>
      </c>
      <c r="C212" s="40" t="s">
        <v>101</v>
      </c>
      <c r="D212" s="40" t="s">
        <v>271</v>
      </c>
      <c r="E212" s="53" t="s">
        <v>16</v>
      </c>
      <c r="G212" s="49">
        <f>IF(ISNA(VLOOKUP($B212,'Other Capital Needs'!$C$51:$P$95,J$6,0)),0,VLOOKUP($B212,'Other Capital Needs'!$C$51:$P$95,J$6,0))+IF(ISNA(VLOOKUP('Project Details by Yr'!$B212,'Public Grounds'!$A$11:$N$49,J$6,0)),0,VLOOKUP('Project Details by Yr'!$B212,'Public Grounds'!$A$11:$N$49,J$6,0))+IF(ISNA(VLOOKUP('Project Details by Yr'!$B212,'Public Buildings'!$A$10:$N$96,J$6,0)),0,VLOOKUP('Project Details by Yr'!$B212,'Public Buildings'!$A$10:$N$96,J$6,0))+IF(ISNA(VLOOKUP('Project Details by Yr'!$B212,Bridges!$A$9:$N$24,J$6,0)),0,VLOOKUP('Project Details by Yr'!$B212,Bridges!$A$9:$N$24,J$6,0))+IF(ISNA(VLOOKUP('Project Details by Yr'!$B212,'Parking Lots &amp; Playgrounds'!$A$9:$N$33,J$6,0)),0,VLOOKUP('Project Details by Yr'!$B212,'Parking Lots &amp; Playgrounds'!$A$9:$N$33,J$6,0))+IF(ISNA(VLOOKUP($B212,Vehicles!$B$9:$O$50,J$6,0)),0,VLOOKUP($B212,Vehicles!$B$9:$O$50,J$6,0))</f>
        <v>85000</v>
      </c>
      <c r="H212" s="65">
        <v>1</v>
      </c>
      <c r="I212" s="49">
        <f t="shared" si="24"/>
        <v>0</v>
      </c>
      <c r="J212" s="49">
        <f t="shared" si="25"/>
        <v>85000</v>
      </c>
      <c r="K212" s="49">
        <f t="shared" si="26"/>
        <v>0</v>
      </c>
    </row>
    <row r="213" spans="1:12" x14ac:dyDescent="0.25">
      <c r="A213" s="48">
        <v>36</v>
      </c>
      <c r="B213" s="54" t="s">
        <v>177</v>
      </c>
      <c r="C213" s="54" t="s">
        <v>101</v>
      </c>
      <c r="D213" s="54" t="s">
        <v>271</v>
      </c>
      <c r="E213" s="53" t="s">
        <v>16</v>
      </c>
      <c r="F213" s="54"/>
      <c r="G213" s="49">
        <f>IF(ISNA(VLOOKUP($B213,'Other Capital Needs'!$C$51:$P$95,J$6,0)),0,VLOOKUP($B213,'Other Capital Needs'!$C$51:$P$95,J$6,0))+IF(ISNA(VLOOKUP('Project Details by Yr'!$B213,'Public Grounds'!$A$11:$N$49,J$6,0)),0,VLOOKUP('Project Details by Yr'!$B213,'Public Grounds'!$A$11:$N$49,J$6,0))+IF(ISNA(VLOOKUP('Project Details by Yr'!$B213,'Public Buildings'!$A$10:$N$96,J$6,0)),0,VLOOKUP('Project Details by Yr'!$B213,'Public Buildings'!$A$10:$N$96,J$6,0))+IF(ISNA(VLOOKUP('Project Details by Yr'!$B213,Bridges!$A$9:$N$24,J$6,0)),0,VLOOKUP('Project Details by Yr'!$B213,Bridges!$A$9:$N$24,J$6,0))+IF(ISNA(VLOOKUP('Project Details by Yr'!$B213,'Parking Lots &amp; Playgrounds'!$A$9:$N$33,J$6,0)),0,VLOOKUP('Project Details by Yr'!$B213,'Parking Lots &amp; Playgrounds'!$A$9:$N$33,J$6,0))+IF(ISNA(VLOOKUP($B213,Vehicles!$B$9:$O$50,J$6,0)),0,VLOOKUP($B213,Vehicles!$B$9:$O$50,J$6,0))</f>
        <v>0</v>
      </c>
      <c r="H213" s="65">
        <v>1</v>
      </c>
      <c r="I213" s="49">
        <f t="shared" si="24"/>
        <v>0</v>
      </c>
      <c r="J213" s="49">
        <f t="shared" si="25"/>
        <v>0</v>
      </c>
      <c r="K213" s="49">
        <f t="shared" si="26"/>
        <v>0</v>
      </c>
    </row>
    <row r="214" spans="1:12" x14ac:dyDescent="0.25">
      <c r="A214" s="48">
        <v>36</v>
      </c>
      <c r="B214" s="54" t="s">
        <v>179</v>
      </c>
      <c r="C214" s="54" t="s">
        <v>101</v>
      </c>
      <c r="D214" s="54" t="s">
        <v>271</v>
      </c>
      <c r="E214" s="53" t="s">
        <v>285</v>
      </c>
      <c r="F214" s="54"/>
      <c r="G214" s="49">
        <f>IF(ISNA(VLOOKUP($B214,'Other Capital Needs'!$C$51:$P$95,J$6,0)),0,VLOOKUP($B214,'Other Capital Needs'!$C$51:$P$95,J$6,0))+IF(ISNA(VLOOKUP('Project Details by Yr'!$B214,'Public Grounds'!$A$11:$N$49,J$6,0)),0,VLOOKUP('Project Details by Yr'!$B214,'Public Grounds'!$A$11:$N$49,J$6,0))+IF(ISNA(VLOOKUP('Project Details by Yr'!$B214,'Public Buildings'!$A$10:$N$96,J$6,0)),0,VLOOKUP('Project Details by Yr'!$B214,'Public Buildings'!$A$10:$N$96,J$6,0))+IF(ISNA(VLOOKUP('Project Details by Yr'!$B214,Bridges!$A$9:$N$24,J$6,0)),0,VLOOKUP('Project Details by Yr'!$B214,Bridges!$A$9:$N$24,J$6,0))+IF(ISNA(VLOOKUP('Project Details by Yr'!$B214,'Parking Lots &amp; Playgrounds'!$A$9:$N$33,J$6,0)),0,VLOOKUP('Project Details by Yr'!$B214,'Parking Lots &amp; Playgrounds'!$A$9:$N$33,J$6,0))+IF(ISNA(VLOOKUP($B214,Vehicles!$B$9:$O$50,J$6,0)),0,VLOOKUP($B214,Vehicles!$B$9:$O$50,J$6,0))</f>
        <v>120000</v>
      </c>
      <c r="H214" s="65">
        <v>1</v>
      </c>
      <c r="I214" s="49">
        <f t="shared" si="24"/>
        <v>0</v>
      </c>
      <c r="J214" s="49">
        <f t="shared" si="25"/>
        <v>0</v>
      </c>
      <c r="K214" s="49">
        <f t="shared" si="26"/>
        <v>120000</v>
      </c>
    </row>
    <row r="215" spans="1:12" x14ac:dyDescent="0.25">
      <c r="A215" s="48">
        <v>36</v>
      </c>
      <c r="B215" s="54" t="s">
        <v>180</v>
      </c>
      <c r="C215" s="54" t="s">
        <v>101</v>
      </c>
      <c r="D215" s="54" t="s">
        <v>271</v>
      </c>
      <c r="E215" s="53" t="s">
        <v>16</v>
      </c>
      <c r="F215" s="54"/>
      <c r="G215" s="49">
        <f>IF(ISNA(VLOOKUP($B215,'Other Capital Needs'!$C$51:$P$95,J$6,0)),0,VLOOKUP($B215,'Other Capital Needs'!$C$51:$P$95,J$6,0))+IF(ISNA(VLOOKUP('Project Details by Yr'!$B215,'Public Grounds'!$A$11:$N$49,J$6,0)),0,VLOOKUP('Project Details by Yr'!$B215,'Public Grounds'!$A$11:$N$49,J$6,0))+IF(ISNA(VLOOKUP('Project Details by Yr'!$B215,'Public Buildings'!$A$10:$N$96,J$6,0)),0,VLOOKUP('Project Details by Yr'!$B215,'Public Buildings'!$A$10:$N$96,J$6,0))+IF(ISNA(VLOOKUP('Project Details by Yr'!$B215,Bridges!$A$9:$N$24,J$6,0)),0,VLOOKUP('Project Details by Yr'!$B215,Bridges!$A$9:$N$24,J$6,0))+IF(ISNA(VLOOKUP('Project Details by Yr'!$B215,'Parking Lots &amp; Playgrounds'!$A$9:$N$33,J$6,0)),0,VLOOKUP('Project Details by Yr'!$B215,'Parking Lots &amp; Playgrounds'!$A$9:$N$33,J$6,0))+IF(ISNA(VLOOKUP($B215,Vehicles!$B$9:$O$50,J$6,0)),0,VLOOKUP($B215,Vehicles!$B$9:$O$50,J$6,0))</f>
        <v>0</v>
      </c>
      <c r="H215" s="65">
        <v>1</v>
      </c>
      <c r="I215" s="49">
        <f t="shared" si="24"/>
        <v>0</v>
      </c>
      <c r="J215" s="49">
        <f t="shared" si="25"/>
        <v>0</v>
      </c>
      <c r="K215" s="49">
        <f t="shared" si="26"/>
        <v>0</v>
      </c>
    </row>
    <row r="216" spans="1:12" x14ac:dyDescent="0.25">
      <c r="A216" s="48">
        <v>43</v>
      </c>
      <c r="B216" s="40" t="s">
        <v>185</v>
      </c>
      <c r="C216" s="40" t="s">
        <v>101</v>
      </c>
      <c r="D216" s="40" t="s">
        <v>271</v>
      </c>
      <c r="E216" s="43" t="s">
        <v>16</v>
      </c>
      <c r="G216" s="49">
        <f>IF(ISNA(VLOOKUP($B216,'Other Capital Needs'!$C$51:$P$95,J$6,0)),0,VLOOKUP($B216,'Other Capital Needs'!$C$51:$P$95,J$6,0))+IF(ISNA(VLOOKUP('Project Details by Yr'!$B216,'Public Grounds'!$A$11:$N$49,J$6,0)),0,VLOOKUP('Project Details by Yr'!$B216,'Public Grounds'!$A$11:$N$49,J$6,0))+IF(ISNA(VLOOKUP('Project Details by Yr'!$B216,'Public Buildings'!$A$10:$N$96,J$6,0)),0,VLOOKUP('Project Details by Yr'!$B216,'Public Buildings'!$A$10:$N$96,J$6,0))+IF(ISNA(VLOOKUP('Project Details by Yr'!$B216,Bridges!$A$9:$N$24,J$6,0)),0,VLOOKUP('Project Details by Yr'!$B216,Bridges!$A$9:$N$24,J$6,0))+IF(ISNA(VLOOKUP('Project Details by Yr'!$B216,'Parking Lots &amp; Playgrounds'!$A$9:$N$33,J$6,0)),0,VLOOKUP('Project Details by Yr'!$B216,'Parking Lots &amp; Playgrounds'!$A$9:$N$33,J$6,0))+IF(ISNA(VLOOKUP($B216,Vehicles!$B$9:$O$50,J$6,0)),0,VLOOKUP($B216,Vehicles!$B$9:$O$50,J$6,0))</f>
        <v>0</v>
      </c>
      <c r="H216" s="65"/>
      <c r="I216" s="49">
        <f t="shared" si="24"/>
        <v>0</v>
      </c>
      <c r="J216" s="49">
        <f t="shared" si="25"/>
        <v>0</v>
      </c>
      <c r="K216" s="49">
        <f t="shared" si="26"/>
        <v>0</v>
      </c>
      <c r="L216" s="52" t="s">
        <v>293</v>
      </c>
    </row>
    <row r="217" spans="1:12" x14ac:dyDescent="0.25">
      <c r="A217" s="48">
        <v>43</v>
      </c>
      <c r="B217" s="40" t="s">
        <v>186</v>
      </c>
      <c r="C217" s="40" t="s">
        <v>101</v>
      </c>
      <c r="D217" s="40" t="s">
        <v>271</v>
      </c>
      <c r="E217" s="43" t="s">
        <v>16</v>
      </c>
      <c r="G217" s="49">
        <f>IF(ISNA(VLOOKUP($B217,'Other Capital Needs'!$C$51:$P$95,J$6,0)),0,VLOOKUP($B217,'Other Capital Needs'!$C$51:$P$95,J$6,0))+IF(ISNA(VLOOKUP('Project Details by Yr'!$B217,'Public Grounds'!$A$11:$N$49,J$6,0)),0,VLOOKUP('Project Details by Yr'!$B217,'Public Grounds'!$A$11:$N$49,J$6,0))+IF(ISNA(VLOOKUP('Project Details by Yr'!$B217,'Public Buildings'!$A$10:$N$96,J$6,0)),0,VLOOKUP('Project Details by Yr'!$B217,'Public Buildings'!$A$10:$N$96,J$6,0))+IF(ISNA(VLOOKUP('Project Details by Yr'!$B217,Bridges!$A$9:$N$24,J$6,0)),0,VLOOKUP('Project Details by Yr'!$B217,Bridges!$A$9:$N$24,J$6,0))+IF(ISNA(VLOOKUP('Project Details by Yr'!$B217,'Parking Lots &amp; Playgrounds'!$A$9:$N$33,J$6,0)),0,VLOOKUP('Project Details by Yr'!$B217,'Parking Lots &amp; Playgrounds'!$A$9:$N$33,J$6,0))+IF(ISNA(VLOOKUP($B217,Vehicles!$B$9:$O$50,J$6,0)),0,VLOOKUP($B217,Vehicles!$B$9:$O$50,J$6,0))</f>
        <v>0</v>
      </c>
      <c r="H217" s="65"/>
      <c r="I217" s="49">
        <f t="shared" si="24"/>
        <v>0</v>
      </c>
      <c r="J217" s="49">
        <f t="shared" si="25"/>
        <v>0</v>
      </c>
      <c r="K217" s="49">
        <f t="shared" si="26"/>
        <v>0</v>
      </c>
      <c r="L217" s="52" t="s">
        <v>293</v>
      </c>
    </row>
    <row r="218" spans="1:12" x14ac:dyDescent="0.25">
      <c r="A218" s="48">
        <v>53</v>
      </c>
      <c r="B218" s="40" t="s">
        <v>189</v>
      </c>
      <c r="C218" s="40" t="s">
        <v>101</v>
      </c>
      <c r="D218" s="40" t="s">
        <v>271</v>
      </c>
      <c r="E218" s="43" t="s">
        <v>16</v>
      </c>
      <c r="G218" s="49">
        <f>IF(ISNA(VLOOKUP($B218,'Other Capital Needs'!$C$51:$P$95,J$6,0)),0,VLOOKUP($B218,'Other Capital Needs'!$C$51:$P$95,J$6,0))+IF(ISNA(VLOOKUP('Project Details by Yr'!$B218,'Public Grounds'!$A$11:$N$49,J$6,0)),0,VLOOKUP('Project Details by Yr'!$B218,'Public Grounds'!$A$11:$N$49,J$6,0))+IF(ISNA(VLOOKUP('Project Details by Yr'!$B218,'Public Buildings'!$A$10:$N$96,J$6,0)),0,VLOOKUP('Project Details by Yr'!$B218,'Public Buildings'!$A$10:$N$96,J$6,0))+IF(ISNA(VLOOKUP('Project Details by Yr'!$B218,Bridges!$A$9:$N$24,J$6,0)),0,VLOOKUP('Project Details by Yr'!$B218,Bridges!$A$9:$N$24,J$6,0))+IF(ISNA(VLOOKUP('Project Details by Yr'!$B218,'Parking Lots &amp; Playgrounds'!$A$9:$N$33,J$6,0)),0,VLOOKUP('Project Details by Yr'!$B218,'Parking Lots &amp; Playgrounds'!$A$9:$N$33,J$6,0))+IF(ISNA(VLOOKUP($B218,Vehicles!$B$9:$O$50,J$6,0)),0,VLOOKUP($B218,Vehicles!$B$9:$O$50,J$6,0))</f>
        <v>0</v>
      </c>
      <c r="H218" s="65"/>
      <c r="I218" s="49">
        <f t="shared" si="24"/>
        <v>0</v>
      </c>
      <c r="J218" s="49">
        <f t="shared" si="25"/>
        <v>0</v>
      </c>
      <c r="K218" s="49">
        <f t="shared" si="26"/>
        <v>0</v>
      </c>
    </row>
    <row r="219" spans="1:12" x14ac:dyDescent="0.25">
      <c r="A219" s="48">
        <v>53</v>
      </c>
      <c r="B219" s="40" t="s">
        <v>190</v>
      </c>
      <c r="C219" s="40" t="s">
        <v>101</v>
      </c>
      <c r="D219" s="40" t="s">
        <v>271</v>
      </c>
      <c r="E219" s="43" t="s">
        <v>16</v>
      </c>
      <c r="G219" s="49">
        <f>IF(ISNA(VLOOKUP($B219,'Other Capital Needs'!$C$51:$P$95,J$6,0)),0,VLOOKUP($B219,'Other Capital Needs'!$C$51:$P$95,J$6,0))+IF(ISNA(VLOOKUP('Project Details by Yr'!$B219,'Public Grounds'!$A$11:$N$49,J$6,0)),0,VLOOKUP('Project Details by Yr'!$B219,'Public Grounds'!$A$11:$N$49,J$6,0))+IF(ISNA(VLOOKUP('Project Details by Yr'!$B219,'Public Buildings'!$A$10:$N$96,J$6,0)),0,VLOOKUP('Project Details by Yr'!$B219,'Public Buildings'!$A$10:$N$96,J$6,0))+IF(ISNA(VLOOKUP('Project Details by Yr'!$B219,Bridges!$A$9:$N$24,J$6,0)),0,VLOOKUP('Project Details by Yr'!$B219,Bridges!$A$9:$N$24,J$6,0))+IF(ISNA(VLOOKUP('Project Details by Yr'!$B219,'Parking Lots &amp; Playgrounds'!$A$9:$N$33,J$6,0)),0,VLOOKUP('Project Details by Yr'!$B219,'Parking Lots &amp; Playgrounds'!$A$9:$N$33,J$6,0))+IF(ISNA(VLOOKUP($B219,Vehicles!$B$9:$O$50,J$6,0)),0,VLOOKUP($B219,Vehicles!$B$9:$O$50,J$6,0))</f>
        <v>0</v>
      </c>
      <c r="H219" s="65"/>
      <c r="I219" s="49">
        <f t="shared" si="24"/>
        <v>0</v>
      </c>
      <c r="J219" s="49">
        <f t="shared" si="25"/>
        <v>0</v>
      </c>
      <c r="K219" s="49">
        <f t="shared" si="26"/>
        <v>0</v>
      </c>
    </row>
    <row r="220" spans="1:12" x14ac:dyDescent="0.25">
      <c r="B220" s="40" t="s">
        <v>28</v>
      </c>
      <c r="C220" s="54" t="s">
        <v>46</v>
      </c>
      <c r="D220" s="54" t="s">
        <v>271</v>
      </c>
      <c r="E220" s="43" t="s">
        <v>16</v>
      </c>
      <c r="G220" s="49">
        <f>IF(ISNA(VLOOKUP($B220,'Other Capital Needs'!$C$51:$P$95,J$6,0)),0,VLOOKUP($B220,'Other Capital Needs'!$C$51:$P$95,J$6,0))+IF(ISNA(VLOOKUP('Project Details by Yr'!$B220,'Public Grounds'!$A$11:$N$49,J$6,0)),0,VLOOKUP('Project Details by Yr'!$B220,'Public Grounds'!$A$11:$N$49,J$6,0))+IF(ISNA(VLOOKUP('Project Details by Yr'!$B220,'Public Buildings'!$A$10:$N$96,J$6,0)),0,VLOOKUP('Project Details by Yr'!$B220,'Public Buildings'!$A$10:$N$96,J$6,0))+IF(ISNA(VLOOKUP('Project Details by Yr'!$B220,Bridges!$A$9:$N$24,J$6,0)),0,VLOOKUP('Project Details by Yr'!$B220,Bridges!$A$9:$N$24,J$6,0))+IF(ISNA(VLOOKUP('Project Details by Yr'!$B220,'Parking Lots &amp; Playgrounds'!$A$9:$N$33,J$6,0)),0,VLOOKUP('Project Details by Yr'!$B220,'Parking Lots &amp; Playgrounds'!$A$9:$N$33,J$6,0))+IF(ISNA(VLOOKUP($B220,Vehicles!$B$9:$O$50,J$6,0)),0,VLOOKUP($B220,Vehicles!$B$9:$O$50,J$6,0))</f>
        <v>0</v>
      </c>
      <c r="H220" s="65"/>
      <c r="I220" s="49">
        <f t="shared" si="24"/>
        <v>0</v>
      </c>
      <c r="J220" s="49">
        <f t="shared" si="25"/>
        <v>0</v>
      </c>
      <c r="K220" s="49">
        <f t="shared" si="26"/>
        <v>0</v>
      </c>
      <c r="L220" s="52" t="s">
        <v>296</v>
      </c>
    </row>
    <row r="221" spans="1:12" x14ac:dyDescent="0.25">
      <c r="B221" s="40" t="s">
        <v>29</v>
      </c>
      <c r="C221" s="54" t="s">
        <v>46</v>
      </c>
      <c r="D221" s="54" t="s">
        <v>271</v>
      </c>
      <c r="E221" s="43" t="s">
        <v>16</v>
      </c>
      <c r="G221" s="49">
        <f>IF(ISNA(VLOOKUP($B221,'Other Capital Needs'!$C$51:$P$95,J$6,0)),0,VLOOKUP($B221,'Other Capital Needs'!$C$51:$P$95,J$6,0))+IF(ISNA(VLOOKUP('Project Details by Yr'!$B221,'Public Grounds'!$A$11:$N$49,J$6,0)),0,VLOOKUP('Project Details by Yr'!$B221,'Public Grounds'!$A$11:$N$49,J$6,0))+IF(ISNA(VLOOKUP('Project Details by Yr'!$B221,'Public Buildings'!$A$10:$N$96,J$6,0)),0,VLOOKUP('Project Details by Yr'!$B221,'Public Buildings'!$A$10:$N$96,J$6,0))+IF(ISNA(VLOOKUP('Project Details by Yr'!$B221,Bridges!$A$9:$N$24,J$6,0)),0,VLOOKUP('Project Details by Yr'!$B221,Bridges!$A$9:$N$24,J$6,0))+IF(ISNA(VLOOKUP('Project Details by Yr'!$B221,'Parking Lots &amp; Playgrounds'!$A$9:$N$33,J$6,0)),0,VLOOKUP('Project Details by Yr'!$B221,'Parking Lots &amp; Playgrounds'!$A$9:$N$33,J$6,0))+IF(ISNA(VLOOKUP($B221,Vehicles!$B$9:$O$50,J$6,0)),0,VLOOKUP($B221,Vehicles!$B$9:$O$50,J$6,0))</f>
        <v>80000</v>
      </c>
      <c r="H221" s="65"/>
      <c r="I221" s="49">
        <f t="shared" si="24"/>
        <v>0</v>
      </c>
      <c r="J221" s="49">
        <f t="shared" si="25"/>
        <v>0</v>
      </c>
      <c r="K221" s="49">
        <f t="shared" si="26"/>
        <v>0</v>
      </c>
      <c r="L221" s="52" t="s">
        <v>296</v>
      </c>
    </row>
    <row r="222" spans="1:12" x14ac:dyDescent="0.25">
      <c r="B222" s="40" t="s">
        <v>30</v>
      </c>
      <c r="C222" s="54" t="s">
        <v>46</v>
      </c>
      <c r="D222" s="54" t="s">
        <v>271</v>
      </c>
      <c r="E222" s="43" t="s">
        <v>16</v>
      </c>
      <c r="G222" s="49">
        <f>IF(ISNA(VLOOKUP($B222,'Other Capital Needs'!$C$51:$P$95,J$6,0)),0,VLOOKUP($B222,'Other Capital Needs'!$C$51:$P$95,J$6,0))+IF(ISNA(VLOOKUP('Project Details by Yr'!$B222,'Public Grounds'!$A$11:$N$49,J$6,0)),0,VLOOKUP('Project Details by Yr'!$B222,'Public Grounds'!$A$11:$N$49,J$6,0))+IF(ISNA(VLOOKUP('Project Details by Yr'!$B222,'Public Buildings'!$A$10:$N$96,J$6,0)),0,VLOOKUP('Project Details by Yr'!$B222,'Public Buildings'!$A$10:$N$96,J$6,0))+IF(ISNA(VLOOKUP('Project Details by Yr'!$B222,Bridges!$A$9:$N$24,J$6,0)),0,VLOOKUP('Project Details by Yr'!$B222,Bridges!$A$9:$N$24,J$6,0))+IF(ISNA(VLOOKUP('Project Details by Yr'!$B222,'Parking Lots &amp; Playgrounds'!$A$9:$N$33,J$6,0)),0,VLOOKUP('Project Details by Yr'!$B222,'Parking Lots &amp; Playgrounds'!$A$9:$N$33,J$6,0))+IF(ISNA(VLOOKUP($B222,Vehicles!$B$9:$O$50,J$6,0)),0,VLOOKUP($B222,Vehicles!$B$9:$O$50,J$6,0))</f>
        <v>15000</v>
      </c>
      <c r="H222" s="65"/>
      <c r="I222" s="49">
        <f t="shared" si="24"/>
        <v>0</v>
      </c>
      <c r="J222" s="49">
        <f t="shared" si="25"/>
        <v>0</v>
      </c>
      <c r="K222" s="49">
        <f t="shared" si="26"/>
        <v>0</v>
      </c>
      <c r="L222" s="52" t="s">
        <v>296</v>
      </c>
    </row>
    <row r="223" spans="1:12" x14ac:dyDescent="0.25">
      <c r="B223" s="40" t="s">
        <v>31</v>
      </c>
      <c r="C223" s="54" t="s">
        <v>46</v>
      </c>
      <c r="D223" s="54" t="s">
        <v>271</v>
      </c>
      <c r="E223" s="43" t="s">
        <v>16</v>
      </c>
      <c r="G223" s="49">
        <f>IF(ISNA(VLOOKUP($B223,'Other Capital Needs'!$C$51:$P$95,J$6,0)),0,VLOOKUP($B223,'Other Capital Needs'!$C$51:$P$95,J$6,0))+IF(ISNA(VLOOKUP('Project Details by Yr'!$B223,'Public Grounds'!$A$11:$N$49,J$6,0)),0,VLOOKUP('Project Details by Yr'!$B223,'Public Grounds'!$A$11:$N$49,J$6,0))+IF(ISNA(VLOOKUP('Project Details by Yr'!$B223,'Public Buildings'!$A$10:$N$96,J$6,0)),0,VLOOKUP('Project Details by Yr'!$B223,'Public Buildings'!$A$10:$N$96,J$6,0))+IF(ISNA(VLOOKUP('Project Details by Yr'!$B223,Bridges!$A$9:$N$24,J$6,0)),0,VLOOKUP('Project Details by Yr'!$B223,Bridges!$A$9:$N$24,J$6,0))+IF(ISNA(VLOOKUP('Project Details by Yr'!$B223,'Parking Lots &amp; Playgrounds'!$A$9:$N$33,J$6,0)),0,VLOOKUP('Project Details by Yr'!$B223,'Parking Lots &amp; Playgrounds'!$A$9:$N$33,J$6,0))+IF(ISNA(VLOOKUP($B223,Vehicles!$B$9:$O$50,J$6,0)),0,VLOOKUP($B223,Vehicles!$B$9:$O$50,J$6,0))</f>
        <v>8000</v>
      </c>
      <c r="H223" s="65">
        <v>1</v>
      </c>
      <c r="I223" s="49">
        <f t="shared" si="24"/>
        <v>0</v>
      </c>
      <c r="J223" s="49">
        <f t="shared" si="25"/>
        <v>8000</v>
      </c>
      <c r="K223" s="49">
        <f t="shared" si="26"/>
        <v>0</v>
      </c>
    </row>
    <row r="224" spans="1:12" x14ac:dyDescent="0.25">
      <c r="B224" s="40" t="s">
        <v>32</v>
      </c>
      <c r="C224" s="54" t="s">
        <v>46</v>
      </c>
      <c r="D224" s="54" t="s">
        <v>271</v>
      </c>
      <c r="E224" s="43" t="s">
        <v>16</v>
      </c>
      <c r="G224" s="49">
        <f>IF(ISNA(VLOOKUP($B224,'Other Capital Needs'!$C$51:$P$95,J$6,0)),0,VLOOKUP($B224,'Other Capital Needs'!$C$51:$P$95,J$6,0))+IF(ISNA(VLOOKUP('Project Details by Yr'!$B224,'Public Grounds'!$A$11:$N$49,J$6,0)),0,VLOOKUP('Project Details by Yr'!$B224,'Public Grounds'!$A$11:$N$49,J$6,0))+IF(ISNA(VLOOKUP('Project Details by Yr'!$B224,'Public Buildings'!$A$10:$N$96,J$6,0)),0,VLOOKUP('Project Details by Yr'!$B224,'Public Buildings'!$A$10:$N$96,J$6,0))+IF(ISNA(VLOOKUP('Project Details by Yr'!$B224,Bridges!$A$9:$N$24,J$6,0)),0,VLOOKUP('Project Details by Yr'!$B224,Bridges!$A$9:$N$24,J$6,0))+IF(ISNA(VLOOKUP('Project Details by Yr'!$B224,'Parking Lots &amp; Playgrounds'!$A$9:$N$33,J$6,0)),0,VLOOKUP('Project Details by Yr'!$B224,'Parking Lots &amp; Playgrounds'!$A$9:$N$33,J$6,0))+IF(ISNA(VLOOKUP($B224,Vehicles!$B$9:$O$50,J$6,0)),0,VLOOKUP($B224,Vehicles!$B$9:$O$50,J$6,0))</f>
        <v>17000</v>
      </c>
      <c r="H224" s="65">
        <v>1</v>
      </c>
      <c r="I224" s="49">
        <f t="shared" si="24"/>
        <v>0</v>
      </c>
      <c r="J224" s="49">
        <f t="shared" si="25"/>
        <v>17000</v>
      </c>
      <c r="K224" s="49">
        <f t="shared" si="26"/>
        <v>0</v>
      </c>
    </row>
    <row r="225" spans="2:11" x14ac:dyDescent="0.25">
      <c r="B225" s="40" t="s">
        <v>18</v>
      </c>
      <c r="C225" s="54" t="s">
        <v>46</v>
      </c>
      <c r="D225" s="54" t="s">
        <v>271</v>
      </c>
      <c r="E225" s="43" t="s">
        <v>19</v>
      </c>
      <c r="G225" s="49">
        <f>IF(ISNA(VLOOKUP($B225,'Other Capital Needs'!$C$51:$P$95,J$6,0)),0,VLOOKUP($B225,'Other Capital Needs'!$C$51:$P$95,J$6,0))+IF(ISNA(VLOOKUP('Project Details by Yr'!$B225,'Public Grounds'!$A$11:$N$49,J$6,0)),0,VLOOKUP('Project Details by Yr'!$B225,'Public Grounds'!$A$11:$N$49,J$6,0))+IF(ISNA(VLOOKUP('Project Details by Yr'!$B225,'Public Buildings'!$A$10:$N$96,J$6,0)),0,VLOOKUP('Project Details by Yr'!$B225,'Public Buildings'!$A$10:$N$96,J$6,0))+IF(ISNA(VLOOKUP('Project Details by Yr'!$B225,Bridges!$A$9:$N$24,J$6,0)),0,VLOOKUP('Project Details by Yr'!$B225,Bridges!$A$9:$N$24,J$6,0))+IF(ISNA(VLOOKUP('Project Details by Yr'!$B225,'Parking Lots &amp; Playgrounds'!$A$9:$N$33,J$6,0)),0,VLOOKUP('Project Details by Yr'!$B225,'Parking Lots &amp; Playgrounds'!$A$9:$N$33,J$6,0))+IF(ISNA(VLOOKUP($B225,Vehicles!$B$9:$O$50,J$6,0)),0,VLOOKUP($B225,Vehicles!$B$9:$O$50,J$6,0))</f>
        <v>0</v>
      </c>
      <c r="H225" s="65">
        <v>0</v>
      </c>
      <c r="I225" s="49">
        <f t="shared" si="24"/>
        <v>0</v>
      </c>
      <c r="J225" s="49">
        <f t="shared" si="25"/>
        <v>0</v>
      </c>
      <c r="K225" s="49">
        <f t="shared" si="26"/>
        <v>0</v>
      </c>
    </row>
    <row r="226" spans="2:11" x14ac:dyDescent="0.25">
      <c r="B226" s="40" t="s">
        <v>224</v>
      </c>
      <c r="C226" s="40" t="s">
        <v>47</v>
      </c>
      <c r="D226" s="40" t="s">
        <v>271</v>
      </c>
      <c r="E226" s="43" t="s">
        <v>16</v>
      </c>
      <c r="G226" s="49">
        <f>IF(ISNA(VLOOKUP($B226,'Other Capital Needs'!$C$51:$P$95,J$6,0)),0,VLOOKUP($B226,'Other Capital Needs'!$C$51:$P$95,J$6,0))+IF(ISNA(VLOOKUP('Project Details by Yr'!$B226,'Public Grounds'!$A$11:$N$49,J$6,0)),0,VLOOKUP('Project Details by Yr'!$B226,'Public Grounds'!$A$11:$N$49,J$6,0))+IF(ISNA(VLOOKUP('Project Details by Yr'!$B226,'Public Buildings'!$A$10:$N$96,J$6,0)),0,VLOOKUP('Project Details by Yr'!$B226,'Public Buildings'!$A$10:$N$96,J$6,0))+IF(ISNA(VLOOKUP('Project Details by Yr'!$B226,Bridges!$A$9:$N$24,J$6,0)),0,VLOOKUP('Project Details by Yr'!$B226,Bridges!$A$9:$N$24,J$6,0))+IF(ISNA(VLOOKUP('Project Details by Yr'!$B226,'Parking Lots &amp; Playgrounds'!$A$9:$N$33,J$6,0)),0,VLOOKUP('Project Details by Yr'!$B226,'Parking Lots &amp; Playgrounds'!$A$9:$N$33,J$6,0))+IF(ISNA(VLOOKUP($B226,Vehicles!$B$9:$O$50,J$6,0)),0,VLOOKUP($B226,Vehicles!$B$9:$O$50,J$6,0))</f>
        <v>45000</v>
      </c>
      <c r="H226" s="65">
        <v>1</v>
      </c>
      <c r="I226" s="49">
        <f t="shared" si="24"/>
        <v>0</v>
      </c>
      <c r="J226" s="49">
        <f t="shared" si="25"/>
        <v>45000</v>
      </c>
      <c r="K226" s="49">
        <f t="shared" si="26"/>
        <v>0</v>
      </c>
    </row>
    <row r="227" spans="2:11" x14ac:dyDescent="0.25">
      <c r="B227" s="40" t="s">
        <v>225</v>
      </c>
      <c r="C227" s="40" t="s">
        <v>47</v>
      </c>
      <c r="D227" s="40" t="s">
        <v>271</v>
      </c>
      <c r="E227" s="43" t="s">
        <v>16</v>
      </c>
      <c r="G227" s="49">
        <f>IF(ISNA(VLOOKUP($B227,'Other Capital Needs'!$C$51:$P$95,J$6,0)),0,VLOOKUP($B227,'Other Capital Needs'!$C$51:$P$95,J$6,0))+IF(ISNA(VLOOKUP('Project Details by Yr'!$B227,'Public Grounds'!$A$11:$N$49,J$6,0)),0,VLOOKUP('Project Details by Yr'!$B227,'Public Grounds'!$A$11:$N$49,J$6,0))+IF(ISNA(VLOOKUP('Project Details by Yr'!$B227,'Public Buildings'!$A$10:$N$96,J$6,0)),0,VLOOKUP('Project Details by Yr'!$B227,'Public Buildings'!$A$10:$N$96,J$6,0))+IF(ISNA(VLOOKUP('Project Details by Yr'!$B227,Bridges!$A$9:$N$24,J$6,0)),0,VLOOKUP('Project Details by Yr'!$B227,Bridges!$A$9:$N$24,J$6,0))+IF(ISNA(VLOOKUP('Project Details by Yr'!$B227,'Parking Lots &amp; Playgrounds'!$A$9:$N$33,J$6,0)),0,VLOOKUP('Project Details by Yr'!$B227,'Parking Lots &amp; Playgrounds'!$A$9:$N$33,J$6,0))+IF(ISNA(VLOOKUP($B227,Vehicles!$B$9:$O$50,J$6,0)),0,VLOOKUP($B227,Vehicles!$B$9:$O$50,J$6,0))</f>
        <v>25000</v>
      </c>
      <c r="H227" s="65">
        <v>1</v>
      </c>
      <c r="I227" s="49">
        <f t="shared" si="24"/>
        <v>0</v>
      </c>
      <c r="J227" s="49">
        <f t="shared" si="25"/>
        <v>25000</v>
      </c>
      <c r="K227" s="49">
        <f t="shared" si="26"/>
        <v>0</v>
      </c>
    </row>
    <row r="228" spans="2:11" x14ac:dyDescent="0.25">
      <c r="B228" s="40" t="s">
        <v>191</v>
      </c>
      <c r="C228" s="40" t="s">
        <v>47</v>
      </c>
      <c r="D228" s="40" t="s">
        <v>272</v>
      </c>
      <c r="E228" s="43" t="s">
        <v>16</v>
      </c>
      <c r="G228" s="49">
        <f>IF(ISNA(VLOOKUP($B228,'Other Capital Needs'!$C$51:$P$95,J$6,0)),0,VLOOKUP($B228,'Other Capital Needs'!$C$51:$P$95,J$6,0))+IF(ISNA(VLOOKUP('Project Details by Yr'!$B228,'Public Grounds'!$A$11:$N$49,J$6,0)),0,VLOOKUP('Project Details by Yr'!$B228,'Public Grounds'!$A$11:$N$49,J$6,0))+IF(ISNA(VLOOKUP('Project Details by Yr'!$B228,'Public Buildings'!$A$10:$N$96,J$6,0)),0,VLOOKUP('Project Details by Yr'!$B228,'Public Buildings'!$A$10:$N$96,J$6,0))+IF(ISNA(VLOOKUP('Project Details by Yr'!$B228,Bridges!$A$9:$N$24,J$6,0)),0,VLOOKUP('Project Details by Yr'!$B228,Bridges!$A$9:$N$24,J$6,0))+IF(ISNA(VLOOKUP('Project Details by Yr'!$B228,'Parking Lots &amp; Playgrounds'!$A$9:$N$33,J$6,0)),0,VLOOKUP('Project Details by Yr'!$B228,'Parking Lots &amp; Playgrounds'!$A$9:$N$33,J$6,0))+IF(ISNA(VLOOKUP($B228,Vehicles!$B$9:$O$50,J$6,0)),0,VLOOKUP($B228,Vehicles!$B$9:$O$50,J$6,0))</f>
        <v>10000</v>
      </c>
      <c r="H228" s="65">
        <v>1</v>
      </c>
      <c r="I228" s="49">
        <f t="shared" si="24"/>
        <v>0</v>
      </c>
      <c r="J228" s="49">
        <f t="shared" si="25"/>
        <v>10000</v>
      </c>
      <c r="K228" s="49">
        <f t="shared" si="26"/>
        <v>0</v>
      </c>
    </row>
    <row r="229" spans="2:11" x14ac:dyDescent="0.25">
      <c r="B229" s="40" t="s">
        <v>192</v>
      </c>
      <c r="C229" s="40" t="s">
        <v>47</v>
      </c>
      <c r="D229" s="40" t="s">
        <v>272</v>
      </c>
      <c r="E229" s="43" t="s">
        <v>16</v>
      </c>
      <c r="G229" s="49">
        <f>IF(ISNA(VLOOKUP($B229,'Other Capital Needs'!$C$51:$P$95,J$6,0)),0,VLOOKUP($B229,'Other Capital Needs'!$C$51:$P$95,J$6,0))+IF(ISNA(VLOOKUP('Project Details by Yr'!$B229,'Public Grounds'!$A$11:$N$49,J$6,0)),0,VLOOKUP('Project Details by Yr'!$B229,'Public Grounds'!$A$11:$N$49,J$6,0))+IF(ISNA(VLOOKUP('Project Details by Yr'!$B229,'Public Buildings'!$A$10:$N$96,J$6,0)),0,VLOOKUP('Project Details by Yr'!$B229,'Public Buildings'!$A$10:$N$96,J$6,0))+IF(ISNA(VLOOKUP('Project Details by Yr'!$B229,Bridges!$A$9:$N$24,J$6,0)),0,VLOOKUP('Project Details by Yr'!$B229,Bridges!$A$9:$N$24,J$6,0))+IF(ISNA(VLOOKUP('Project Details by Yr'!$B229,'Parking Lots &amp; Playgrounds'!$A$9:$N$33,J$6,0)),0,VLOOKUP('Project Details by Yr'!$B229,'Parking Lots &amp; Playgrounds'!$A$9:$N$33,J$6,0))+IF(ISNA(VLOOKUP($B229,Vehicles!$B$9:$O$50,J$6,0)),0,VLOOKUP($B229,Vehicles!$B$9:$O$50,J$6,0))</f>
        <v>25000</v>
      </c>
      <c r="H229" s="65">
        <v>1</v>
      </c>
      <c r="I229" s="49">
        <f t="shared" si="24"/>
        <v>0</v>
      </c>
      <c r="J229" s="49">
        <f t="shared" si="25"/>
        <v>25000</v>
      </c>
      <c r="K229" s="49">
        <f t="shared" si="26"/>
        <v>0</v>
      </c>
    </row>
    <row r="230" spans="2:11" x14ac:dyDescent="0.25">
      <c r="B230" s="40" t="s">
        <v>193</v>
      </c>
      <c r="C230" s="40" t="s">
        <v>47</v>
      </c>
      <c r="D230" s="40" t="s">
        <v>272</v>
      </c>
      <c r="E230" s="43" t="s">
        <v>16</v>
      </c>
      <c r="G230" s="49">
        <f>IF(ISNA(VLOOKUP($B230,'Other Capital Needs'!$C$51:$P$95,J$6,0)),0,VLOOKUP($B230,'Other Capital Needs'!$C$51:$P$95,J$6,0))+IF(ISNA(VLOOKUP('Project Details by Yr'!$B230,'Public Grounds'!$A$11:$N$49,J$6,0)),0,VLOOKUP('Project Details by Yr'!$B230,'Public Grounds'!$A$11:$N$49,J$6,0))+IF(ISNA(VLOOKUP('Project Details by Yr'!$B230,'Public Buildings'!$A$10:$N$96,J$6,0)),0,VLOOKUP('Project Details by Yr'!$B230,'Public Buildings'!$A$10:$N$96,J$6,0))+IF(ISNA(VLOOKUP('Project Details by Yr'!$B230,Bridges!$A$9:$N$24,J$6,0)),0,VLOOKUP('Project Details by Yr'!$B230,Bridges!$A$9:$N$24,J$6,0))+IF(ISNA(VLOOKUP('Project Details by Yr'!$B230,'Parking Lots &amp; Playgrounds'!$A$9:$N$33,J$6,0)),0,VLOOKUP('Project Details by Yr'!$B230,'Parking Lots &amp; Playgrounds'!$A$9:$N$33,J$6,0))+IF(ISNA(VLOOKUP($B230,Vehicles!$B$9:$O$50,J$6,0)),0,VLOOKUP($B230,Vehicles!$B$9:$O$50,J$6,0))</f>
        <v>10000</v>
      </c>
      <c r="H230" s="65">
        <v>1</v>
      </c>
      <c r="I230" s="49">
        <f t="shared" si="24"/>
        <v>0</v>
      </c>
      <c r="J230" s="49">
        <f t="shared" si="25"/>
        <v>10000</v>
      </c>
      <c r="K230" s="49">
        <f t="shared" si="26"/>
        <v>0</v>
      </c>
    </row>
    <row r="231" spans="2:11" x14ac:dyDescent="0.25">
      <c r="B231" s="40" t="s">
        <v>194</v>
      </c>
      <c r="C231" s="40" t="s">
        <v>47</v>
      </c>
      <c r="D231" s="40" t="s">
        <v>272</v>
      </c>
      <c r="E231" s="43" t="s">
        <v>16</v>
      </c>
      <c r="G231" s="49">
        <f>IF(ISNA(VLOOKUP($B231,'Other Capital Needs'!$C$51:$P$95,J$6,0)),0,VLOOKUP($B231,'Other Capital Needs'!$C$51:$P$95,J$6,0))+IF(ISNA(VLOOKUP('Project Details by Yr'!$B231,'Public Grounds'!$A$11:$N$49,J$6,0)),0,VLOOKUP('Project Details by Yr'!$B231,'Public Grounds'!$A$11:$N$49,J$6,0))+IF(ISNA(VLOOKUP('Project Details by Yr'!$B231,'Public Buildings'!$A$10:$N$96,J$6,0)),0,VLOOKUP('Project Details by Yr'!$B231,'Public Buildings'!$A$10:$N$96,J$6,0))+IF(ISNA(VLOOKUP('Project Details by Yr'!$B231,Bridges!$A$9:$N$24,J$6,0)),0,VLOOKUP('Project Details by Yr'!$B231,Bridges!$A$9:$N$24,J$6,0))+IF(ISNA(VLOOKUP('Project Details by Yr'!$B231,'Parking Lots &amp; Playgrounds'!$A$9:$N$33,J$6,0)),0,VLOOKUP('Project Details by Yr'!$B231,'Parking Lots &amp; Playgrounds'!$A$9:$N$33,J$6,0))+IF(ISNA(VLOOKUP($B231,Vehicles!$B$9:$O$50,J$6,0)),0,VLOOKUP($B231,Vehicles!$B$9:$O$50,J$6,0))</f>
        <v>500000</v>
      </c>
      <c r="H231" s="65">
        <v>1</v>
      </c>
      <c r="I231" s="49">
        <f t="shared" si="24"/>
        <v>0</v>
      </c>
      <c r="J231" s="49">
        <f t="shared" si="25"/>
        <v>500000</v>
      </c>
      <c r="K231" s="49">
        <f t="shared" si="26"/>
        <v>0</v>
      </c>
    </row>
    <row r="232" spans="2:11" x14ac:dyDescent="0.25">
      <c r="B232" s="40" t="s">
        <v>196</v>
      </c>
      <c r="C232" s="40" t="s">
        <v>47</v>
      </c>
      <c r="D232" s="40" t="s">
        <v>272</v>
      </c>
      <c r="E232" s="43" t="s">
        <v>19</v>
      </c>
      <c r="G232" s="49">
        <f>IF(ISNA(VLOOKUP($B232,'Other Capital Needs'!$C$51:$P$95,J$6,0)),0,VLOOKUP($B232,'Other Capital Needs'!$C$51:$P$95,J$6,0))+IF(ISNA(VLOOKUP('Project Details by Yr'!$B232,'Public Grounds'!$A$11:$N$49,J$6,0)),0,VLOOKUP('Project Details by Yr'!$B232,'Public Grounds'!$A$11:$N$49,J$6,0))+IF(ISNA(VLOOKUP('Project Details by Yr'!$B232,'Public Buildings'!$A$10:$N$96,J$6,0)),0,VLOOKUP('Project Details by Yr'!$B232,'Public Buildings'!$A$10:$N$96,J$6,0))+IF(ISNA(VLOOKUP('Project Details by Yr'!$B232,Bridges!$A$9:$N$24,J$6,0)),0,VLOOKUP('Project Details by Yr'!$B232,Bridges!$A$9:$N$24,J$6,0))+IF(ISNA(VLOOKUP('Project Details by Yr'!$B232,'Parking Lots &amp; Playgrounds'!$A$9:$N$33,J$6,0)),0,VLOOKUP('Project Details by Yr'!$B232,'Parking Lots &amp; Playgrounds'!$A$9:$N$33,J$6,0))+IF(ISNA(VLOOKUP($B232,Vehicles!$B$9:$O$50,J$6,0)),0,VLOOKUP($B232,Vehicles!$B$9:$O$50,J$6,0))</f>
        <v>950000</v>
      </c>
      <c r="H232" s="65">
        <v>0</v>
      </c>
      <c r="I232" s="51">
        <f t="shared" si="24"/>
        <v>0</v>
      </c>
      <c r="J232" s="49">
        <f t="shared" si="25"/>
        <v>0</v>
      </c>
      <c r="K232" s="49">
        <f t="shared" si="26"/>
        <v>0</v>
      </c>
    </row>
    <row r="233" spans="2:11" x14ac:dyDescent="0.25">
      <c r="B233" s="40" t="s">
        <v>197</v>
      </c>
      <c r="C233" s="40" t="s">
        <v>47</v>
      </c>
      <c r="D233" s="40" t="s">
        <v>272</v>
      </c>
      <c r="E233" s="43" t="s">
        <v>16</v>
      </c>
      <c r="G233" s="49">
        <f>IF(ISNA(VLOOKUP($B233,'Other Capital Needs'!$C$51:$P$95,J$6,0)),0,VLOOKUP($B233,'Other Capital Needs'!$C$51:$P$95,J$6,0))+IF(ISNA(VLOOKUP('Project Details by Yr'!$B233,'Public Grounds'!$A$11:$N$49,J$6,0)),0,VLOOKUP('Project Details by Yr'!$B233,'Public Grounds'!$A$11:$N$49,J$6,0))+IF(ISNA(VLOOKUP('Project Details by Yr'!$B233,'Public Buildings'!$A$10:$N$96,J$6,0)),0,VLOOKUP('Project Details by Yr'!$B233,'Public Buildings'!$A$10:$N$96,J$6,0))+IF(ISNA(VLOOKUP('Project Details by Yr'!$B233,Bridges!$A$9:$N$24,J$6,0)),0,VLOOKUP('Project Details by Yr'!$B233,Bridges!$A$9:$N$24,J$6,0))+IF(ISNA(VLOOKUP('Project Details by Yr'!$B233,'Parking Lots &amp; Playgrounds'!$A$9:$N$33,J$6,0)),0,VLOOKUP('Project Details by Yr'!$B233,'Parking Lots &amp; Playgrounds'!$A$9:$N$33,J$6,0))+IF(ISNA(VLOOKUP($B233,Vehicles!$B$9:$O$50,J$6,0)),0,VLOOKUP($B233,Vehicles!$B$9:$O$50,J$6,0))</f>
        <v>200000</v>
      </c>
      <c r="H233" s="65">
        <v>1</v>
      </c>
      <c r="I233" s="49">
        <f t="shared" si="24"/>
        <v>0</v>
      </c>
      <c r="J233" s="49">
        <f t="shared" si="25"/>
        <v>200000</v>
      </c>
      <c r="K233" s="49">
        <f t="shared" si="26"/>
        <v>0</v>
      </c>
    </row>
    <row r="234" spans="2:11" x14ac:dyDescent="0.25">
      <c r="B234" s="40" t="s">
        <v>203</v>
      </c>
      <c r="C234" s="40" t="s">
        <v>47</v>
      </c>
      <c r="D234" s="40" t="s">
        <v>272</v>
      </c>
      <c r="E234" s="43" t="s">
        <v>16</v>
      </c>
      <c r="G234" s="49">
        <f>IF(ISNA(VLOOKUP($B234,'Other Capital Needs'!$C$51:$P$95,J$6,0)),0,VLOOKUP($B234,'Other Capital Needs'!$C$51:$P$95,J$6,0))+IF(ISNA(VLOOKUP('Project Details by Yr'!$B234,'Public Grounds'!$A$11:$N$49,J$6,0)),0,VLOOKUP('Project Details by Yr'!$B234,'Public Grounds'!$A$11:$N$49,J$6,0))+IF(ISNA(VLOOKUP('Project Details by Yr'!$B234,'Public Buildings'!$A$10:$N$96,J$6,0)),0,VLOOKUP('Project Details by Yr'!$B234,'Public Buildings'!$A$10:$N$96,J$6,0))+IF(ISNA(VLOOKUP('Project Details by Yr'!$B234,Bridges!$A$9:$N$24,J$6,0)),0,VLOOKUP('Project Details by Yr'!$B234,Bridges!$A$9:$N$24,J$6,0))+IF(ISNA(VLOOKUP('Project Details by Yr'!$B234,'Parking Lots &amp; Playgrounds'!$A$9:$N$33,J$6,0)),0,VLOOKUP('Project Details by Yr'!$B234,'Parking Lots &amp; Playgrounds'!$A$9:$N$33,J$6,0))+IF(ISNA(VLOOKUP($B234,Vehicles!$B$9:$O$50,J$6,0)),0,VLOOKUP($B234,Vehicles!$B$9:$O$50,J$6,0))</f>
        <v>45000</v>
      </c>
      <c r="H234" s="65">
        <v>1</v>
      </c>
      <c r="I234" s="49">
        <f t="shared" si="24"/>
        <v>0</v>
      </c>
      <c r="J234" s="49">
        <f t="shared" si="25"/>
        <v>45000</v>
      </c>
      <c r="K234" s="49">
        <f t="shared" si="26"/>
        <v>0</v>
      </c>
    </row>
    <row r="235" spans="2:11" x14ac:dyDescent="0.25">
      <c r="B235" s="40" t="s">
        <v>97</v>
      </c>
      <c r="C235" s="40" t="s">
        <v>91</v>
      </c>
      <c r="D235" s="40" t="s">
        <v>271</v>
      </c>
      <c r="E235" s="43" t="s">
        <v>16</v>
      </c>
      <c r="G235" s="49">
        <f>IF(ISNA(VLOOKUP($B235,'Other Capital Needs'!$C$51:$P$95,J$6,0)),0,VLOOKUP($B235,'Other Capital Needs'!$C$51:$P$95,J$6,0))+IF(ISNA(VLOOKUP('Project Details by Yr'!$B235,'Public Grounds'!$A$11:$N$49,J$6,0)),0,VLOOKUP('Project Details by Yr'!$B235,'Public Grounds'!$A$11:$N$49,J$6,0))+IF(ISNA(VLOOKUP('Project Details by Yr'!$B235,'Public Buildings'!$A$10:$N$96,J$6,0)),0,VLOOKUP('Project Details by Yr'!$B235,'Public Buildings'!$A$10:$N$96,J$6,0))+IF(ISNA(VLOOKUP('Project Details by Yr'!$B235,Bridges!$A$9:$N$24,J$6,0)),0,VLOOKUP('Project Details by Yr'!$B235,Bridges!$A$9:$N$24,J$6,0))+IF(ISNA(VLOOKUP('Project Details by Yr'!$B235,'Parking Lots &amp; Playgrounds'!$A$9:$N$33,J$6,0)),0,VLOOKUP('Project Details by Yr'!$B235,'Parking Lots &amp; Playgrounds'!$A$9:$N$33,J$6,0))+IF(ISNA(VLOOKUP($B235,Vehicles!$B$9:$O$50,J$6,0)),0,VLOOKUP($B235,Vehicles!$B$9:$O$50,J$6,0))</f>
        <v>325000</v>
      </c>
      <c r="H235" s="65">
        <v>1</v>
      </c>
      <c r="I235" s="49">
        <f t="shared" si="24"/>
        <v>0</v>
      </c>
      <c r="J235" s="49">
        <f t="shared" si="25"/>
        <v>325000</v>
      </c>
      <c r="K235" s="49">
        <f t="shared" si="26"/>
        <v>0</v>
      </c>
    </row>
    <row r="236" spans="2:11" x14ac:dyDescent="0.25">
      <c r="B236" s="40" t="s">
        <v>124</v>
      </c>
      <c r="C236" s="40" t="s">
        <v>49</v>
      </c>
      <c r="D236" s="40" t="s">
        <v>271</v>
      </c>
      <c r="E236" s="43" t="s">
        <v>16</v>
      </c>
      <c r="G236" s="49">
        <f>IF(ISNA(VLOOKUP($B236,'Other Capital Needs'!$C$51:$P$95,J$6,0)),0,VLOOKUP($B236,'Other Capital Needs'!$C$51:$P$95,J$6,0))+IF(ISNA(VLOOKUP('Project Details by Yr'!$B236,'Public Grounds'!$A$11:$N$49,J$6,0)),0,VLOOKUP('Project Details by Yr'!$B236,'Public Grounds'!$A$11:$N$49,J$6,0))+IF(ISNA(VLOOKUP('Project Details by Yr'!$B236,'Public Buildings'!$A$10:$N$96,J$6,0)),0,VLOOKUP('Project Details by Yr'!$B236,'Public Buildings'!$A$10:$N$96,J$6,0))+IF(ISNA(VLOOKUP('Project Details by Yr'!$B236,Bridges!$A$9:$N$24,J$6,0)),0,VLOOKUP('Project Details by Yr'!$B236,Bridges!$A$9:$N$24,J$6,0))+IF(ISNA(VLOOKUP('Project Details by Yr'!$B236,'Parking Lots &amp; Playgrounds'!$A$9:$N$33,J$6,0)),0,VLOOKUP('Project Details by Yr'!$B236,'Parking Lots &amp; Playgrounds'!$A$9:$N$33,J$6,0))+IF(ISNA(VLOOKUP($B236,Vehicles!$B$9:$O$50,J$6,0)),0,VLOOKUP($B236,Vehicles!$B$9:$O$50,J$6,0))</f>
        <v>125000</v>
      </c>
      <c r="H236" s="65">
        <v>1</v>
      </c>
      <c r="I236" s="49">
        <f t="shared" si="24"/>
        <v>0</v>
      </c>
      <c r="J236" s="49">
        <f t="shared" si="25"/>
        <v>125000</v>
      </c>
      <c r="K236" s="49">
        <f t="shared" si="26"/>
        <v>0</v>
      </c>
    </row>
    <row r="237" spans="2:11" x14ac:dyDescent="0.25">
      <c r="B237" s="40" t="s">
        <v>128</v>
      </c>
      <c r="C237" s="40" t="s">
        <v>49</v>
      </c>
      <c r="D237" s="40" t="s">
        <v>271</v>
      </c>
      <c r="E237" s="43" t="s">
        <v>16</v>
      </c>
      <c r="G237" s="49">
        <f>IF(ISNA(VLOOKUP($B237,'Other Capital Needs'!$C$51:$P$95,J$6,0)),0,VLOOKUP($B237,'Other Capital Needs'!$C$51:$P$95,J$6,0))+IF(ISNA(VLOOKUP('Project Details by Yr'!$B237,'Public Grounds'!$A$11:$N$49,J$6,0)),0,VLOOKUP('Project Details by Yr'!$B237,'Public Grounds'!$A$11:$N$49,J$6,0))+IF(ISNA(VLOOKUP('Project Details by Yr'!$B237,'Public Buildings'!$A$10:$N$96,J$6,0)),0,VLOOKUP('Project Details by Yr'!$B237,'Public Buildings'!$A$10:$N$96,J$6,0))+IF(ISNA(VLOOKUP('Project Details by Yr'!$B237,Bridges!$A$9:$N$24,J$6,0)),0,VLOOKUP('Project Details by Yr'!$B237,Bridges!$A$9:$N$24,J$6,0))+IF(ISNA(VLOOKUP('Project Details by Yr'!$B237,'Parking Lots &amp; Playgrounds'!$A$9:$N$33,J$6,0)),0,VLOOKUP('Project Details by Yr'!$B237,'Parking Lots &amp; Playgrounds'!$A$9:$N$33,J$6,0))+IF(ISNA(VLOOKUP($B237,Vehicles!$B$9:$O$50,J$6,0)),0,VLOOKUP($B237,Vehicles!$B$9:$O$50,J$6,0))</f>
        <v>28000</v>
      </c>
      <c r="H237" s="65">
        <v>1</v>
      </c>
      <c r="I237" s="49">
        <f t="shared" si="24"/>
        <v>0</v>
      </c>
      <c r="J237" s="49">
        <f t="shared" si="25"/>
        <v>28000</v>
      </c>
      <c r="K237" s="49">
        <f t="shared" si="26"/>
        <v>0</v>
      </c>
    </row>
    <row r="238" spans="2:11" x14ac:dyDescent="0.25">
      <c r="B238" t="s">
        <v>308</v>
      </c>
      <c r="C238" s="40" t="s">
        <v>49</v>
      </c>
      <c r="D238" s="40" t="s">
        <v>271</v>
      </c>
      <c r="E238" s="43" t="s">
        <v>16</v>
      </c>
      <c r="G238" s="49">
        <f>IF(ISNA(VLOOKUP($B238,'Other Capital Needs'!$C$51:$P$95,J$6,0)),0,VLOOKUP($B238,'Other Capital Needs'!$C$51:$P$95,J$6,0))+IF(ISNA(VLOOKUP('Project Details by Yr'!$B238,'Public Grounds'!$A$11:$N$49,J$6,0)),0,VLOOKUP('Project Details by Yr'!$B238,'Public Grounds'!$A$11:$N$49,J$6,0))+IF(ISNA(VLOOKUP('Project Details by Yr'!$B238,'Public Buildings'!$A$10:$N$96,J$6,0)),0,VLOOKUP('Project Details by Yr'!$B238,'Public Buildings'!$A$10:$N$96,J$6,0))+IF(ISNA(VLOOKUP('Project Details by Yr'!$B238,Bridges!$A$9:$N$24,J$6,0)),0,VLOOKUP('Project Details by Yr'!$B238,Bridges!$A$9:$N$24,J$6,0))+IF(ISNA(VLOOKUP('Project Details by Yr'!$B238,'Parking Lots &amp; Playgrounds'!$A$9:$N$33,J$6,0)),0,VLOOKUP('Project Details by Yr'!$B238,'Parking Lots &amp; Playgrounds'!$A$9:$N$33,J$6,0))+IF(ISNA(VLOOKUP($B238,Vehicles!$B$9:$O$50,J$6,0)),0,VLOOKUP($B238,Vehicles!$B$9:$O$50,J$6,0))</f>
        <v>60000</v>
      </c>
      <c r="H238" s="65">
        <v>1</v>
      </c>
      <c r="I238" s="49">
        <f t="shared" ref="I238" si="27">IF($H238=1,IF($E238="Bond",$G238,IF(E238="BAN",$G238,0)),0)</f>
        <v>0</v>
      </c>
      <c r="J238" s="49">
        <f t="shared" si="25"/>
        <v>60000</v>
      </c>
      <c r="K238" s="49">
        <f t="shared" si="26"/>
        <v>0</v>
      </c>
    </row>
    <row r="239" spans="2:11" x14ac:dyDescent="0.25">
      <c r="B239" s="40" t="s">
        <v>120</v>
      </c>
      <c r="C239" s="40" t="s">
        <v>49</v>
      </c>
      <c r="D239" s="40" t="s">
        <v>271</v>
      </c>
      <c r="E239" s="43" t="s">
        <v>16</v>
      </c>
      <c r="G239" s="49">
        <f>IF(ISNA(VLOOKUP($B239,'Other Capital Needs'!$C$51:$P$95,J$6,0)),0,VLOOKUP($B239,'Other Capital Needs'!$C$51:$P$95,J$6,0))+IF(ISNA(VLOOKUP('Project Details by Yr'!$B239,'Public Grounds'!$A$11:$N$49,J$6,0)),0,VLOOKUP('Project Details by Yr'!$B239,'Public Grounds'!$A$11:$N$49,J$6,0))+IF(ISNA(VLOOKUP('Project Details by Yr'!$B239,'Public Buildings'!$A$10:$N$96,J$6,0)),0,VLOOKUP('Project Details by Yr'!$B239,'Public Buildings'!$A$10:$N$96,J$6,0))+IF(ISNA(VLOOKUP('Project Details by Yr'!$B239,Bridges!$A$9:$N$24,J$6,0)),0,VLOOKUP('Project Details by Yr'!$B239,Bridges!$A$9:$N$24,J$6,0))+IF(ISNA(VLOOKUP('Project Details by Yr'!$B239,'Parking Lots &amp; Playgrounds'!$A$9:$N$33,J$6,0)),0,VLOOKUP('Project Details by Yr'!$B239,'Parking Lots &amp; Playgrounds'!$A$9:$N$33,J$6,0))+IF(ISNA(VLOOKUP($B239,Vehicles!$B$9:$O$50,J$6,0)),0,VLOOKUP($B239,Vehicles!$B$9:$O$50,J$6,0))</f>
        <v>200000</v>
      </c>
      <c r="H239" s="65">
        <v>1</v>
      </c>
      <c r="I239" s="49">
        <f t="shared" si="24"/>
        <v>0</v>
      </c>
      <c r="J239" s="49">
        <f t="shared" si="25"/>
        <v>200000</v>
      </c>
      <c r="K239" s="49">
        <f t="shared" si="26"/>
        <v>0</v>
      </c>
    </row>
    <row r="240" spans="2:11" x14ac:dyDescent="0.25">
      <c r="B240" s="40" t="s">
        <v>122</v>
      </c>
      <c r="C240" s="40" t="s">
        <v>49</v>
      </c>
      <c r="D240" s="40" t="s">
        <v>271</v>
      </c>
      <c r="E240" s="43" t="s">
        <v>16</v>
      </c>
      <c r="G240" s="49">
        <f>IF(ISNA(VLOOKUP($B240,'Other Capital Needs'!$C$51:$P$95,J$6,0)),0,VLOOKUP($B240,'Other Capital Needs'!$C$51:$P$95,J$6,0))+IF(ISNA(VLOOKUP('Project Details by Yr'!$B240,'Public Grounds'!$A$11:$N$49,J$6,0)),0,VLOOKUP('Project Details by Yr'!$B240,'Public Grounds'!$A$11:$N$49,J$6,0))+IF(ISNA(VLOOKUP('Project Details by Yr'!$B240,'Public Buildings'!$A$10:$N$96,J$6,0)),0,VLOOKUP('Project Details by Yr'!$B240,'Public Buildings'!$A$10:$N$96,J$6,0))+IF(ISNA(VLOOKUP('Project Details by Yr'!$B240,Bridges!$A$9:$N$24,J$6,0)),0,VLOOKUP('Project Details by Yr'!$B240,Bridges!$A$9:$N$24,J$6,0))+IF(ISNA(VLOOKUP('Project Details by Yr'!$B240,'Parking Lots &amp; Playgrounds'!$A$9:$N$33,J$6,0)),0,VLOOKUP('Project Details by Yr'!$B240,'Parking Lots &amp; Playgrounds'!$A$9:$N$33,J$6,0))+IF(ISNA(VLOOKUP($B240,Vehicles!$B$9:$O$50,J$6,0)),0,VLOOKUP($B240,Vehicles!$B$9:$O$50,J$6,0))</f>
        <v>38633</v>
      </c>
      <c r="H240" s="65">
        <v>1</v>
      </c>
      <c r="I240" s="49">
        <f t="shared" si="24"/>
        <v>0</v>
      </c>
      <c r="J240" s="49">
        <f t="shared" si="25"/>
        <v>38633</v>
      </c>
      <c r="K240" s="49">
        <f t="shared" si="26"/>
        <v>0</v>
      </c>
    </row>
    <row r="241" spans="2:12" x14ac:dyDescent="0.25">
      <c r="B241" s="40" t="s">
        <v>123</v>
      </c>
      <c r="C241" s="40" t="s">
        <v>49</v>
      </c>
      <c r="D241" s="40" t="s">
        <v>271</v>
      </c>
      <c r="E241" s="43" t="s">
        <v>16</v>
      </c>
      <c r="G241" s="49">
        <f>IF(ISNA(VLOOKUP($B241,'Other Capital Needs'!$C$51:$P$95,J$6,0)),0,VLOOKUP($B241,'Other Capital Needs'!$C$51:$P$95,J$6,0))+IF(ISNA(VLOOKUP('Project Details by Yr'!$B241,'Public Grounds'!$A$11:$N$49,J$6,0)),0,VLOOKUP('Project Details by Yr'!$B241,'Public Grounds'!$A$11:$N$49,J$6,0))+IF(ISNA(VLOOKUP('Project Details by Yr'!$B241,'Public Buildings'!$A$10:$N$96,J$6,0)),0,VLOOKUP('Project Details by Yr'!$B241,'Public Buildings'!$A$10:$N$96,J$6,0))+IF(ISNA(VLOOKUP('Project Details by Yr'!$B241,Bridges!$A$9:$N$24,J$6,0)),0,VLOOKUP('Project Details by Yr'!$B241,Bridges!$A$9:$N$24,J$6,0))+IF(ISNA(VLOOKUP('Project Details by Yr'!$B241,'Parking Lots &amp; Playgrounds'!$A$9:$N$33,J$6,0)),0,VLOOKUP('Project Details by Yr'!$B241,'Parking Lots &amp; Playgrounds'!$A$9:$N$33,J$6,0))+IF(ISNA(VLOOKUP($B241,Vehicles!$B$9:$O$50,J$6,0)),0,VLOOKUP($B241,Vehicles!$B$9:$O$50,J$6,0))</f>
        <v>0</v>
      </c>
      <c r="H241" s="65"/>
      <c r="I241" s="49">
        <f t="shared" si="24"/>
        <v>0</v>
      </c>
      <c r="J241" s="49">
        <f t="shared" si="25"/>
        <v>0</v>
      </c>
      <c r="K241" s="49">
        <f t="shared" si="26"/>
        <v>0</v>
      </c>
      <c r="L241" s="52" t="s">
        <v>289</v>
      </c>
    </row>
    <row r="242" spans="2:12" x14ac:dyDescent="0.25">
      <c r="B242" s="40" t="s">
        <v>118</v>
      </c>
      <c r="C242" s="40" t="s">
        <v>49</v>
      </c>
      <c r="D242" s="40" t="s">
        <v>271</v>
      </c>
      <c r="E242" s="43" t="s">
        <v>16</v>
      </c>
      <c r="G242" s="49">
        <f>IF(ISNA(VLOOKUP($B242,'Other Capital Needs'!$C$51:$P$95,J$6,0)),0,VLOOKUP($B242,'Other Capital Needs'!$C$51:$P$95,J$6,0))+IF(ISNA(VLOOKUP('Project Details by Yr'!$B242,'Public Grounds'!$A$11:$N$49,J$6,0)),0,VLOOKUP('Project Details by Yr'!$B242,'Public Grounds'!$A$11:$N$49,J$6,0))+IF(ISNA(VLOOKUP('Project Details by Yr'!$B242,'Public Buildings'!$A$10:$N$96,J$6,0)),0,VLOOKUP('Project Details by Yr'!$B242,'Public Buildings'!$A$10:$N$96,J$6,0))+IF(ISNA(VLOOKUP('Project Details by Yr'!$B242,Bridges!$A$9:$N$24,J$6,0)),0,VLOOKUP('Project Details by Yr'!$B242,Bridges!$A$9:$N$24,J$6,0))+IF(ISNA(VLOOKUP('Project Details by Yr'!$B242,'Parking Lots &amp; Playgrounds'!$A$9:$N$33,J$6,0)),0,VLOOKUP('Project Details by Yr'!$B242,'Parking Lots &amp; Playgrounds'!$A$9:$N$33,J$6,0))+IF(ISNA(VLOOKUP($B242,Vehicles!$B$9:$O$50,J$6,0)),0,VLOOKUP($B242,Vehicles!$B$9:$O$50,J$6,0))</f>
        <v>35074</v>
      </c>
      <c r="H242" s="65">
        <v>1</v>
      </c>
      <c r="I242" s="49">
        <f t="shared" si="24"/>
        <v>0</v>
      </c>
      <c r="J242" s="49">
        <f t="shared" si="25"/>
        <v>35074</v>
      </c>
      <c r="K242" s="49">
        <f t="shared" si="26"/>
        <v>0</v>
      </c>
    </row>
    <row r="243" spans="2:12" x14ac:dyDescent="0.25">
      <c r="B243" s="40" t="s">
        <v>117</v>
      </c>
      <c r="C243" s="40" t="s">
        <v>49</v>
      </c>
      <c r="D243" s="40" t="s">
        <v>271</v>
      </c>
      <c r="E243" s="43" t="s">
        <v>16</v>
      </c>
      <c r="G243" s="49">
        <f>IF(ISNA(VLOOKUP($B243,'Other Capital Needs'!$C$51:$P$95,J$6,0)),0,VLOOKUP($B243,'Other Capital Needs'!$C$51:$P$95,J$6,0))+IF(ISNA(VLOOKUP('Project Details by Yr'!$B243,'Public Grounds'!$A$11:$N$49,J$6,0)),0,VLOOKUP('Project Details by Yr'!$B243,'Public Grounds'!$A$11:$N$49,J$6,0))+IF(ISNA(VLOOKUP('Project Details by Yr'!$B243,'Public Buildings'!$A$10:$N$96,J$6,0)),0,VLOOKUP('Project Details by Yr'!$B243,'Public Buildings'!$A$10:$N$96,J$6,0))+IF(ISNA(VLOOKUP('Project Details by Yr'!$B243,Bridges!$A$9:$N$24,J$6,0)),0,VLOOKUP('Project Details by Yr'!$B243,Bridges!$A$9:$N$24,J$6,0))+IF(ISNA(VLOOKUP('Project Details by Yr'!$B243,'Parking Lots &amp; Playgrounds'!$A$9:$N$33,J$6,0)),0,VLOOKUP('Project Details by Yr'!$B243,'Parking Lots &amp; Playgrounds'!$A$9:$N$33,J$6,0))+IF(ISNA(VLOOKUP($B243,Vehicles!$B$9:$O$50,J$6,0)),0,VLOOKUP($B243,Vehicles!$B$9:$O$50,J$6,0))</f>
        <v>75000</v>
      </c>
      <c r="H243" s="65">
        <v>1</v>
      </c>
      <c r="I243" s="49">
        <f t="shared" si="24"/>
        <v>0</v>
      </c>
      <c r="J243" s="49">
        <f t="shared" si="25"/>
        <v>75000</v>
      </c>
      <c r="K243" s="49">
        <f t="shared" si="26"/>
        <v>0</v>
      </c>
    </row>
    <row r="244" spans="2:12" x14ac:dyDescent="0.25">
      <c r="B244" s="40" t="s">
        <v>132</v>
      </c>
      <c r="C244" s="40" t="s">
        <v>49</v>
      </c>
      <c r="D244" s="40" t="s">
        <v>271</v>
      </c>
      <c r="E244" s="43" t="s">
        <v>16</v>
      </c>
      <c r="G244" s="49">
        <f>IF(ISNA(VLOOKUP($B244,'Other Capital Needs'!$C$51:$P$95,J$6,0)),0,VLOOKUP($B244,'Other Capital Needs'!$C$51:$P$95,J$6,0))+IF(ISNA(VLOOKUP('Project Details by Yr'!$B244,'Public Grounds'!$A$11:$N$49,J$6,0)),0,VLOOKUP('Project Details by Yr'!$B244,'Public Grounds'!$A$11:$N$49,J$6,0))+IF(ISNA(VLOOKUP('Project Details by Yr'!$B244,'Public Buildings'!$A$10:$N$96,J$6,0)),0,VLOOKUP('Project Details by Yr'!$B244,'Public Buildings'!$A$10:$N$96,J$6,0))+IF(ISNA(VLOOKUP('Project Details by Yr'!$B244,Bridges!$A$9:$N$24,J$6,0)),0,VLOOKUP('Project Details by Yr'!$B244,Bridges!$A$9:$N$24,J$6,0))+IF(ISNA(VLOOKUP('Project Details by Yr'!$B244,'Parking Lots &amp; Playgrounds'!$A$9:$N$33,J$6,0)),0,VLOOKUP('Project Details by Yr'!$B244,'Parking Lots &amp; Playgrounds'!$A$9:$N$33,J$6,0))+IF(ISNA(VLOOKUP($B244,Vehicles!$B$9:$O$50,J$6,0)),0,VLOOKUP($B244,Vehicles!$B$9:$O$50,J$6,0))</f>
        <v>7500</v>
      </c>
      <c r="H244" s="65">
        <v>1</v>
      </c>
      <c r="I244" s="49">
        <f t="shared" si="24"/>
        <v>0</v>
      </c>
      <c r="J244" s="49">
        <f t="shared" si="25"/>
        <v>7500</v>
      </c>
      <c r="K244" s="49">
        <f t="shared" si="26"/>
        <v>0</v>
      </c>
    </row>
    <row r="245" spans="2:12" x14ac:dyDescent="0.25">
      <c r="B245" s="40" t="s">
        <v>136</v>
      </c>
      <c r="C245" s="40" t="s">
        <v>49</v>
      </c>
      <c r="D245" s="40" t="s">
        <v>271</v>
      </c>
      <c r="E245" s="43" t="s">
        <v>16</v>
      </c>
      <c r="G245" s="49">
        <f>IF(ISNA(VLOOKUP($B245,'Other Capital Needs'!$C$51:$P$95,J$6,0)),0,VLOOKUP($B245,'Other Capital Needs'!$C$51:$P$95,J$6,0))+IF(ISNA(VLOOKUP('Project Details by Yr'!$B245,'Public Grounds'!$A$11:$N$49,J$6,0)),0,VLOOKUP('Project Details by Yr'!$B245,'Public Grounds'!$A$11:$N$49,J$6,0))+IF(ISNA(VLOOKUP('Project Details by Yr'!$B245,'Public Buildings'!$A$10:$N$96,J$6,0)),0,VLOOKUP('Project Details by Yr'!$B245,'Public Buildings'!$A$10:$N$96,J$6,0))+IF(ISNA(VLOOKUP('Project Details by Yr'!$B245,Bridges!$A$9:$N$24,J$6,0)),0,VLOOKUP('Project Details by Yr'!$B245,Bridges!$A$9:$N$24,J$6,0))+IF(ISNA(VLOOKUP('Project Details by Yr'!$B245,'Parking Lots &amp; Playgrounds'!$A$9:$N$33,J$6,0)),0,VLOOKUP('Project Details by Yr'!$B245,'Parking Lots &amp; Playgrounds'!$A$9:$N$33,J$6,0))+IF(ISNA(VLOOKUP($B245,Vehicles!$B$9:$O$50,J$6,0)),0,VLOOKUP($B245,Vehicles!$B$9:$O$50,J$6,0))</f>
        <v>26266</v>
      </c>
      <c r="H245" s="65">
        <v>1</v>
      </c>
      <c r="I245" s="49">
        <f t="shared" si="24"/>
        <v>0</v>
      </c>
      <c r="J245" s="49">
        <f t="shared" si="25"/>
        <v>26266</v>
      </c>
      <c r="K245" s="49">
        <f t="shared" si="26"/>
        <v>0</v>
      </c>
    </row>
    <row r="246" spans="2:12" x14ac:dyDescent="0.25">
      <c r="B246" s="40" t="s">
        <v>138</v>
      </c>
      <c r="C246" s="40" t="s">
        <v>49</v>
      </c>
      <c r="D246" s="40" t="s">
        <v>271</v>
      </c>
      <c r="E246" s="43" t="s">
        <v>16</v>
      </c>
      <c r="G246" s="49">
        <f>IF(ISNA(VLOOKUP($B246,'Other Capital Needs'!$C$51:$P$95,J$6,0)),0,VLOOKUP($B246,'Other Capital Needs'!$C$51:$P$95,J$6,0))+IF(ISNA(VLOOKUP('Project Details by Yr'!$B246,'Public Grounds'!$A$11:$N$49,J$6,0)),0,VLOOKUP('Project Details by Yr'!$B246,'Public Grounds'!$A$11:$N$49,J$6,0))+IF(ISNA(VLOOKUP('Project Details by Yr'!$B246,'Public Buildings'!$A$10:$N$96,J$6,0)),0,VLOOKUP('Project Details by Yr'!$B246,'Public Buildings'!$A$10:$N$96,J$6,0))+IF(ISNA(VLOOKUP('Project Details by Yr'!$B246,Bridges!$A$9:$N$24,J$6,0)),0,VLOOKUP('Project Details by Yr'!$B246,Bridges!$A$9:$N$24,J$6,0))+IF(ISNA(VLOOKUP('Project Details by Yr'!$B246,'Parking Lots &amp; Playgrounds'!$A$9:$N$33,J$6,0)),0,VLOOKUP('Project Details by Yr'!$B246,'Parking Lots &amp; Playgrounds'!$A$9:$N$33,J$6,0))+IF(ISNA(VLOOKUP($B246,Vehicles!$B$9:$O$50,J$6,0)),0,VLOOKUP($B246,Vehicles!$B$9:$O$50,J$6,0))</f>
        <v>50000</v>
      </c>
      <c r="H246" s="65">
        <v>1</v>
      </c>
      <c r="I246" s="49">
        <f t="shared" si="24"/>
        <v>0</v>
      </c>
      <c r="J246" s="49">
        <f t="shared" si="25"/>
        <v>50000</v>
      </c>
      <c r="K246" s="49">
        <f t="shared" si="26"/>
        <v>0</v>
      </c>
    </row>
    <row r="247" spans="2:12" x14ac:dyDescent="0.25">
      <c r="B247" s="40" t="s">
        <v>139</v>
      </c>
      <c r="C247" s="40" t="s">
        <v>49</v>
      </c>
      <c r="D247" s="40" t="s">
        <v>272</v>
      </c>
      <c r="E247" s="43" t="s">
        <v>16</v>
      </c>
      <c r="G247" s="49">
        <f>IF(ISNA(VLOOKUP($B247,'Other Capital Needs'!$C$51:$P$95,J$6,0)),0,VLOOKUP($B247,'Other Capital Needs'!$C$51:$P$95,J$6,0))+IF(ISNA(VLOOKUP('Project Details by Yr'!$B247,'Public Grounds'!$A$11:$N$49,J$6,0)),0,VLOOKUP('Project Details by Yr'!$B247,'Public Grounds'!$A$11:$N$49,J$6,0))+IF(ISNA(VLOOKUP('Project Details by Yr'!$B247,'Public Buildings'!$A$10:$N$96,J$6,0)),0,VLOOKUP('Project Details by Yr'!$B247,'Public Buildings'!$A$10:$N$96,J$6,0))+IF(ISNA(VLOOKUP('Project Details by Yr'!$B247,Bridges!$A$9:$N$24,J$6,0)),0,VLOOKUP('Project Details by Yr'!$B247,Bridges!$A$9:$N$24,J$6,0))+IF(ISNA(VLOOKUP('Project Details by Yr'!$B247,'Parking Lots &amp; Playgrounds'!$A$9:$N$33,J$6,0)),0,VLOOKUP('Project Details by Yr'!$B247,'Parking Lots &amp; Playgrounds'!$A$9:$N$33,J$6,0))+IF(ISNA(VLOOKUP($B247,Vehicles!$B$9:$O$50,J$6,0)),0,VLOOKUP($B247,Vehicles!$B$9:$O$50,J$6,0))</f>
        <v>41718</v>
      </c>
      <c r="H247" s="65">
        <v>1</v>
      </c>
      <c r="I247" s="49">
        <f t="shared" si="24"/>
        <v>0</v>
      </c>
      <c r="J247" s="49">
        <f t="shared" si="25"/>
        <v>41718</v>
      </c>
      <c r="K247" s="49">
        <f t="shared" si="26"/>
        <v>0</v>
      </c>
    </row>
    <row r="248" spans="2:12" x14ac:dyDescent="0.25">
      <c r="E248" s="43"/>
      <c r="G248" s="49"/>
      <c r="H248" s="65"/>
      <c r="I248" s="49"/>
      <c r="J248" s="49"/>
      <c r="K248" s="49"/>
    </row>
    <row r="249" spans="2:12" x14ac:dyDescent="0.25">
      <c r="B249" s="40" t="s">
        <v>273</v>
      </c>
      <c r="C249" s="40" t="s">
        <v>250</v>
      </c>
      <c r="D249" s="40" t="s">
        <v>271</v>
      </c>
      <c r="E249" s="43" t="s">
        <v>16</v>
      </c>
      <c r="G249" s="49">
        <f>Summary!H38</f>
        <v>1500000</v>
      </c>
      <c r="H249" s="65">
        <v>1</v>
      </c>
      <c r="I249" s="49">
        <f t="shared" si="24"/>
        <v>0</v>
      </c>
      <c r="J249" s="49">
        <f t="shared" si="25"/>
        <v>1500000</v>
      </c>
      <c r="K249" s="49">
        <f t="shared" si="26"/>
        <v>0</v>
      </c>
    </row>
    <row r="250" spans="2:12" x14ac:dyDescent="0.25">
      <c r="B250" s="40" t="s">
        <v>273</v>
      </c>
      <c r="C250" s="40" t="s">
        <v>250</v>
      </c>
      <c r="D250" s="40" t="s">
        <v>271</v>
      </c>
      <c r="E250" s="43" t="s">
        <v>19</v>
      </c>
      <c r="G250" s="49">
        <f>Summary!H41</f>
        <v>0</v>
      </c>
      <c r="H250" s="65">
        <v>1</v>
      </c>
      <c r="I250" s="49">
        <f t="shared" si="24"/>
        <v>0</v>
      </c>
      <c r="J250" s="49">
        <f t="shared" si="25"/>
        <v>0</v>
      </c>
      <c r="K250" s="49">
        <f t="shared" si="26"/>
        <v>0</v>
      </c>
    </row>
    <row r="251" spans="2:12" x14ac:dyDescent="0.25">
      <c r="B251" s="40" t="s">
        <v>205</v>
      </c>
      <c r="C251" s="40" t="s">
        <v>48</v>
      </c>
      <c r="D251" s="40" t="s">
        <v>271</v>
      </c>
      <c r="E251" s="43" t="s">
        <v>16</v>
      </c>
      <c r="G251" s="49">
        <f>IF(ISNA(VLOOKUP($B251,'Other Capital Needs'!$C$51:$P$95,J$6,0)),0,VLOOKUP($B251,'Other Capital Needs'!$C$51:$P$95,J$6,0))+IF(ISNA(VLOOKUP('Project Details by Yr'!$B251,'Public Grounds'!$A$11:$N$49,J$6,0)),0,VLOOKUP('Project Details by Yr'!$B251,'Public Grounds'!$A$11:$N$49,J$6,0))+IF(ISNA(VLOOKUP('Project Details by Yr'!$B251,'Public Buildings'!$A$10:$N$96,J$6,0)),0,VLOOKUP('Project Details by Yr'!$B251,'Public Buildings'!$A$10:$N$96,J$6,0))+IF(ISNA(VLOOKUP('Project Details by Yr'!$B251,Bridges!$A$9:$N$24,J$6,0)),0,VLOOKUP('Project Details by Yr'!$B251,Bridges!$A$9:$N$24,J$6,0))+IF(ISNA(VLOOKUP('Project Details by Yr'!$B251,'Parking Lots &amp; Playgrounds'!$A$9:$N$33,J$6,0)),0,VLOOKUP('Project Details by Yr'!$B251,'Parking Lots &amp; Playgrounds'!$A$9:$N$33,J$6,0))+IF(ISNA(VLOOKUP($B251,Vehicles!$B$9:$O$50,J$6,0)),0,VLOOKUP($B251,Vehicles!$B$9:$O$50,J$6,0))</f>
        <v>250000</v>
      </c>
      <c r="H251" s="65">
        <v>1</v>
      </c>
      <c r="I251" s="49">
        <f t="shared" si="24"/>
        <v>0</v>
      </c>
      <c r="J251" s="49">
        <f t="shared" si="25"/>
        <v>250000</v>
      </c>
      <c r="K251" s="49">
        <f t="shared" si="26"/>
        <v>0</v>
      </c>
    </row>
    <row r="252" spans="2:12" x14ac:dyDescent="0.25">
      <c r="E252" s="43"/>
      <c r="G252" s="49"/>
      <c r="H252" s="65"/>
      <c r="I252" s="62"/>
      <c r="K252" s="62"/>
    </row>
    <row r="253" spans="2:12" ht="15.75" thickBot="1" x14ac:dyDescent="0.3">
      <c r="G253" s="58">
        <f>SUM(G205:G252)</f>
        <v>4943691</v>
      </c>
      <c r="H253" s="59">
        <f>SUM(H205:H252)</f>
        <v>34</v>
      </c>
      <c r="I253" s="58">
        <f>SUM(I205:I252)</f>
        <v>0</v>
      </c>
      <c r="J253" s="58">
        <f>SUM(J205:J252)</f>
        <v>3778691</v>
      </c>
      <c r="K253" s="58">
        <f>SUM(K205:K252)</f>
        <v>120000</v>
      </c>
    </row>
    <row r="254" spans="2:12" ht="15.75" thickTop="1" x14ac:dyDescent="0.25">
      <c r="G254" s="60" t="e">
        <f>G253-Summary!H96</f>
        <v>#REF!</v>
      </c>
      <c r="H254" s="66"/>
      <c r="I254" s="63"/>
      <c r="K254" s="63"/>
    </row>
    <row r="257" spans="1:12" x14ac:dyDescent="0.25">
      <c r="B257" s="46" t="s">
        <v>274</v>
      </c>
      <c r="C257" s="46" t="s">
        <v>246</v>
      </c>
      <c r="D257" s="46" t="s">
        <v>275</v>
      </c>
      <c r="E257" s="46" t="s">
        <v>270</v>
      </c>
      <c r="G257" s="46" t="s">
        <v>7</v>
      </c>
      <c r="H257" s="47" t="s">
        <v>284</v>
      </c>
      <c r="I257" s="46" t="s">
        <v>19</v>
      </c>
      <c r="J257" s="46" t="s">
        <v>16</v>
      </c>
      <c r="K257" s="46" t="s">
        <v>285</v>
      </c>
    </row>
    <row r="258" spans="1:12" x14ac:dyDescent="0.25">
      <c r="E258" s="43"/>
      <c r="H258" s="66"/>
      <c r="I258" s="61"/>
      <c r="J258" s="61"/>
    </row>
    <row r="259" spans="1:12" x14ac:dyDescent="0.25">
      <c r="A259" s="48" t="s">
        <v>210</v>
      </c>
      <c r="B259" s="40" t="s">
        <v>204</v>
      </c>
      <c r="C259" s="40" t="s">
        <v>101</v>
      </c>
      <c r="D259" s="40" t="s">
        <v>271</v>
      </c>
      <c r="E259" s="43" t="s">
        <v>16</v>
      </c>
      <c r="G259" s="49">
        <f>IF(ISNA(VLOOKUP($B259,'Other Capital Needs'!$C$51:$P$95,K$6,0)),0,VLOOKUP($B259,'Other Capital Needs'!$C$51:$P$95,K$6,0))+IF(ISNA(VLOOKUP('Project Details by Yr'!$B259,'Public Grounds'!$A$11:$N$49,K$6,0)),0,VLOOKUP('Project Details by Yr'!$B259,'Public Grounds'!$A$11:$N$49,K$6,0))+IF(ISNA(VLOOKUP('Project Details by Yr'!$B259,'Public Buildings'!$A$10:$N$96,K$6,0)),0,VLOOKUP('Project Details by Yr'!$B259,'Public Buildings'!$A$10:$N$96,K$6,0))+IF(ISNA(VLOOKUP('Project Details by Yr'!$B259,Bridges!$A$9:$N$24,K$6,0)),0,VLOOKUP('Project Details by Yr'!$B259,Bridges!$A$9:$N$24,K$6,0))+IF(ISNA(VLOOKUP('Project Details by Yr'!$B259,'Parking Lots &amp; Playgrounds'!$A$9:$N$33,K$6,0)),0,VLOOKUP('Project Details by Yr'!$B259,'Parking Lots &amp; Playgrounds'!$A$9:$N$33,K$6,0))+IF(ISNA(VLOOKUP($B259,Vehicles!$B$9:$O$50,K$6,0)),0,VLOOKUP($B259,Vehicles!$B$9:$O$50,K$6,0))</f>
        <v>96700</v>
      </c>
      <c r="H259" s="65">
        <v>1</v>
      </c>
      <c r="I259" s="49">
        <f t="shared" ref="I259:I294" si="28">IF($H259=1,IF($E259="Bond",$G259,IF(E259="BAN",$G259,0)),0)</f>
        <v>0</v>
      </c>
      <c r="J259" s="49">
        <f t="shared" ref="J259:J297" si="29">IF($H259=1,IF($E259="GF",$G259,0),0)</f>
        <v>96700</v>
      </c>
      <c r="K259" s="49">
        <f t="shared" ref="K259:K297" si="30">IF($H259=1,IF($E259="Grant",$G259,0),0)</f>
        <v>0</v>
      </c>
    </row>
    <row r="260" spans="1:12" x14ac:dyDescent="0.25">
      <c r="A260" s="48">
        <v>32</v>
      </c>
      <c r="B260" s="54" t="s">
        <v>168</v>
      </c>
      <c r="C260" s="40" t="s">
        <v>101</v>
      </c>
      <c r="D260" s="40" t="s">
        <v>271</v>
      </c>
      <c r="E260" s="53" t="s">
        <v>16</v>
      </c>
      <c r="G260" s="49">
        <f>IF(ISNA(VLOOKUP($B260,'Other Capital Needs'!$C$51:$P$95,K$6,0)),0,VLOOKUP($B260,'Other Capital Needs'!$C$51:$P$95,K$6,0))+IF(ISNA(VLOOKUP('Project Details by Yr'!$B260,'Public Grounds'!$A$11:$N$49,K$6,0)),0,VLOOKUP('Project Details by Yr'!$B260,'Public Grounds'!$A$11:$N$49,K$6,0))+IF(ISNA(VLOOKUP('Project Details by Yr'!$B260,'Public Buildings'!$A$10:$N$96,K$6,0)),0,VLOOKUP('Project Details by Yr'!$B260,'Public Buildings'!$A$10:$N$96,K$6,0))+IF(ISNA(VLOOKUP('Project Details by Yr'!$B260,Bridges!$A$9:$N$24,K$6,0)),0,VLOOKUP('Project Details by Yr'!$B260,Bridges!$A$9:$N$24,K$6,0))+IF(ISNA(VLOOKUP('Project Details by Yr'!$B260,'Parking Lots &amp; Playgrounds'!$A$9:$N$33,K$6,0)),0,VLOOKUP('Project Details by Yr'!$B260,'Parking Lots &amp; Playgrounds'!$A$9:$N$33,K$6,0))+IF(ISNA(VLOOKUP($B260,Vehicles!$B$9:$O$50,K$6,0)),0,VLOOKUP($B260,Vehicles!$B$9:$O$50,K$6,0))</f>
        <v>0</v>
      </c>
      <c r="H260" s="65">
        <v>1</v>
      </c>
      <c r="I260" s="49">
        <f t="shared" si="28"/>
        <v>0</v>
      </c>
      <c r="J260" s="49">
        <f t="shared" si="29"/>
        <v>0</v>
      </c>
      <c r="K260" s="49">
        <f t="shared" si="30"/>
        <v>0</v>
      </c>
    </row>
    <row r="261" spans="1:12" x14ac:dyDescent="0.25">
      <c r="A261" s="48">
        <v>32</v>
      </c>
      <c r="B261" s="54" t="s">
        <v>169</v>
      </c>
      <c r="C261" s="40" t="s">
        <v>101</v>
      </c>
      <c r="D261" s="40" t="s">
        <v>271</v>
      </c>
      <c r="E261" s="53" t="s">
        <v>16</v>
      </c>
      <c r="G261" s="49">
        <f>IF(ISNA(VLOOKUP($B261,'Other Capital Needs'!$C$51:$P$95,K$6,0)),0,VLOOKUP($B261,'Other Capital Needs'!$C$51:$P$95,K$6,0))+IF(ISNA(VLOOKUP('Project Details by Yr'!$B261,'Public Grounds'!$A$11:$N$49,K$6,0)),0,VLOOKUP('Project Details by Yr'!$B261,'Public Grounds'!$A$11:$N$49,K$6,0))+IF(ISNA(VLOOKUP('Project Details by Yr'!$B261,'Public Buildings'!$A$10:$N$96,K$6,0)),0,VLOOKUP('Project Details by Yr'!$B261,'Public Buildings'!$A$10:$N$96,K$6,0))+IF(ISNA(VLOOKUP('Project Details by Yr'!$B261,Bridges!$A$9:$N$24,K$6,0)),0,VLOOKUP('Project Details by Yr'!$B261,Bridges!$A$9:$N$24,K$6,0))+IF(ISNA(VLOOKUP('Project Details by Yr'!$B261,'Parking Lots &amp; Playgrounds'!$A$9:$N$33,K$6,0)),0,VLOOKUP('Project Details by Yr'!$B261,'Parking Lots &amp; Playgrounds'!$A$9:$N$33,K$6,0))+IF(ISNA(VLOOKUP($B261,Vehicles!$B$9:$O$50,K$6,0)),0,VLOOKUP($B261,Vehicles!$B$9:$O$50,K$6,0))</f>
        <v>0</v>
      </c>
      <c r="H261" s="65">
        <v>1</v>
      </c>
      <c r="I261" s="49">
        <f t="shared" si="28"/>
        <v>0</v>
      </c>
      <c r="J261" s="49">
        <f t="shared" si="29"/>
        <v>0</v>
      </c>
      <c r="K261" s="49">
        <f t="shared" si="30"/>
        <v>0</v>
      </c>
    </row>
    <row r="262" spans="1:12" x14ac:dyDescent="0.25">
      <c r="A262" s="48">
        <v>32</v>
      </c>
      <c r="B262" s="54" t="s">
        <v>174</v>
      </c>
      <c r="C262" s="40" t="s">
        <v>101</v>
      </c>
      <c r="D262" s="40" t="s">
        <v>271</v>
      </c>
      <c r="E262" s="53" t="s">
        <v>16</v>
      </c>
      <c r="G262" s="49">
        <f>IF(ISNA(VLOOKUP($B262,'Other Capital Needs'!$C$51:$P$95,K$6,0)),0,VLOOKUP($B262,'Other Capital Needs'!$C$51:$P$95,K$6,0))+IF(ISNA(VLOOKUP('Project Details by Yr'!$B262,'Public Grounds'!$A$11:$N$49,K$6,0)),0,VLOOKUP('Project Details by Yr'!$B262,'Public Grounds'!$A$11:$N$49,K$6,0))+IF(ISNA(VLOOKUP('Project Details by Yr'!$B262,'Public Buildings'!$A$10:$N$96,K$6,0)),0,VLOOKUP('Project Details by Yr'!$B262,'Public Buildings'!$A$10:$N$96,K$6,0))+IF(ISNA(VLOOKUP('Project Details by Yr'!$B262,Bridges!$A$9:$N$24,K$6,0)),0,VLOOKUP('Project Details by Yr'!$B262,Bridges!$A$9:$N$24,K$6,0))+IF(ISNA(VLOOKUP('Project Details by Yr'!$B262,'Parking Lots &amp; Playgrounds'!$A$9:$N$33,K$6,0)),0,VLOOKUP('Project Details by Yr'!$B262,'Parking Lots &amp; Playgrounds'!$A$9:$N$33,K$6,0))+IF(ISNA(VLOOKUP($B262,Vehicles!$B$9:$O$50,K$6,0)),0,VLOOKUP($B262,Vehicles!$B$9:$O$50,K$6,0))</f>
        <v>0</v>
      </c>
      <c r="H262" s="65">
        <v>1</v>
      </c>
      <c r="I262" s="49">
        <f t="shared" si="28"/>
        <v>0</v>
      </c>
      <c r="J262" s="49">
        <f t="shared" si="29"/>
        <v>0</v>
      </c>
      <c r="K262" s="49">
        <f t="shared" si="30"/>
        <v>0</v>
      </c>
    </row>
    <row r="263" spans="1:12" x14ac:dyDescent="0.25">
      <c r="A263" s="48">
        <v>32</v>
      </c>
      <c r="B263" s="54" t="s">
        <v>175</v>
      </c>
      <c r="C263" s="54" t="s">
        <v>101</v>
      </c>
      <c r="D263" s="54" t="s">
        <v>271</v>
      </c>
      <c r="E263" s="53" t="s">
        <v>16</v>
      </c>
      <c r="F263" s="54"/>
      <c r="G263" s="49">
        <f>IF(ISNA(VLOOKUP($B263,'Other Capital Needs'!$C$51:$P$95,K$6,0)),0,VLOOKUP($B263,'Other Capital Needs'!$C$51:$P$95,K$6,0))+IF(ISNA(VLOOKUP('Project Details by Yr'!$B263,'Public Grounds'!$A$11:$N$49,K$6,0)),0,VLOOKUP('Project Details by Yr'!$B263,'Public Grounds'!$A$11:$N$49,K$6,0))+IF(ISNA(VLOOKUP('Project Details by Yr'!$B263,'Public Buildings'!$A$10:$N$96,K$6,0)),0,VLOOKUP('Project Details by Yr'!$B263,'Public Buildings'!$A$10:$N$96,K$6,0))+IF(ISNA(VLOOKUP('Project Details by Yr'!$B263,Bridges!$A$9:$N$24,K$6,0)),0,VLOOKUP('Project Details by Yr'!$B263,Bridges!$A$9:$N$24,K$6,0))+IF(ISNA(VLOOKUP('Project Details by Yr'!$B263,'Parking Lots &amp; Playgrounds'!$A$9:$N$33,K$6,0)),0,VLOOKUP('Project Details by Yr'!$B263,'Parking Lots &amp; Playgrounds'!$A$9:$N$33,K$6,0))+IF(ISNA(VLOOKUP($B263,Vehicles!$B$9:$O$50,K$6,0)),0,VLOOKUP($B263,Vehicles!$B$9:$O$50,K$6,0))</f>
        <v>0</v>
      </c>
      <c r="H263" s="65">
        <v>1</v>
      </c>
      <c r="I263" s="49">
        <f t="shared" si="28"/>
        <v>0</v>
      </c>
      <c r="J263" s="49">
        <f t="shared" si="29"/>
        <v>0</v>
      </c>
      <c r="K263" s="49">
        <f t="shared" si="30"/>
        <v>0</v>
      </c>
    </row>
    <row r="264" spans="1:12" x14ac:dyDescent="0.25">
      <c r="A264" s="48">
        <v>36</v>
      </c>
      <c r="B264" s="54" t="s">
        <v>177</v>
      </c>
      <c r="C264" s="54" t="s">
        <v>101</v>
      </c>
      <c r="D264" s="54" t="s">
        <v>271</v>
      </c>
      <c r="E264" s="53" t="s">
        <v>16</v>
      </c>
      <c r="F264" s="54"/>
      <c r="G264" s="49">
        <f>IF(ISNA(VLOOKUP($B264,'Other Capital Needs'!$C$51:$P$95,K$6,0)),0,VLOOKUP($B264,'Other Capital Needs'!$C$51:$P$95,K$6,0))+IF(ISNA(VLOOKUP('Project Details by Yr'!$B264,'Public Grounds'!$A$11:$N$49,K$6,0)),0,VLOOKUP('Project Details by Yr'!$B264,'Public Grounds'!$A$11:$N$49,K$6,0))+IF(ISNA(VLOOKUP('Project Details by Yr'!$B264,'Public Buildings'!$A$10:$N$96,K$6,0)),0,VLOOKUP('Project Details by Yr'!$B264,'Public Buildings'!$A$10:$N$96,K$6,0))+IF(ISNA(VLOOKUP('Project Details by Yr'!$B264,Bridges!$A$9:$N$24,K$6,0)),0,VLOOKUP('Project Details by Yr'!$B264,Bridges!$A$9:$N$24,K$6,0))+IF(ISNA(VLOOKUP('Project Details by Yr'!$B264,'Parking Lots &amp; Playgrounds'!$A$9:$N$33,K$6,0)),0,VLOOKUP('Project Details by Yr'!$B264,'Parking Lots &amp; Playgrounds'!$A$9:$N$33,K$6,0))+IF(ISNA(VLOOKUP($B264,Vehicles!$B$9:$O$50,K$6,0)),0,VLOOKUP($B264,Vehicles!$B$9:$O$50,K$6,0))</f>
        <v>0</v>
      </c>
      <c r="H264" s="65">
        <v>1</v>
      </c>
      <c r="I264" s="49">
        <f t="shared" si="28"/>
        <v>0</v>
      </c>
      <c r="J264" s="49">
        <f t="shared" si="29"/>
        <v>0</v>
      </c>
      <c r="K264" s="49">
        <f t="shared" si="30"/>
        <v>0</v>
      </c>
    </row>
    <row r="265" spans="1:12" x14ac:dyDescent="0.25">
      <c r="A265" s="48">
        <v>36</v>
      </c>
      <c r="B265" s="54" t="s">
        <v>179</v>
      </c>
      <c r="C265" s="54" t="s">
        <v>101</v>
      </c>
      <c r="D265" s="54" t="s">
        <v>271</v>
      </c>
      <c r="E265" s="53" t="s">
        <v>285</v>
      </c>
      <c r="F265" s="54"/>
      <c r="G265" s="49">
        <f>IF(ISNA(VLOOKUP($B265,'Other Capital Needs'!$C$51:$P$95,K$6,0)),0,VLOOKUP($B265,'Other Capital Needs'!$C$51:$P$95,K$6,0))+IF(ISNA(VLOOKUP('Project Details by Yr'!$B265,'Public Grounds'!$A$11:$N$49,K$6,0)),0,VLOOKUP('Project Details by Yr'!$B265,'Public Grounds'!$A$11:$N$49,K$6,0))+IF(ISNA(VLOOKUP('Project Details by Yr'!$B265,'Public Buildings'!$A$10:$N$96,K$6,0)),0,VLOOKUP('Project Details by Yr'!$B265,'Public Buildings'!$A$10:$N$96,K$6,0))+IF(ISNA(VLOOKUP('Project Details by Yr'!$B265,Bridges!$A$9:$N$24,K$6,0)),0,VLOOKUP('Project Details by Yr'!$B265,Bridges!$A$9:$N$24,K$6,0))+IF(ISNA(VLOOKUP('Project Details by Yr'!$B265,'Parking Lots &amp; Playgrounds'!$A$9:$N$33,K$6,0)),0,VLOOKUP('Project Details by Yr'!$B265,'Parking Lots &amp; Playgrounds'!$A$9:$N$33,K$6,0))+IF(ISNA(VLOOKUP($B265,Vehicles!$B$9:$O$50,K$6,0)),0,VLOOKUP($B265,Vehicles!$B$9:$O$50,K$6,0))</f>
        <v>120000</v>
      </c>
      <c r="H265" s="65">
        <v>1</v>
      </c>
      <c r="I265" s="49">
        <f t="shared" si="28"/>
        <v>0</v>
      </c>
      <c r="J265" s="49">
        <f t="shared" si="29"/>
        <v>0</v>
      </c>
      <c r="K265" s="49">
        <f t="shared" si="30"/>
        <v>120000</v>
      </c>
    </row>
    <row r="266" spans="1:12" x14ac:dyDescent="0.25">
      <c r="A266" s="48">
        <v>42</v>
      </c>
      <c r="B266" s="40" t="s">
        <v>184</v>
      </c>
      <c r="C266" s="40" t="s">
        <v>101</v>
      </c>
      <c r="D266" s="40" t="s">
        <v>271</v>
      </c>
      <c r="E266" s="43" t="s">
        <v>16</v>
      </c>
      <c r="G266" s="49">
        <f>IF(ISNA(VLOOKUP($B266,'Other Capital Needs'!$C$51:$P$95,K$6,0)),0,VLOOKUP($B266,'Other Capital Needs'!$C$51:$P$95,K$6,0))+IF(ISNA(VLOOKUP('Project Details by Yr'!$B266,'Public Grounds'!$A$11:$N$49,K$6,0)),0,VLOOKUP('Project Details by Yr'!$B266,'Public Grounds'!$A$11:$N$49,K$6,0))+IF(ISNA(VLOOKUP('Project Details by Yr'!$B266,'Public Buildings'!$A$10:$N$96,K$6,0)),0,VLOOKUP('Project Details by Yr'!$B266,'Public Buildings'!$A$10:$N$96,K$6,0))+IF(ISNA(VLOOKUP('Project Details by Yr'!$B266,Bridges!$A$9:$N$24,K$6,0)),0,VLOOKUP('Project Details by Yr'!$B266,Bridges!$A$9:$N$24,K$6,0))+IF(ISNA(VLOOKUP('Project Details by Yr'!$B266,'Parking Lots &amp; Playgrounds'!$A$9:$N$33,K$6,0)),0,VLOOKUP('Project Details by Yr'!$B266,'Parking Lots &amp; Playgrounds'!$A$9:$N$33,K$6,0))+IF(ISNA(VLOOKUP($B266,Vehicles!$B$9:$O$50,K$6,0)),0,VLOOKUP($B266,Vehicles!$B$9:$O$50,K$6,0))</f>
        <v>0</v>
      </c>
      <c r="H266" s="65"/>
      <c r="I266" s="49">
        <f t="shared" si="28"/>
        <v>0</v>
      </c>
      <c r="J266" s="49">
        <f t="shared" si="29"/>
        <v>0</v>
      </c>
      <c r="K266" s="49">
        <f t="shared" si="30"/>
        <v>0</v>
      </c>
    </row>
    <row r="267" spans="1:12" x14ac:dyDescent="0.25">
      <c r="A267" s="48">
        <v>43</v>
      </c>
      <c r="B267" s="40" t="s">
        <v>185</v>
      </c>
      <c r="C267" s="40" t="s">
        <v>101</v>
      </c>
      <c r="D267" s="40" t="s">
        <v>271</v>
      </c>
      <c r="E267" s="43" t="s">
        <v>16</v>
      </c>
      <c r="G267" s="49">
        <f>IF(ISNA(VLOOKUP($B267,'Other Capital Needs'!$C$51:$P$95,K$6,0)),0,VLOOKUP($B267,'Other Capital Needs'!$C$51:$P$95,K$6,0))+IF(ISNA(VLOOKUP('Project Details by Yr'!$B267,'Public Grounds'!$A$11:$N$49,K$6,0)),0,VLOOKUP('Project Details by Yr'!$B267,'Public Grounds'!$A$11:$N$49,K$6,0))+IF(ISNA(VLOOKUP('Project Details by Yr'!$B267,'Public Buildings'!$A$10:$N$96,K$6,0)),0,VLOOKUP('Project Details by Yr'!$B267,'Public Buildings'!$A$10:$N$96,K$6,0))+IF(ISNA(VLOOKUP('Project Details by Yr'!$B267,Bridges!$A$9:$N$24,K$6,0)),0,VLOOKUP('Project Details by Yr'!$B267,Bridges!$A$9:$N$24,K$6,0))+IF(ISNA(VLOOKUP('Project Details by Yr'!$B267,'Parking Lots &amp; Playgrounds'!$A$9:$N$33,K$6,0)),0,VLOOKUP('Project Details by Yr'!$B267,'Parking Lots &amp; Playgrounds'!$A$9:$N$33,K$6,0))+IF(ISNA(VLOOKUP($B267,Vehicles!$B$9:$O$50,K$6,0)),0,VLOOKUP($B267,Vehicles!$B$9:$O$50,K$6,0))</f>
        <v>0</v>
      </c>
      <c r="H267" s="65"/>
      <c r="I267" s="49">
        <f t="shared" si="28"/>
        <v>0</v>
      </c>
      <c r="J267" s="49">
        <f t="shared" si="29"/>
        <v>0</v>
      </c>
      <c r="K267" s="49">
        <f t="shared" si="30"/>
        <v>0</v>
      </c>
      <c r="L267" s="52" t="s">
        <v>293</v>
      </c>
    </row>
    <row r="268" spans="1:12" x14ac:dyDescent="0.25">
      <c r="A268" s="48">
        <v>43</v>
      </c>
      <c r="B268" s="40" t="s">
        <v>186</v>
      </c>
      <c r="C268" s="40" t="s">
        <v>101</v>
      </c>
      <c r="D268" s="40" t="s">
        <v>271</v>
      </c>
      <c r="E268" s="43" t="s">
        <v>16</v>
      </c>
      <c r="G268" s="49">
        <f>IF(ISNA(VLOOKUP($B268,'Other Capital Needs'!$C$51:$P$95,K$6,0)),0,VLOOKUP($B268,'Other Capital Needs'!$C$51:$P$95,K$6,0))+IF(ISNA(VLOOKUP('Project Details by Yr'!$B268,'Public Grounds'!$A$11:$N$49,K$6,0)),0,VLOOKUP('Project Details by Yr'!$B268,'Public Grounds'!$A$11:$N$49,K$6,0))+IF(ISNA(VLOOKUP('Project Details by Yr'!$B268,'Public Buildings'!$A$10:$N$96,K$6,0)),0,VLOOKUP('Project Details by Yr'!$B268,'Public Buildings'!$A$10:$N$96,K$6,0))+IF(ISNA(VLOOKUP('Project Details by Yr'!$B268,Bridges!$A$9:$N$24,K$6,0)),0,VLOOKUP('Project Details by Yr'!$B268,Bridges!$A$9:$N$24,K$6,0))+IF(ISNA(VLOOKUP('Project Details by Yr'!$B268,'Parking Lots &amp; Playgrounds'!$A$9:$N$33,K$6,0)),0,VLOOKUP('Project Details by Yr'!$B268,'Parking Lots &amp; Playgrounds'!$A$9:$N$33,K$6,0))+IF(ISNA(VLOOKUP($B268,Vehicles!$B$9:$O$50,K$6,0)),0,VLOOKUP($B268,Vehicles!$B$9:$O$50,K$6,0))</f>
        <v>0</v>
      </c>
      <c r="H268" s="65"/>
      <c r="I268" s="49">
        <f t="shared" si="28"/>
        <v>0</v>
      </c>
      <c r="J268" s="49">
        <f t="shared" si="29"/>
        <v>0</v>
      </c>
      <c r="K268" s="49">
        <f t="shared" si="30"/>
        <v>0</v>
      </c>
      <c r="L268" s="52" t="s">
        <v>293</v>
      </c>
    </row>
    <row r="269" spans="1:12" x14ac:dyDescent="0.25">
      <c r="A269" s="48">
        <v>53</v>
      </c>
      <c r="B269" s="40" t="s">
        <v>189</v>
      </c>
      <c r="C269" s="40" t="s">
        <v>101</v>
      </c>
      <c r="D269" s="40" t="s">
        <v>271</v>
      </c>
      <c r="E269" s="43" t="s">
        <v>16</v>
      </c>
      <c r="G269" s="49">
        <f>IF(ISNA(VLOOKUP($B269,'Other Capital Needs'!$C$51:$P$95,K$6,0)),0,VLOOKUP($B269,'Other Capital Needs'!$C$51:$P$95,K$6,0))+IF(ISNA(VLOOKUP('Project Details by Yr'!$B269,'Public Grounds'!$A$11:$N$49,K$6,0)),0,VLOOKUP('Project Details by Yr'!$B269,'Public Grounds'!$A$11:$N$49,K$6,0))+IF(ISNA(VLOOKUP('Project Details by Yr'!$B269,'Public Buildings'!$A$10:$N$96,K$6,0)),0,VLOOKUP('Project Details by Yr'!$B269,'Public Buildings'!$A$10:$N$96,K$6,0))+IF(ISNA(VLOOKUP('Project Details by Yr'!$B269,Bridges!$A$9:$N$24,K$6,0)),0,VLOOKUP('Project Details by Yr'!$B269,Bridges!$A$9:$N$24,K$6,0))+IF(ISNA(VLOOKUP('Project Details by Yr'!$B269,'Parking Lots &amp; Playgrounds'!$A$9:$N$33,K$6,0)),0,VLOOKUP('Project Details by Yr'!$B269,'Parking Lots &amp; Playgrounds'!$A$9:$N$33,K$6,0))+IF(ISNA(VLOOKUP($B269,Vehicles!$B$9:$O$50,K$6,0)),0,VLOOKUP($B269,Vehicles!$B$9:$O$50,K$6,0))</f>
        <v>0</v>
      </c>
      <c r="H269" s="65"/>
      <c r="I269" s="49">
        <f t="shared" si="28"/>
        <v>0</v>
      </c>
      <c r="J269" s="49">
        <f t="shared" si="29"/>
        <v>0</v>
      </c>
      <c r="K269" s="49">
        <f t="shared" si="30"/>
        <v>0</v>
      </c>
    </row>
    <row r="270" spans="1:12" x14ac:dyDescent="0.25">
      <c r="A270" s="48">
        <v>53</v>
      </c>
      <c r="B270" s="40" t="s">
        <v>190</v>
      </c>
      <c r="C270" s="40" t="s">
        <v>101</v>
      </c>
      <c r="D270" s="40" t="s">
        <v>271</v>
      </c>
      <c r="E270" s="43" t="s">
        <v>16</v>
      </c>
      <c r="G270" s="49">
        <f>IF(ISNA(VLOOKUP($B270,'Other Capital Needs'!$C$51:$P$95,K$6,0)),0,VLOOKUP($B270,'Other Capital Needs'!$C$51:$P$95,K$6,0))+IF(ISNA(VLOOKUP('Project Details by Yr'!$B270,'Public Grounds'!$A$11:$N$49,K$6,0)),0,VLOOKUP('Project Details by Yr'!$B270,'Public Grounds'!$A$11:$N$49,K$6,0))+IF(ISNA(VLOOKUP('Project Details by Yr'!$B270,'Public Buildings'!$A$10:$N$96,K$6,0)),0,VLOOKUP('Project Details by Yr'!$B270,'Public Buildings'!$A$10:$N$96,K$6,0))+IF(ISNA(VLOOKUP('Project Details by Yr'!$B270,Bridges!$A$9:$N$24,K$6,0)),0,VLOOKUP('Project Details by Yr'!$B270,Bridges!$A$9:$N$24,K$6,0))+IF(ISNA(VLOOKUP('Project Details by Yr'!$B270,'Parking Lots &amp; Playgrounds'!$A$9:$N$33,K$6,0)),0,VLOOKUP('Project Details by Yr'!$B270,'Parking Lots &amp; Playgrounds'!$A$9:$N$33,K$6,0))+IF(ISNA(VLOOKUP($B270,Vehicles!$B$9:$O$50,K$6,0)),0,VLOOKUP($B270,Vehicles!$B$9:$O$50,K$6,0))</f>
        <v>0</v>
      </c>
      <c r="H270" s="65"/>
      <c r="I270" s="49">
        <f t="shared" si="28"/>
        <v>0</v>
      </c>
      <c r="J270" s="49">
        <f t="shared" si="29"/>
        <v>0</v>
      </c>
      <c r="K270" s="49">
        <f t="shared" si="30"/>
        <v>0</v>
      </c>
    </row>
    <row r="271" spans="1:12" x14ac:dyDescent="0.25">
      <c r="B271" s="40" t="s">
        <v>24</v>
      </c>
      <c r="C271" s="54" t="s">
        <v>46</v>
      </c>
      <c r="D271" s="54" t="s">
        <v>271</v>
      </c>
      <c r="E271" s="43" t="s">
        <v>19</v>
      </c>
      <c r="G271" s="49">
        <f>IF(ISNA(VLOOKUP($B271,'Other Capital Needs'!$C$51:$P$95,K$6,0)),0,VLOOKUP($B271,'Other Capital Needs'!$C$51:$P$95,K$6,0))+IF(ISNA(VLOOKUP('Project Details by Yr'!$B271,'Public Grounds'!$A$11:$N$49,K$6,0)),0,VLOOKUP('Project Details by Yr'!$B271,'Public Grounds'!$A$11:$N$49,K$6,0))+IF(ISNA(VLOOKUP('Project Details by Yr'!$B271,'Public Buildings'!$A$10:$N$96,K$6,0)),0,VLOOKUP('Project Details by Yr'!$B271,'Public Buildings'!$A$10:$N$96,K$6,0))+IF(ISNA(VLOOKUP('Project Details by Yr'!$B271,Bridges!$A$9:$N$24,K$6,0)),0,VLOOKUP('Project Details by Yr'!$B271,Bridges!$A$9:$N$24,K$6,0))+IF(ISNA(VLOOKUP('Project Details by Yr'!$B271,'Parking Lots &amp; Playgrounds'!$A$9:$N$33,K$6,0)),0,VLOOKUP('Project Details by Yr'!$B271,'Parking Lots &amp; Playgrounds'!$A$9:$N$33,K$6,0))+IF(ISNA(VLOOKUP($B271,Vehicles!$B$9:$O$50,K$6,0)),0,VLOOKUP($B271,Vehicles!$B$9:$O$50,K$6,0))</f>
        <v>1500000</v>
      </c>
      <c r="H271" s="65">
        <v>0</v>
      </c>
      <c r="I271" s="51">
        <f t="shared" si="28"/>
        <v>0</v>
      </c>
      <c r="J271" s="49">
        <f t="shared" si="29"/>
        <v>0</v>
      </c>
      <c r="K271" s="49">
        <f t="shared" si="30"/>
        <v>0</v>
      </c>
    </row>
    <row r="272" spans="1:12" x14ac:dyDescent="0.25">
      <c r="B272" s="40" t="str">
        <f t="shared" ref="B272:E274" si="31">B220</f>
        <v>Sage 1 &amp; 2 construction - bathrooms &amp; concession, dugouts at Sage 2</v>
      </c>
      <c r="C272" s="40" t="str">
        <f t="shared" si="31"/>
        <v>Public Grounds</v>
      </c>
      <c r="D272" s="40" t="str">
        <f t="shared" si="31"/>
        <v>Town</v>
      </c>
      <c r="E272" s="43" t="str">
        <f t="shared" si="31"/>
        <v>GF</v>
      </c>
      <c r="G272" s="49">
        <f>G220</f>
        <v>0</v>
      </c>
      <c r="H272" s="65">
        <v>1</v>
      </c>
      <c r="I272" s="49">
        <f t="shared" ref="I272:I274" si="32">IF($H272=1,IF($E272="Bond",$G272,IF(E272="BAN",$G272,0)),0)</f>
        <v>0</v>
      </c>
      <c r="J272" s="49">
        <f t="shared" si="29"/>
        <v>0</v>
      </c>
      <c r="K272" s="49">
        <f t="shared" si="30"/>
        <v>0</v>
      </c>
    </row>
    <row r="273" spans="2:11" x14ac:dyDescent="0.25">
      <c r="B273" s="40" t="str">
        <f t="shared" si="31"/>
        <v>Dredging Sage Pond</v>
      </c>
      <c r="C273" s="40" t="str">
        <f t="shared" si="31"/>
        <v>Public Grounds</v>
      </c>
      <c r="D273" s="40" t="str">
        <f t="shared" si="31"/>
        <v>Town</v>
      </c>
      <c r="E273" s="43" t="str">
        <f t="shared" si="31"/>
        <v>GF</v>
      </c>
      <c r="G273" s="49">
        <f>G221</f>
        <v>80000</v>
      </c>
      <c r="H273" s="65">
        <v>1</v>
      </c>
      <c r="I273" s="49">
        <f t="shared" si="32"/>
        <v>0</v>
      </c>
      <c r="J273" s="49">
        <f t="shared" si="29"/>
        <v>80000</v>
      </c>
      <c r="K273" s="49">
        <f t="shared" si="30"/>
        <v>0</v>
      </c>
    </row>
    <row r="274" spans="2:11" x14ac:dyDescent="0.25">
      <c r="B274" s="40" t="str">
        <f t="shared" si="31"/>
        <v>Ragged Mountain Walking Trails</v>
      </c>
      <c r="C274" s="40" t="str">
        <f t="shared" si="31"/>
        <v>Public Grounds</v>
      </c>
      <c r="D274" s="40" t="str">
        <f t="shared" si="31"/>
        <v>Town</v>
      </c>
      <c r="E274" s="43" t="str">
        <f t="shared" si="31"/>
        <v>GF</v>
      </c>
      <c r="G274" s="49">
        <f>G222</f>
        <v>15000</v>
      </c>
      <c r="H274" s="65">
        <v>1</v>
      </c>
      <c r="I274" s="49">
        <f t="shared" si="32"/>
        <v>0</v>
      </c>
      <c r="J274" s="49">
        <f t="shared" si="29"/>
        <v>15000</v>
      </c>
      <c r="K274" s="49">
        <f t="shared" si="30"/>
        <v>0</v>
      </c>
    </row>
    <row r="275" spans="2:11" x14ac:dyDescent="0.25">
      <c r="B275" s="40" t="s">
        <v>39</v>
      </c>
      <c r="C275" s="54" t="s">
        <v>46</v>
      </c>
      <c r="D275" s="54" t="s">
        <v>271</v>
      </c>
      <c r="E275" s="43" t="s">
        <v>16</v>
      </c>
      <c r="G275" s="49">
        <f>IF(ISNA(VLOOKUP($B275,'Other Capital Needs'!$C$51:$P$95,K$6,0)),0,VLOOKUP($B275,'Other Capital Needs'!$C$51:$P$95,K$6,0))+IF(ISNA(VLOOKUP('Project Details by Yr'!$B275,'Public Grounds'!$A$11:$N$49,K$6,0)),0,VLOOKUP('Project Details by Yr'!$B275,'Public Grounds'!$A$11:$N$49,K$6,0))+IF(ISNA(VLOOKUP('Project Details by Yr'!$B275,'Public Buildings'!$A$10:$N$96,K$6,0)),0,VLOOKUP('Project Details by Yr'!$B275,'Public Buildings'!$A$10:$N$96,K$6,0))+IF(ISNA(VLOOKUP('Project Details by Yr'!$B275,Bridges!$A$9:$N$24,K$6,0)),0,VLOOKUP('Project Details by Yr'!$B275,Bridges!$A$9:$N$24,K$6,0))+IF(ISNA(VLOOKUP('Project Details by Yr'!$B275,'Parking Lots &amp; Playgrounds'!$A$9:$N$33,K$6,0)),0,VLOOKUP('Project Details by Yr'!$B275,'Parking Lots &amp; Playgrounds'!$A$9:$N$33,K$6,0))+IF(ISNA(VLOOKUP($B275,Vehicles!$B$9:$O$50,K$6,0)),0,VLOOKUP($B275,Vehicles!$B$9:$O$50,K$6,0))</f>
        <v>60000</v>
      </c>
      <c r="H275" s="65"/>
      <c r="I275" s="49">
        <f t="shared" si="28"/>
        <v>0</v>
      </c>
      <c r="J275" s="49">
        <f t="shared" si="29"/>
        <v>0</v>
      </c>
      <c r="K275" s="49">
        <f t="shared" si="30"/>
        <v>0</v>
      </c>
    </row>
    <row r="276" spans="2:11" x14ac:dyDescent="0.25">
      <c r="B276" s="40" t="s">
        <v>224</v>
      </c>
      <c r="C276" s="40" t="s">
        <v>47</v>
      </c>
      <c r="D276" s="40" t="s">
        <v>271</v>
      </c>
      <c r="E276" s="43" t="s">
        <v>16</v>
      </c>
      <c r="G276" s="49">
        <f>IF(ISNA(VLOOKUP($B276,'Other Capital Needs'!$C$51:$P$95,K$6,0)),0,VLOOKUP($B276,'Other Capital Needs'!$C$51:$P$95,K$6,0))+IF(ISNA(VLOOKUP('Project Details by Yr'!$B276,'Public Grounds'!$A$11:$N$49,K$6,0)),0,VLOOKUP('Project Details by Yr'!$B276,'Public Grounds'!$A$11:$N$49,K$6,0))+IF(ISNA(VLOOKUP('Project Details by Yr'!$B276,'Public Buildings'!$A$10:$N$96,K$6,0)),0,VLOOKUP('Project Details by Yr'!$B276,'Public Buildings'!$A$10:$N$96,K$6,0))+IF(ISNA(VLOOKUP('Project Details by Yr'!$B276,Bridges!$A$9:$N$24,K$6,0)),0,VLOOKUP('Project Details by Yr'!$B276,Bridges!$A$9:$N$24,K$6,0))+IF(ISNA(VLOOKUP('Project Details by Yr'!$B276,'Parking Lots &amp; Playgrounds'!$A$9:$N$33,K$6,0)),0,VLOOKUP('Project Details by Yr'!$B276,'Parking Lots &amp; Playgrounds'!$A$9:$N$33,K$6,0))+IF(ISNA(VLOOKUP($B276,Vehicles!$B$9:$O$50,K$6,0)),0,VLOOKUP($B276,Vehicles!$B$9:$O$50,K$6,0))</f>
        <v>45000</v>
      </c>
      <c r="H276" s="65"/>
      <c r="I276" s="49">
        <f t="shared" si="28"/>
        <v>0</v>
      </c>
      <c r="J276" s="49">
        <f t="shared" si="29"/>
        <v>0</v>
      </c>
      <c r="K276" s="49">
        <f t="shared" si="30"/>
        <v>0</v>
      </c>
    </row>
    <row r="277" spans="2:11" x14ac:dyDescent="0.25">
      <c r="B277" s="40" t="s">
        <v>225</v>
      </c>
      <c r="C277" s="40" t="s">
        <v>47</v>
      </c>
      <c r="D277" s="40" t="s">
        <v>271</v>
      </c>
      <c r="E277" s="43" t="s">
        <v>16</v>
      </c>
      <c r="G277" s="49">
        <f>IF(ISNA(VLOOKUP($B277,'Other Capital Needs'!$C$51:$P$95,K$6,0)),0,VLOOKUP($B277,'Other Capital Needs'!$C$51:$P$95,K$6,0))+IF(ISNA(VLOOKUP('Project Details by Yr'!$B277,'Public Grounds'!$A$11:$N$49,K$6,0)),0,VLOOKUP('Project Details by Yr'!$B277,'Public Grounds'!$A$11:$N$49,K$6,0))+IF(ISNA(VLOOKUP('Project Details by Yr'!$B277,'Public Buildings'!$A$10:$N$96,K$6,0)),0,VLOOKUP('Project Details by Yr'!$B277,'Public Buildings'!$A$10:$N$96,K$6,0))+IF(ISNA(VLOOKUP('Project Details by Yr'!$B277,Bridges!$A$9:$N$24,K$6,0)),0,VLOOKUP('Project Details by Yr'!$B277,Bridges!$A$9:$N$24,K$6,0))+IF(ISNA(VLOOKUP('Project Details by Yr'!$B277,'Parking Lots &amp; Playgrounds'!$A$9:$N$33,K$6,0)),0,VLOOKUP('Project Details by Yr'!$B277,'Parking Lots &amp; Playgrounds'!$A$9:$N$33,K$6,0))+IF(ISNA(VLOOKUP($B277,Vehicles!$B$9:$O$50,K$6,0)),0,VLOOKUP($B277,Vehicles!$B$9:$O$50,K$6,0))</f>
        <v>25000</v>
      </c>
      <c r="H277" s="65">
        <v>1</v>
      </c>
      <c r="I277" s="49">
        <f t="shared" si="28"/>
        <v>0</v>
      </c>
      <c r="J277" s="49">
        <f t="shared" si="29"/>
        <v>25000</v>
      </c>
      <c r="K277" s="49">
        <f t="shared" si="30"/>
        <v>0</v>
      </c>
    </row>
    <row r="278" spans="2:11" x14ac:dyDescent="0.25">
      <c r="B278" s="40" t="s">
        <v>191</v>
      </c>
      <c r="C278" s="40" t="s">
        <v>47</v>
      </c>
      <c r="D278" s="40" t="s">
        <v>272</v>
      </c>
      <c r="E278" s="43" t="s">
        <v>16</v>
      </c>
      <c r="G278" s="49">
        <f>IF(ISNA(VLOOKUP($B278,'Other Capital Needs'!$C$51:$P$95,K$6,0)),0,VLOOKUP($B278,'Other Capital Needs'!$C$51:$P$95,K$6,0))+IF(ISNA(VLOOKUP('Project Details by Yr'!$B278,'Public Grounds'!$A$11:$N$49,K$6,0)),0,VLOOKUP('Project Details by Yr'!$B278,'Public Grounds'!$A$11:$N$49,K$6,0))+IF(ISNA(VLOOKUP('Project Details by Yr'!$B278,'Public Buildings'!$A$10:$N$96,K$6,0)),0,VLOOKUP('Project Details by Yr'!$B278,'Public Buildings'!$A$10:$N$96,K$6,0))+IF(ISNA(VLOOKUP('Project Details by Yr'!$B278,Bridges!$A$9:$N$24,K$6,0)),0,VLOOKUP('Project Details by Yr'!$B278,Bridges!$A$9:$N$24,K$6,0))+IF(ISNA(VLOOKUP('Project Details by Yr'!$B278,'Parking Lots &amp; Playgrounds'!$A$9:$N$33,K$6,0)),0,VLOOKUP('Project Details by Yr'!$B278,'Parking Lots &amp; Playgrounds'!$A$9:$N$33,K$6,0))+IF(ISNA(VLOOKUP($B278,Vehicles!$B$9:$O$50,K$6,0)),0,VLOOKUP($B278,Vehicles!$B$9:$O$50,K$6,0))</f>
        <v>10000</v>
      </c>
      <c r="H278" s="65">
        <v>1</v>
      </c>
      <c r="I278" s="49">
        <f t="shared" si="28"/>
        <v>0</v>
      </c>
      <c r="J278" s="49">
        <f t="shared" si="29"/>
        <v>10000</v>
      </c>
      <c r="K278" s="49">
        <f t="shared" si="30"/>
        <v>0</v>
      </c>
    </row>
    <row r="279" spans="2:11" x14ac:dyDescent="0.25">
      <c r="B279" s="40" t="s">
        <v>192</v>
      </c>
      <c r="C279" s="40" t="s">
        <v>47</v>
      </c>
      <c r="D279" s="40" t="s">
        <v>272</v>
      </c>
      <c r="E279" s="43" t="s">
        <v>16</v>
      </c>
      <c r="G279" s="49">
        <f>IF(ISNA(VLOOKUP($B279,'Other Capital Needs'!$C$51:$P$95,K$6,0)),0,VLOOKUP($B279,'Other Capital Needs'!$C$51:$P$95,K$6,0))+IF(ISNA(VLOOKUP('Project Details by Yr'!$B279,'Public Grounds'!$A$11:$N$49,K$6,0)),0,VLOOKUP('Project Details by Yr'!$B279,'Public Grounds'!$A$11:$N$49,K$6,0))+IF(ISNA(VLOOKUP('Project Details by Yr'!$B279,'Public Buildings'!$A$10:$N$96,K$6,0)),0,VLOOKUP('Project Details by Yr'!$B279,'Public Buildings'!$A$10:$N$96,K$6,0))+IF(ISNA(VLOOKUP('Project Details by Yr'!$B279,Bridges!$A$9:$N$24,K$6,0)),0,VLOOKUP('Project Details by Yr'!$B279,Bridges!$A$9:$N$24,K$6,0))+IF(ISNA(VLOOKUP('Project Details by Yr'!$B279,'Parking Lots &amp; Playgrounds'!$A$9:$N$33,K$6,0)),0,VLOOKUP('Project Details by Yr'!$B279,'Parking Lots &amp; Playgrounds'!$A$9:$N$33,K$6,0))+IF(ISNA(VLOOKUP($B279,Vehicles!$B$9:$O$50,K$6,0)),0,VLOOKUP($B279,Vehicles!$B$9:$O$50,K$6,0))</f>
        <v>25000</v>
      </c>
      <c r="H279" s="65">
        <v>1</v>
      </c>
      <c r="I279" s="49">
        <f t="shared" si="28"/>
        <v>0</v>
      </c>
      <c r="J279" s="49">
        <f t="shared" si="29"/>
        <v>25000</v>
      </c>
      <c r="K279" s="49">
        <f t="shared" si="30"/>
        <v>0</v>
      </c>
    </row>
    <row r="280" spans="2:11" x14ac:dyDescent="0.25">
      <c r="B280" s="40" t="s">
        <v>193</v>
      </c>
      <c r="C280" s="40" t="s">
        <v>47</v>
      </c>
      <c r="D280" s="40" t="s">
        <v>272</v>
      </c>
      <c r="E280" s="43" t="s">
        <v>16</v>
      </c>
      <c r="G280" s="49">
        <f>IF(ISNA(VLOOKUP($B280,'Other Capital Needs'!$C$51:$P$95,K$6,0)),0,VLOOKUP($B280,'Other Capital Needs'!$C$51:$P$95,K$6,0))+IF(ISNA(VLOOKUP('Project Details by Yr'!$B280,'Public Grounds'!$A$11:$N$49,K$6,0)),0,VLOOKUP('Project Details by Yr'!$B280,'Public Grounds'!$A$11:$N$49,K$6,0))+IF(ISNA(VLOOKUP('Project Details by Yr'!$B280,'Public Buildings'!$A$10:$N$96,K$6,0)),0,VLOOKUP('Project Details by Yr'!$B280,'Public Buildings'!$A$10:$N$96,K$6,0))+IF(ISNA(VLOOKUP('Project Details by Yr'!$B280,Bridges!$A$9:$N$24,K$6,0)),0,VLOOKUP('Project Details by Yr'!$B280,Bridges!$A$9:$N$24,K$6,0))+IF(ISNA(VLOOKUP('Project Details by Yr'!$B280,'Parking Lots &amp; Playgrounds'!$A$9:$N$33,K$6,0)),0,VLOOKUP('Project Details by Yr'!$B280,'Parking Lots &amp; Playgrounds'!$A$9:$N$33,K$6,0))+IF(ISNA(VLOOKUP($B280,Vehicles!$B$9:$O$50,K$6,0)),0,VLOOKUP($B280,Vehicles!$B$9:$O$50,K$6,0))</f>
        <v>10000</v>
      </c>
      <c r="H280" s="65">
        <v>1</v>
      </c>
      <c r="I280" s="49">
        <f t="shared" si="28"/>
        <v>0</v>
      </c>
      <c r="J280" s="49">
        <f t="shared" si="29"/>
        <v>10000</v>
      </c>
      <c r="K280" s="49">
        <f t="shared" si="30"/>
        <v>0</v>
      </c>
    </row>
    <row r="281" spans="2:11" x14ac:dyDescent="0.25">
      <c r="B281" s="40" t="s">
        <v>95</v>
      </c>
      <c r="C281" s="40" t="s">
        <v>91</v>
      </c>
      <c r="D281" s="40" t="s">
        <v>272</v>
      </c>
      <c r="E281" s="43" t="s">
        <v>16</v>
      </c>
      <c r="G281" s="49">
        <f>IF(ISNA(VLOOKUP($B281,'Other Capital Needs'!$C$51:$P$95,K$6,0)),0,VLOOKUP($B281,'Other Capital Needs'!$C$51:$P$95,K$6,0))+IF(ISNA(VLOOKUP('Project Details by Yr'!$B281,'Public Grounds'!$A$11:$N$49,K$6,0)),0,VLOOKUP('Project Details by Yr'!$B281,'Public Grounds'!$A$11:$N$49,K$6,0))+IF(ISNA(VLOOKUP('Project Details by Yr'!$B281,'Public Buildings'!$A$10:$N$96,K$6,0)),0,VLOOKUP('Project Details by Yr'!$B281,'Public Buildings'!$A$10:$N$96,K$6,0))+IF(ISNA(VLOOKUP('Project Details by Yr'!$B281,Bridges!$A$9:$N$24,K$6,0)),0,VLOOKUP('Project Details by Yr'!$B281,Bridges!$A$9:$N$24,K$6,0))+IF(ISNA(VLOOKUP('Project Details by Yr'!$B281,'Parking Lots &amp; Playgrounds'!$A$9:$N$33,K$6,0)),0,VLOOKUP('Project Details by Yr'!$B281,'Parking Lots &amp; Playgrounds'!$A$9:$N$33,K$6,0))+IF(ISNA(VLOOKUP($B281,Vehicles!$B$9:$O$50,K$6,0)),0,VLOOKUP($B281,Vehicles!$B$9:$O$50,K$6,0))</f>
        <v>350000</v>
      </c>
      <c r="H281" s="65">
        <v>1</v>
      </c>
      <c r="I281" s="49">
        <f t="shared" si="28"/>
        <v>0</v>
      </c>
      <c r="J281" s="49">
        <f t="shared" si="29"/>
        <v>350000</v>
      </c>
      <c r="K281" s="49">
        <f t="shared" si="30"/>
        <v>0</v>
      </c>
    </row>
    <row r="282" spans="2:11" x14ac:dyDescent="0.25">
      <c r="B282" s="40" t="s">
        <v>124</v>
      </c>
      <c r="C282" s="40" t="s">
        <v>49</v>
      </c>
      <c r="D282" s="40" t="s">
        <v>271</v>
      </c>
      <c r="E282" s="43" t="s">
        <v>16</v>
      </c>
      <c r="G282" s="49">
        <f>IF(ISNA(VLOOKUP($B282,'Other Capital Needs'!$C$51:$P$95,K$6,0)),0,VLOOKUP($B282,'Other Capital Needs'!$C$51:$P$95,K$6,0))+IF(ISNA(VLOOKUP('Project Details by Yr'!$B282,'Public Grounds'!$A$11:$N$49,K$6,0)),0,VLOOKUP('Project Details by Yr'!$B282,'Public Grounds'!$A$11:$N$49,K$6,0))+IF(ISNA(VLOOKUP('Project Details by Yr'!$B282,'Public Buildings'!$A$10:$N$96,K$6,0)),0,VLOOKUP('Project Details by Yr'!$B282,'Public Buildings'!$A$10:$N$96,K$6,0))+IF(ISNA(VLOOKUP('Project Details by Yr'!$B282,Bridges!$A$9:$N$24,K$6,0)),0,VLOOKUP('Project Details by Yr'!$B282,Bridges!$A$9:$N$24,K$6,0))+IF(ISNA(VLOOKUP('Project Details by Yr'!$B282,'Parking Lots &amp; Playgrounds'!$A$9:$N$33,K$6,0)),0,VLOOKUP('Project Details by Yr'!$B282,'Parking Lots &amp; Playgrounds'!$A$9:$N$33,K$6,0))+IF(ISNA(VLOOKUP($B282,Vehicles!$B$9:$O$50,K$6,0)),0,VLOOKUP($B282,Vehicles!$B$9:$O$50,K$6,0))</f>
        <v>125000</v>
      </c>
      <c r="H282" s="65">
        <v>1</v>
      </c>
      <c r="I282" s="49">
        <f t="shared" si="28"/>
        <v>0</v>
      </c>
      <c r="J282" s="49">
        <f t="shared" si="29"/>
        <v>125000</v>
      </c>
      <c r="K282" s="49">
        <f t="shared" si="30"/>
        <v>0</v>
      </c>
    </row>
    <row r="283" spans="2:11" x14ac:dyDescent="0.25">
      <c r="B283" s="40" t="s">
        <v>127</v>
      </c>
      <c r="C283" s="40" t="s">
        <v>49</v>
      </c>
      <c r="D283" s="40" t="s">
        <v>271</v>
      </c>
      <c r="E283" s="43" t="s">
        <v>16</v>
      </c>
      <c r="G283" s="49">
        <f>IF(ISNA(VLOOKUP($B283,'Other Capital Needs'!$C$51:$P$95,K$6,0)),0,VLOOKUP($B283,'Other Capital Needs'!$C$51:$P$95,K$6,0))+IF(ISNA(VLOOKUP('Project Details by Yr'!$B283,'Public Grounds'!$A$11:$N$49,K$6,0)),0,VLOOKUP('Project Details by Yr'!$B283,'Public Grounds'!$A$11:$N$49,K$6,0))+IF(ISNA(VLOOKUP('Project Details by Yr'!$B283,'Public Buildings'!$A$10:$N$96,K$6,0)),0,VLOOKUP('Project Details by Yr'!$B283,'Public Buildings'!$A$10:$N$96,K$6,0))+IF(ISNA(VLOOKUP('Project Details by Yr'!$B283,Bridges!$A$9:$N$24,K$6,0)),0,VLOOKUP('Project Details by Yr'!$B283,Bridges!$A$9:$N$24,K$6,0))+IF(ISNA(VLOOKUP('Project Details by Yr'!$B283,'Parking Lots &amp; Playgrounds'!$A$9:$N$33,K$6,0)),0,VLOOKUP('Project Details by Yr'!$B283,'Parking Lots &amp; Playgrounds'!$A$9:$N$33,K$6,0))+IF(ISNA(VLOOKUP($B283,Vehicles!$B$9:$O$50,K$6,0)),0,VLOOKUP($B283,Vehicles!$B$9:$O$50,K$6,0))</f>
        <v>33000</v>
      </c>
      <c r="H283" s="65">
        <v>1</v>
      </c>
      <c r="I283" s="49">
        <f t="shared" si="28"/>
        <v>0</v>
      </c>
      <c r="J283" s="49">
        <f t="shared" si="29"/>
        <v>33000</v>
      </c>
      <c r="K283" s="49">
        <f t="shared" si="30"/>
        <v>0</v>
      </c>
    </row>
    <row r="284" spans="2:11" x14ac:dyDescent="0.25">
      <c r="B284" s="40" t="s">
        <v>128</v>
      </c>
      <c r="C284" s="40" t="s">
        <v>49</v>
      </c>
      <c r="D284" s="40" t="s">
        <v>271</v>
      </c>
      <c r="E284" s="43" t="s">
        <v>16</v>
      </c>
      <c r="G284" s="49">
        <f>IF(ISNA(VLOOKUP($B284,'Other Capital Needs'!$C$51:$P$95,K$6,0)),0,VLOOKUP($B284,'Other Capital Needs'!$C$51:$P$95,K$6,0))+IF(ISNA(VLOOKUP('Project Details by Yr'!$B284,'Public Grounds'!$A$11:$N$49,K$6,0)),0,VLOOKUP('Project Details by Yr'!$B284,'Public Grounds'!$A$11:$N$49,K$6,0))+IF(ISNA(VLOOKUP('Project Details by Yr'!$B284,'Public Buildings'!$A$10:$N$96,K$6,0)),0,VLOOKUP('Project Details by Yr'!$B284,'Public Buildings'!$A$10:$N$96,K$6,0))+IF(ISNA(VLOOKUP('Project Details by Yr'!$B284,Bridges!$A$9:$N$24,K$6,0)),0,VLOOKUP('Project Details by Yr'!$B284,Bridges!$A$9:$N$24,K$6,0))+IF(ISNA(VLOOKUP('Project Details by Yr'!$B284,'Parking Lots &amp; Playgrounds'!$A$9:$N$33,K$6,0)),0,VLOOKUP('Project Details by Yr'!$B284,'Parking Lots &amp; Playgrounds'!$A$9:$N$33,K$6,0))+IF(ISNA(VLOOKUP($B284,Vehicles!$B$9:$O$50,K$6,0)),0,VLOOKUP($B284,Vehicles!$B$9:$O$50,K$6,0))</f>
        <v>28000</v>
      </c>
      <c r="H284" s="65">
        <v>1</v>
      </c>
      <c r="I284" s="49">
        <f t="shared" si="28"/>
        <v>0</v>
      </c>
      <c r="J284" s="49">
        <f t="shared" si="29"/>
        <v>28000</v>
      </c>
      <c r="K284" s="49">
        <f t="shared" si="30"/>
        <v>0</v>
      </c>
    </row>
    <row r="285" spans="2:11" x14ac:dyDescent="0.25">
      <c r="B285" t="s">
        <v>308</v>
      </c>
      <c r="C285" s="40" t="s">
        <v>49</v>
      </c>
      <c r="D285" s="40" t="s">
        <v>271</v>
      </c>
      <c r="E285" s="43" t="s">
        <v>16</v>
      </c>
      <c r="G285" s="49">
        <f>IF(ISNA(VLOOKUP($B285,'Other Capital Needs'!$C$51:$P$95,K$6,0)),0,VLOOKUP($B285,'Other Capital Needs'!$C$51:$P$95,K$6,0))+IF(ISNA(VLOOKUP('Project Details by Yr'!$B285,'Public Grounds'!$A$11:$N$49,K$6,0)),0,VLOOKUP('Project Details by Yr'!$B285,'Public Grounds'!$A$11:$N$49,K$6,0))+IF(ISNA(VLOOKUP('Project Details by Yr'!$B285,'Public Buildings'!$A$10:$N$96,K$6,0)),0,VLOOKUP('Project Details by Yr'!$B285,'Public Buildings'!$A$10:$N$96,K$6,0))+IF(ISNA(VLOOKUP('Project Details by Yr'!$B285,Bridges!$A$9:$N$24,K$6,0)),0,VLOOKUP('Project Details by Yr'!$B285,Bridges!$A$9:$N$24,K$6,0))+IF(ISNA(VLOOKUP('Project Details by Yr'!$B285,'Parking Lots &amp; Playgrounds'!$A$9:$N$33,K$6,0)),0,VLOOKUP('Project Details by Yr'!$B285,'Parking Lots &amp; Playgrounds'!$A$9:$N$33,K$6,0))+IF(ISNA(VLOOKUP($B285,Vehicles!$B$9:$O$50,K$6,0)),0,VLOOKUP($B285,Vehicles!$B$9:$O$50,K$6,0))</f>
        <v>60000</v>
      </c>
      <c r="H285" s="65">
        <v>1</v>
      </c>
      <c r="I285" s="49">
        <f t="shared" ref="I285" si="33">IF($H285=1,IF($E285="Bond",$G285,IF(E285="BAN",$G285,0)),0)</f>
        <v>0</v>
      </c>
      <c r="J285" s="49">
        <f t="shared" si="29"/>
        <v>60000</v>
      </c>
      <c r="K285" s="49">
        <f t="shared" si="30"/>
        <v>0</v>
      </c>
    </row>
    <row r="286" spans="2:11" x14ac:dyDescent="0.25">
      <c r="B286" s="40" t="s">
        <v>120</v>
      </c>
      <c r="C286" s="40" t="s">
        <v>49</v>
      </c>
      <c r="D286" s="40" t="s">
        <v>271</v>
      </c>
      <c r="E286" s="43" t="s">
        <v>16</v>
      </c>
      <c r="G286" s="49">
        <f>IF(ISNA(VLOOKUP($B286,'Other Capital Needs'!$C$51:$P$95,K$6,0)),0,VLOOKUP($B286,'Other Capital Needs'!$C$51:$P$95,K$6,0))+IF(ISNA(VLOOKUP('Project Details by Yr'!$B286,'Public Grounds'!$A$11:$N$49,K$6,0)),0,VLOOKUP('Project Details by Yr'!$B286,'Public Grounds'!$A$11:$N$49,K$6,0))+IF(ISNA(VLOOKUP('Project Details by Yr'!$B286,'Public Buildings'!$A$10:$N$96,K$6,0)),0,VLOOKUP('Project Details by Yr'!$B286,'Public Buildings'!$A$10:$N$96,K$6,0))+IF(ISNA(VLOOKUP('Project Details by Yr'!$B286,Bridges!$A$9:$N$24,K$6,0)),0,VLOOKUP('Project Details by Yr'!$B286,Bridges!$A$9:$N$24,K$6,0))+IF(ISNA(VLOOKUP('Project Details by Yr'!$B286,'Parking Lots &amp; Playgrounds'!$A$9:$N$33,K$6,0)),0,VLOOKUP('Project Details by Yr'!$B286,'Parking Lots &amp; Playgrounds'!$A$9:$N$33,K$6,0))+IF(ISNA(VLOOKUP($B286,Vehicles!$B$9:$O$50,K$6,0)),0,VLOOKUP($B286,Vehicles!$B$9:$O$50,K$6,0))</f>
        <v>200000</v>
      </c>
      <c r="H286" s="65">
        <v>1</v>
      </c>
      <c r="I286" s="49">
        <f t="shared" si="28"/>
        <v>0</v>
      </c>
      <c r="J286" s="49">
        <f t="shared" si="29"/>
        <v>200000</v>
      </c>
      <c r="K286" s="49">
        <f t="shared" si="30"/>
        <v>0</v>
      </c>
    </row>
    <row r="287" spans="2:11" x14ac:dyDescent="0.25">
      <c r="B287" s="40" t="s">
        <v>122</v>
      </c>
      <c r="C287" s="40" t="s">
        <v>49</v>
      </c>
      <c r="D287" s="40" t="s">
        <v>271</v>
      </c>
      <c r="E287" s="43" t="s">
        <v>16</v>
      </c>
      <c r="G287" s="49">
        <f>IF(ISNA(VLOOKUP($B287,'Other Capital Needs'!$C$51:$P$95,K$6,0)),0,VLOOKUP($B287,'Other Capital Needs'!$C$51:$P$95,K$6,0))+IF(ISNA(VLOOKUP('Project Details by Yr'!$B287,'Public Grounds'!$A$11:$N$49,K$6,0)),0,VLOOKUP('Project Details by Yr'!$B287,'Public Grounds'!$A$11:$N$49,K$6,0))+IF(ISNA(VLOOKUP('Project Details by Yr'!$B287,'Public Buildings'!$A$10:$N$96,K$6,0)),0,VLOOKUP('Project Details by Yr'!$B287,'Public Buildings'!$A$10:$N$96,K$6,0))+IF(ISNA(VLOOKUP('Project Details by Yr'!$B287,Bridges!$A$9:$N$24,K$6,0)),0,VLOOKUP('Project Details by Yr'!$B287,Bridges!$A$9:$N$24,K$6,0))+IF(ISNA(VLOOKUP('Project Details by Yr'!$B287,'Parking Lots &amp; Playgrounds'!$A$9:$N$33,K$6,0)),0,VLOOKUP('Project Details by Yr'!$B287,'Parking Lots &amp; Playgrounds'!$A$9:$N$33,K$6,0))+IF(ISNA(VLOOKUP($B287,Vehicles!$B$9:$O$50,K$6,0)),0,VLOOKUP($B287,Vehicles!$B$9:$O$50,K$6,0))</f>
        <v>50913</v>
      </c>
      <c r="H287" s="65">
        <v>1</v>
      </c>
      <c r="I287" s="49">
        <f t="shared" si="28"/>
        <v>0</v>
      </c>
      <c r="J287" s="49">
        <f t="shared" si="29"/>
        <v>50913</v>
      </c>
      <c r="K287" s="49">
        <f t="shared" si="30"/>
        <v>0</v>
      </c>
    </row>
    <row r="288" spans="2:11" x14ac:dyDescent="0.25">
      <c r="B288" s="40" t="s">
        <v>118</v>
      </c>
      <c r="C288" s="40" t="s">
        <v>49</v>
      </c>
      <c r="D288" s="40" t="s">
        <v>271</v>
      </c>
      <c r="E288" s="43" t="s">
        <v>16</v>
      </c>
      <c r="G288" s="49">
        <f>IF(ISNA(VLOOKUP($B288,'Other Capital Needs'!$C$51:$P$95,K$6,0)),0,VLOOKUP($B288,'Other Capital Needs'!$C$51:$P$95,K$6,0))+IF(ISNA(VLOOKUP('Project Details by Yr'!$B288,'Public Grounds'!$A$11:$N$49,K$6,0)),0,VLOOKUP('Project Details by Yr'!$B288,'Public Grounds'!$A$11:$N$49,K$6,0))+IF(ISNA(VLOOKUP('Project Details by Yr'!$B288,'Public Buildings'!$A$10:$N$96,K$6,0)),0,VLOOKUP('Project Details by Yr'!$B288,'Public Buildings'!$A$10:$N$96,K$6,0))+IF(ISNA(VLOOKUP('Project Details by Yr'!$B288,Bridges!$A$9:$N$24,K$6,0)),0,VLOOKUP('Project Details by Yr'!$B288,Bridges!$A$9:$N$24,K$6,0))+IF(ISNA(VLOOKUP('Project Details by Yr'!$B288,'Parking Lots &amp; Playgrounds'!$A$9:$N$33,K$6,0)),0,VLOOKUP('Project Details by Yr'!$B288,'Parking Lots &amp; Playgrounds'!$A$9:$N$33,K$6,0))+IF(ISNA(VLOOKUP($B288,Vehicles!$B$9:$O$50,K$6,0)),0,VLOOKUP($B288,Vehicles!$B$9:$O$50,K$6,0))</f>
        <v>35950</v>
      </c>
      <c r="H288" s="65">
        <v>1</v>
      </c>
      <c r="I288" s="49">
        <f t="shared" si="28"/>
        <v>0</v>
      </c>
      <c r="J288" s="49">
        <f t="shared" si="29"/>
        <v>35950</v>
      </c>
      <c r="K288" s="49">
        <f t="shared" si="30"/>
        <v>0</v>
      </c>
    </row>
    <row r="289" spans="2:12" x14ac:dyDescent="0.25">
      <c r="B289" s="40" t="s">
        <v>117</v>
      </c>
      <c r="C289" s="40" t="s">
        <v>49</v>
      </c>
      <c r="D289" s="40" t="s">
        <v>271</v>
      </c>
      <c r="E289" s="43" t="s">
        <v>16</v>
      </c>
      <c r="G289" s="49">
        <f>IF(ISNA(VLOOKUP($B289,'Other Capital Needs'!$C$51:$P$95,K$6,0)),0,VLOOKUP($B289,'Other Capital Needs'!$C$51:$P$95,K$6,0))+IF(ISNA(VLOOKUP('Project Details by Yr'!$B289,'Public Grounds'!$A$11:$N$49,K$6,0)),0,VLOOKUP('Project Details by Yr'!$B289,'Public Grounds'!$A$11:$N$49,K$6,0))+IF(ISNA(VLOOKUP('Project Details by Yr'!$B289,'Public Buildings'!$A$10:$N$96,K$6,0)),0,VLOOKUP('Project Details by Yr'!$B289,'Public Buildings'!$A$10:$N$96,K$6,0))+IF(ISNA(VLOOKUP('Project Details by Yr'!$B289,Bridges!$A$9:$N$24,K$6,0)),0,VLOOKUP('Project Details by Yr'!$B289,Bridges!$A$9:$N$24,K$6,0))+IF(ISNA(VLOOKUP('Project Details by Yr'!$B289,'Parking Lots &amp; Playgrounds'!$A$9:$N$33,K$6,0)),0,VLOOKUP('Project Details by Yr'!$B289,'Parking Lots &amp; Playgrounds'!$A$9:$N$33,K$6,0))+IF(ISNA(VLOOKUP($B289,Vehicles!$B$9:$O$50,K$6,0)),0,VLOOKUP($B289,Vehicles!$B$9:$O$50,K$6,0))</f>
        <v>75000</v>
      </c>
      <c r="H289" s="65">
        <v>1</v>
      </c>
      <c r="I289" s="49">
        <f t="shared" si="28"/>
        <v>0</v>
      </c>
      <c r="J289" s="49">
        <f t="shared" si="29"/>
        <v>75000</v>
      </c>
      <c r="K289" s="49">
        <f t="shared" si="30"/>
        <v>0</v>
      </c>
    </row>
    <row r="290" spans="2:12" x14ac:dyDescent="0.25">
      <c r="B290" s="40" t="s">
        <v>131</v>
      </c>
      <c r="C290" s="40" t="s">
        <v>49</v>
      </c>
      <c r="D290" s="40" t="s">
        <v>271</v>
      </c>
      <c r="E290" s="43" t="s">
        <v>16</v>
      </c>
      <c r="G290" s="49">
        <f>IF(ISNA(VLOOKUP($B290,'Other Capital Needs'!$C$51:$P$95,K$6,0)),0,VLOOKUP($B290,'Other Capital Needs'!$C$51:$P$95,K$6,0))+IF(ISNA(VLOOKUP('Project Details by Yr'!$B290,'Public Grounds'!$A$11:$N$49,K$6,0)),0,VLOOKUP('Project Details by Yr'!$B290,'Public Grounds'!$A$11:$N$49,K$6,0))+IF(ISNA(VLOOKUP('Project Details by Yr'!$B290,'Public Buildings'!$A$10:$N$96,K$6,0)),0,VLOOKUP('Project Details by Yr'!$B290,'Public Buildings'!$A$10:$N$96,K$6,0))+IF(ISNA(VLOOKUP('Project Details by Yr'!$B290,Bridges!$A$9:$N$24,K$6,0)),0,VLOOKUP('Project Details by Yr'!$B290,Bridges!$A$9:$N$24,K$6,0))+IF(ISNA(VLOOKUP('Project Details by Yr'!$B290,'Parking Lots &amp; Playgrounds'!$A$9:$N$33,K$6,0)),0,VLOOKUP('Project Details by Yr'!$B290,'Parking Lots &amp; Playgrounds'!$A$9:$N$33,K$6,0))+IF(ISNA(VLOOKUP($B290,Vehicles!$B$9:$O$50,K$6,0)),0,VLOOKUP($B290,Vehicles!$B$9:$O$50,K$6,0))</f>
        <v>0</v>
      </c>
      <c r="H290" s="65">
        <v>1</v>
      </c>
      <c r="I290" s="49">
        <f t="shared" si="28"/>
        <v>0</v>
      </c>
      <c r="J290" s="49">
        <f t="shared" si="29"/>
        <v>0</v>
      </c>
      <c r="K290" s="49">
        <f t="shared" si="30"/>
        <v>0</v>
      </c>
    </row>
    <row r="291" spans="2:12" x14ac:dyDescent="0.25">
      <c r="B291" s="40" t="s">
        <v>132</v>
      </c>
      <c r="C291" s="40" t="s">
        <v>49</v>
      </c>
      <c r="D291" s="40" t="s">
        <v>271</v>
      </c>
      <c r="E291" s="43" t="s">
        <v>16</v>
      </c>
      <c r="G291" s="49">
        <f>IF(ISNA(VLOOKUP($B291,'Other Capital Needs'!$C$51:$P$95,K$6,0)),0,VLOOKUP($B291,'Other Capital Needs'!$C$51:$P$95,K$6,0))+IF(ISNA(VLOOKUP('Project Details by Yr'!$B291,'Public Grounds'!$A$11:$N$49,K$6,0)),0,VLOOKUP('Project Details by Yr'!$B291,'Public Grounds'!$A$11:$N$49,K$6,0))+IF(ISNA(VLOOKUP('Project Details by Yr'!$B291,'Public Buildings'!$A$10:$N$96,K$6,0)),0,VLOOKUP('Project Details by Yr'!$B291,'Public Buildings'!$A$10:$N$96,K$6,0))+IF(ISNA(VLOOKUP('Project Details by Yr'!$B291,Bridges!$A$9:$N$24,K$6,0)),0,VLOOKUP('Project Details by Yr'!$B291,Bridges!$A$9:$N$24,K$6,0))+IF(ISNA(VLOOKUP('Project Details by Yr'!$B291,'Parking Lots &amp; Playgrounds'!$A$9:$N$33,K$6,0)),0,VLOOKUP('Project Details by Yr'!$B291,'Parking Lots &amp; Playgrounds'!$A$9:$N$33,K$6,0))+IF(ISNA(VLOOKUP($B291,Vehicles!$B$9:$O$50,K$6,0)),0,VLOOKUP($B291,Vehicles!$B$9:$O$50,K$6,0))</f>
        <v>5000</v>
      </c>
      <c r="H291" s="65">
        <v>1</v>
      </c>
      <c r="I291" s="49">
        <f t="shared" si="28"/>
        <v>0</v>
      </c>
      <c r="J291" s="49">
        <f t="shared" si="29"/>
        <v>5000</v>
      </c>
      <c r="K291" s="49">
        <f t="shared" si="30"/>
        <v>0</v>
      </c>
    </row>
    <row r="292" spans="2:12" x14ac:dyDescent="0.25">
      <c r="B292" s="40" t="s">
        <v>133</v>
      </c>
      <c r="C292" s="40" t="s">
        <v>49</v>
      </c>
      <c r="D292" s="40" t="s">
        <v>271</v>
      </c>
      <c r="E292" s="43" t="s">
        <v>16</v>
      </c>
      <c r="G292" s="49">
        <f>IF(ISNA(VLOOKUP($B292,'Other Capital Needs'!$C$51:$P$95,K$6,0)),0,VLOOKUP($B292,'Other Capital Needs'!$C$51:$P$95,K$6,0))+IF(ISNA(VLOOKUP('Project Details by Yr'!$B292,'Public Grounds'!$A$11:$N$49,K$6,0)),0,VLOOKUP('Project Details by Yr'!$B292,'Public Grounds'!$A$11:$N$49,K$6,0))+IF(ISNA(VLOOKUP('Project Details by Yr'!$B292,'Public Buildings'!$A$10:$N$96,K$6,0)),0,VLOOKUP('Project Details by Yr'!$B292,'Public Buildings'!$A$10:$N$96,K$6,0))+IF(ISNA(VLOOKUP('Project Details by Yr'!$B292,Bridges!$A$9:$N$24,K$6,0)),0,VLOOKUP('Project Details by Yr'!$B292,Bridges!$A$9:$N$24,K$6,0))+IF(ISNA(VLOOKUP('Project Details by Yr'!$B292,'Parking Lots &amp; Playgrounds'!$A$9:$N$33,K$6,0)),0,VLOOKUP('Project Details by Yr'!$B292,'Parking Lots &amp; Playgrounds'!$A$9:$N$33,K$6,0))+IF(ISNA(VLOOKUP($B292,Vehicles!$B$9:$O$50,K$6,0)),0,VLOOKUP($B292,Vehicles!$B$9:$O$50,K$6,0))</f>
        <v>45000</v>
      </c>
      <c r="H292" s="65">
        <v>1</v>
      </c>
      <c r="I292" s="49">
        <f t="shared" si="28"/>
        <v>0</v>
      </c>
      <c r="J292" s="49">
        <f t="shared" si="29"/>
        <v>45000</v>
      </c>
      <c r="K292" s="49">
        <f t="shared" si="30"/>
        <v>0</v>
      </c>
    </row>
    <row r="293" spans="2:12" x14ac:dyDescent="0.25">
      <c r="B293" s="40" t="s">
        <v>134</v>
      </c>
      <c r="C293" s="40" t="s">
        <v>49</v>
      </c>
      <c r="D293" s="40" t="s">
        <v>271</v>
      </c>
      <c r="E293" s="43" t="s">
        <v>16</v>
      </c>
      <c r="G293" s="49">
        <f>IF(ISNA(VLOOKUP($B293,'Other Capital Needs'!$C$51:$P$95,K$6,0)),0,VLOOKUP($B293,'Other Capital Needs'!$C$51:$P$95,K$6,0))+IF(ISNA(VLOOKUP('Project Details by Yr'!$B293,'Public Grounds'!$A$11:$N$49,K$6,0)),0,VLOOKUP('Project Details by Yr'!$B293,'Public Grounds'!$A$11:$N$49,K$6,0))+IF(ISNA(VLOOKUP('Project Details by Yr'!$B293,'Public Buildings'!$A$10:$N$96,K$6,0)),0,VLOOKUP('Project Details by Yr'!$B293,'Public Buildings'!$A$10:$N$96,K$6,0))+IF(ISNA(VLOOKUP('Project Details by Yr'!$B293,Bridges!$A$9:$N$24,K$6,0)),0,VLOOKUP('Project Details by Yr'!$B293,Bridges!$A$9:$N$24,K$6,0))+IF(ISNA(VLOOKUP('Project Details by Yr'!$B293,'Parking Lots &amp; Playgrounds'!$A$9:$N$33,K$6,0)),0,VLOOKUP('Project Details by Yr'!$B293,'Parking Lots &amp; Playgrounds'!$A$9:$N$33,K$6,0))+IF(ISNA(VLOOKUP($B293,Vehicles!$B$9:$O$50,K$6,0)),0,VLOOKUP($B293,Vehicles!$B$9:$O$50,K$6,0))</f>
        <v>20271</v>
      </c>
      <c r="H293" s="65">
        <v>1</v>
      </c>
      <c r="I293" s="49">
        <f t="shared" si="28"/>
        <v>0</v>
      </c>
      <c r="J293" s="49">
        <f t="shared" si="29"/>
        <v>20271</v>
      </c>
      <c r="K293" s="49">
        <f t="shared" si="30"/>
        <v>0</v>
      </c>
    </row>
    <row r="294" spans="2:12" x14ac:dyDescent="0.25">
      <c r="B294" s="40" t="s">
        <v>139</v>
      </c>
      <c r="C294" s="40" t="s">
        <v>49</v>
      </c>
      <c r="D294" s="40" t="s">
        <v>272</v>
      </c>
      <c r="E294" s="43" t="s">
        <v>16</v>
      </c>
      <c r="G294" s="49">
        <f>IF(ISNA(VLOOKUP($B294,'Other Capital Needs'!$C$51:$P$95,K$6,0)),0,VLOOKUP($B294,'Other Capital Needs'!$C$51:$P$95,K$6,0))+IF(ISNA(VLOOKUP('Project Details by Yr'!$B294,'Public Grounds'!$A$11:$N$49,K$6,0)),0,VLOOKUP('Project Details by Yr'!$B294,'Public Grounds'!$A$11:$N$49,K$6,0))+IF(ISNA(VLOOKUP('Project Details by Yr'!$B294,'Public Buildings'!$A$10:$N$96,K$6,0)),0,VLOOKUP('Project Details by Yr'!$B294,'Public Buildings'!$A$10:$N$96,K$6,0))+IF(ISNA(VLOOKUP('Project Details by Yr'!$B294,Bridges!$A$9:$N$24,K$6,0)),0,VLOOKUP('Project Details by Yr'!$B294,Bridges!$A$9:$N$24,K$6,0))+IF(ISNA(VLOOKUP('Project Details by Yr'!$B294,'Parking Lots &amp; Playgrounds'!$A$9:$N$33,K$6,0)),0,VLOOKUP('Project Details by Yr'!$B294,'Parking Lots &amp; Playgrounds'!$A$9:$N$33,K$6,0))+IF(ISNA(VLOOKUP($B294,Vehicles!$B$9:$O$50,K$6,0)),0,VLOOKUP($B294,Vehicles!$B$9:$O$50,K$6,0))</f>
        <v>43604</v>
      </c>
      <c r="H294" s="65">
        <v>1</v>
      </c>
      <c r="I294" s="49">
        <f t="shared" si="28"/>
        <v>0</v>
      </c>
      <c r="J294" s="49">
        <f t="shared" si="29"/>
        <v>43604</v>
      </c>
      <c r="K294" s="49">
        <f t="shared" si="30"/>
        <v>0</v>
      </c>
    </row>
    <row r="295" spans="2:12" x14ac:dyDescent="0.25">
      <c r="E295" s="43"/>
      <c r="G295" s="49"/>
      <c r="H295" s="65"/>
      <c r="I295" s="62"/>
      <c r="J295" s="62"/>
    </row>
    <row r="296" spans="2:12" x14ac:dyDescent="0.25">
      <c r="B296" s="40" t="s">
        <v>273</v>
      </c>
      <c r="C296" s="40" t="s">
        <v>250</v>
      </c>
      <c r="D296" s="40" t="s">
        <v>271</v>
      </c>
      <c r="E296" s="43" t="s">
        <v>16</v>
      </c>
      <c r="G296" s="49">
        <f>Summary!I38</f>
        <v>1500000</v>
      </c>
      <c r="H296" s="65">
        <v>1</v>
      </c>
      <c r="I296" s="49">
        <f t="shared" ref="I296:I297" si="34">IF($H296=1,IF($E296="Bond",$G296,IF(E296="BAN",$G296,0)),0)</f>
        <v>0</v>
      </c>
      <c r="J296" s="49">
        <f t="shared" si="29"/>
        <v>1500000</v>
      </c>
      <c r="K296" s="49">
        <f t="shared" si="30"/>
        <v>0</v>
      </c>
    </row>
    <row r="297" spans="2:12" x14ac:dyDescent="0.25">
      <c r="B297" s="40" t="s">
        <v>205</v>
      </c>
      <c r="C297" s="40" t="s">
        <v>48</v>
      </c>
      <c r="D297" s="40" t="s">
        <v>271</v>
      </c>
      <c r="E297" s="43" t="s">
        <v>16</v>
      </c>
      <c r="G297" s="49">
        <f>IF(ISNA(VLOOKUP($B297,'Other Capital Needs'!$C$51:$P$95,K$6,0)),0,VLOOKUP($B297,'Other Capital Needs'!$C$51:$P$95,K$6,0))+IF(ISNA(VLOOKUP('Project Details by Yr'!$B297,'Public Grounds'!$A$11:$N$49,K$6,0)),0,VLOOKUP('Project Details by Yr'!$B297,'Public Grounds'!$A$11:$N$49,K$6,0))+IF(ISNA(VLOOKUP('Project Details by Yr'!$B297,'Public Buildings'!$A$10:$N$96,K$6,0)),0,VLOOKUP('Project Details by Yr'!$B297,'Public Buildings'!$A$10:$N$96,K$6,0))+IF(ISNA(VLOOKUP('Project Details by Yr'!$B297,Bridges!$A$9:$N$24,K$6,0)),0,VLOOKUP('Project Details by Yr'!$B297,Bridges!$A$9:$N$24,K$6,0))+IF(ISNA(VLOOKUP('Project Details by Yr'!$B297,'Parking Lots &amp; Playgrounds'!$A$9:$N$33,K$6,0)),0,VLOOKUP('Project Details by Yr'!$B297,'Parking Lots &amp; Playgrounds'!$A$9:$N$33,K$6,0))+IF(ISNA(VLOOKUP($B297,Vehicles!$B$9:$O$50,K$6,0)),0,VLOOKUP($B297,Vehicles!$B$9:$O$50,K$6,0))</f>
        <v>250000</v>
      </c>
      <c r="H297" s="65">
        <v>1</v>
      </c>
      <c r="I297" s="49">
        <f t="shared" si="34"/>
        <v>0</v>
      </c>
      <c r="J297" s="49">
        <f t="shared" si="29"/>
        <v>250000</v>
      </c>
      <c r="K297" s="49">
        <f t="shared" si="30"/>
        <v>0</v>
      </c>
    </row>
    <row r="298" spans="2:12" x14ac:dyDescent="0.25">
      <c r="E298" s="43"/>
      <c r="G298" s="49"/>
      <c r="H298" s="65"/>
      <c r="I298" s="62"/>
      <c r="J298" s="62"/>
    </row>
    <row r="299" spans="2:12" ht="15.75" thickBot="1" x14ac:dyDescent="0.3">
      <c r="G299" s="58">
        <f>SUM(G259:G298)</f>
        <v>4808438</v>
      </c>
      <c r="H299" s="59">
        <f t="shared" ref="H299:K299" si="35">SUM(H259:H298)</f>
        <v>30</v>
      </c>
      <c r="I299" s="58">
        <f t="shared" si="35"/>
        <v>0</v>
      </c>
      <c r="J299" s="58">
        <f t="shared" si="35"/>
        <v>3083438</v>
      </c>
      <c r="K299" s="58">
        <f t="shared" si="35"/>
        <v>120000</v>
      </c>
    </row>
    <row r="300" spans="2:12" ht="15.75" thickTop="1" x14ac:dyDescent="0.25">
      <c r="G300" s="60" t="e">
        <f>G299-Summary!I96</f>
        <v>#REF!</v>
      </c>
      <c r="H300" s="66"/>
      <c r="I300" s="63"/>
      <c r="J300" s="63"/>
      <c r="L300" s="52" t="s">
        <v>297</v>
      </c>
    </row>
    <row r="301" spans="2:12" x14ac:dyDescent="0.25">
      <c r="G301" s="60"/>
    </row>
  </sheetData>
  <customSheetViews>
    <customSheetView guid="{BB410D8C-36DE-400F-AB69-DB51CF9CA663}" scale="70" showPageBreaks="1" fitToPage="1" printArea="1" hiddenRows="1" state="hidden">
      <selection activeCell="A3" sqref="A3"/>
      <rowBreaks count="4" manualBreakCount="4">
        <brk id="82" max="16383" man="1"/>
        <brk id="143" max="16383" man="1"/>
        <brk id="201" max="16383" man="1"/>
        <brk id="255" max="16383" man="1"/>
      </rowBreaks>
      <colBreaks count="1" manualBreakCount="1">
        <brk id="7" max="1048575" man="1"/>
      </colBreaks>
      <pageMargins left="0.4" right="0.4" top="0.4" bottom="0.4" header="0" footer="0"/>
      <pageSetup scale="56" fitToHeight="0" orientation="landscape" r:id="rId1"/>
    </customSheetView>
  </customSheetViews>
  <pageMargins left="0.4" right="0.4" top="0.4" bottom="0.4" header="0" footer="0"/>
  <pageSetup scale="56" fitToHeight="0" orientation="landscape" r:id="rId2"/>
  <rowBreaks count="4" manualBreakCount="4">
    <brk id="82" max="16383" man="1"/>
    <brk id="143" max="16383" man="1"/>
    <brk id="201" max="16383" man="1"/>
    <brk id="255" max="16383" man="1"/>
  </rowBreaks>
  <colBreaks count="1" manualBreakCount="1">
    <brk id="7" max="1048575" man="1"/>
  </colBreaks>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
  <sheetViews>
    <sheetView topLeftCell="A34" workbookViewId="0">
      <selection activeCell="G68" sqref="G68"/>
    </sheetView>
  </sheetViews>
  <sheetFormatPr defaultRowHeight="15" x14ac:dyDescent="0.25"/>
  <cols>
    <col min="1" max="1" width="62.42578125" customWidth="1"/>
    <col min="2" max="2" width="8.28515625" style="1" customWidth="1"/>
    <col min="3" max="3" width="2.85546875" customWidth="1"/>
    <col min="4" max="4" width="11.140625" style="6" customWidth="1"/>
    <col min="5" max="6" width="10.140625" style="6" customWidth="1"/>
    <col min="7" max="7" width="9.140625" style="6"/>
    <col min="8" max="11" width="10.140625" style="6" customWidth="1"/>
    <col min="12" max="12" width="9.140625" style="6"/>
    <col min="13" max="14" width="10.140625" style="6" customWidth="1"/>
    <col min="17" max="17" width="13.28515625" bestFit="1" customWidth="1"/>
  </cols>
  <sheetData>
    <row r="1" spans="1:14" ht="21" x14ac:dyDescent="0.35">
      <c r="A1" s="17" t="s">
        <v>62</v>
      </c>
    </row>
    <row r="2" spans="1:14" ht="21" x14ac:dyDescent="0.35">
      <c r="A2" s="17" t="s">
        <v>69</v>
      </c>
    </row>
    <row r="3" spans="1:14" ht="21" x14ac:dyDescent="0.35">
      <c r="A3" s="17" t="s">
        <v>64</v>
      </c>
      <c r="D3"/>
      <c r="E3"/>
      <c r="F3"/>
      <c r="G3"/>
      <c r="H3"/>
      <c r="I3"/>
      <c r="J3"/>
      <c r="K3"/>
      <c r="L3"/>
      <c r="M3"/>
      <c r="N3"/>
    </row>
    <row r="4" spans="1:14" x14ac:dyDescent="0.25">
      <c r="D4"/>
      <c r="E4"/>
      <c r="F4"/>
      <c r="G4"/>
      <c r="H4"/>
      <c r="I4"/>
      <c r="J4"/>
      <c r="K4"/>
      <c r="L4"/>
      <c r="M4"/>
      <c r="N4"/>
    </row>
    <row r="5" spans="1:14" x14ac:dyDescent="0.25">
      <c r="D5"/>
      <c r="E5"/>
      <c r="F5"/>
      <c r="G5"/>
      <c r="H5"/>
      <c r="I5"/>
      <c r="J5"/>
      <c r="K5"/>
      <c r="L5"/>
      <c r="M5"/>
      <c r="N5"/>
    </row>
    <row r="6" spans="1:14" x14ac:dyDescent="0.25">
      <c r="D6" s="3" t="s">
        <v>2</v>
      </c>
      <c r="E6" s="3" t="s">
        <v>3</v>
      </c>
      <c r="F6" s="3" t="s">
        <v>4</v>
      </c>
      <c r="G6" s="3" t="s">
        <v>5</v>
      </c>
      <c r="H6" s="3" t="s">
        <v>6</v>
      </c>
      <c r="I6" s="3" t="s">
        <v>7</v>
      </c>
      <c r="J6" s="3" t="s">
        <v>8</v>
      </c>
      <c r="K6" s="3" t="s">
        <v>9</v>
      </c>
      <c r="L6" s="3" t="s">
        <v>10</v>
      </c>
      <c r="M6" s="3" t="s">
        <v>11</v>
      </c>
      <c r="N6" s="3" t="s">
        <v>45</v>
      </c>
    </row>
    <row r="7" spans="1:14" x14ac:dyDescent="0.25">
      <c r="D7"/>
      <c r="E7"/>
      <c r="F7"/>
      <c r="G7"/>
      <c r="H7"/>
      <c r="I7"/>
      <c r="J7"/>
      <c r="K7"/>
      <c r="L7"/>
      <c r="M7"/>
      <c r="N7"/>
    </row>
    <row r="8" spans="1:14" x14ac:dyDescent="0.25">
      <c r="A8" s="5" t="s">
        <v>0</v>
      </c>
      <c r="D8"/>
      <c r="E8"/>
      <c r="F8"/>
      <c r="G8"/>
      <c r="H8"/>
      <c r="I8"/>
      <c r="J8"/>
      <c r="K8"/>
      <c r="L8"/>
      <c r="M8"/>
      <c r="N8"/>
    </row>
    <row r="9" spans="1:14" x14ac:dyDescent="0.25">
      <c r="A9" t="s">
        <v>80</v>
      </c>
      <c r="B9" s="1" t="s">
        <v>16</v>
      </c>
      <c r="E9" s="6">
        <v>0</v>
      </c>
    </row>
    <row r="10" spans="1:14" x14ac:dyDescent="0.25">
      <c r="A10" t="s">
        <v>81</v>
      </c>
      <c r="B10" s="1" t="s">
        <v>38</v>
      </c>
      <c r="F10" s="6">
        <v>55000</v>
      </c>
    </row>
    <row r="11" spans="1:14" x14ac:dyDescent="0.25">
      <c r="A11" t="s">
        <v>82</v>
      </c>
      <c r="B11" s="1" t="s">
        <v>16</v>
      </c>
      <c r="F11" s="6">
        <v>275000</v>
      </c>
    </row>
    <row r="12" spans="1:14" x14ac:dyDescent="0.25">
      <c r="A12" t="s">
        <v>83</v>
      </c>
      <c r="B12" s="1" t="s">
        <v>16</v>
      </c>
      <c r="G12" s="6">
        <v>235000</v>
      </c>
    </row>
    <row r="13" spans="1:14" x14ac:dyDescent="0.25">
      <c r="A13" t="s">
        <v>84</v>
      </c>
      <c r="B13" s="1" t="s">
        <v>16</v>
      </c>
      <c r="G13" s="6">
        <v>16000</v>
      </c>
    </row>
    <row r="14" spans="1:14" x14ac:dyDescent="0.25">
      <c r="A14" t="s">
        <v>97</v>
      </c>
      <c r="B14" s="1" t="s">
        <v>16</v>
      </c>
      <c r="H14" s="6">
        <v>325000</v>
      </c>
    </row>
    <row r="15" spans="1:14" x14ac:dyDescent="0.25">
      <c r="A15" t="s">
        <v>85</v>
      </c>
      <c r="B15" s="1" t="s">
        <v>16</v>
      </c>
      <c r="J15" s="6">
        <v>110000</v>
      </c>
    </row>
    <row r="16" spans="1:14" x14ac:dyDescent="0.25">
      <c r="A16" t="s">
        <v>86</v>
      </c>
      <c r="B16" s="1" t="s">
        <v>16</v>
      </c>
      <c r="J16" s="6">
        <v>35000</v>
      </c>
    </row>
    <row r="17" spans="1:14" x14ac:dyDescent="0.25">
      <c r="A17" t="s">
        <v>90</v>
      </c>
      <c r="B17" s="1" t="s">
        <v>16</v>
      </c>
      <c r="L17" s="6">
        <v>25000</v>
      </c>
    </row>
    <row r="18" spans="1:14" x14ac:dyDescent="0.25">
      <c r="A18" t="s">
        <v>92</v>
      </c>
      <c r="B18" s="1" t="s">
        <v>16</v>
      </c>
      <c r="L18" s="6">
        <v>100000</v>
      </c>
    </row>
    <row r="19" spans="1:14" x14ac:dyDescent="0.25">
      <c r="A19" t="s">
        <v>93</v>
      </c>
      <c r="B19" s="1" t="s">
        <v>16</v>
      </c>
      <c r="M19" s="6">
        <v>140000</v>
      </c>
    </row>
    <row r="20" spans="1:14" x14ac:dyDescent="0.25">
      <c r="A20" t="s">
        <v>94</v>
      </c>
      <c r="B20" s="1" t="s">
        <v>16</v>
      </c>
      <c r="N20" s="6">
        <v>35000</v>
      </c>
    </row>
    <row r="23" spans="1:14" s="4" customFormat="1" ht="15.75" thickBot="1" x14ac:dyDescent="0.3">
      <c r="A23" s="4" t="s">
        <v>36</v>
      </c>
      <c r="B23" s="2"/>
      <c r="D23" s="9">
        <f t="shared" ref="D23:N23" si="0">SUM(D9:D22)</f>
        <v>0</v>
      </c>
      <c r="E23" s="9">
        <f t="shared" si="0"/>
        <v>0</v>
      </c>
      <c r="F23" s="9">
        <f t="shared" si="0"/>
        <v>330000</v>
      </c>
      <c r="G23" s="9">
        <f t="shared" si="0"/>
        <v>251000</v>
      </c>
      <c r="H23" s="9">
        <f t="shared" si="0"/>
        <v>325000</v>
      </c>
      <c r="I23" s="9">
        <f t="shared" si="0"/>
        <v>0</v>
      </c>
      <c r="J23" s="9">
        <f t="shared" si="0"/>
        <v>145000</v>
      </c>
      <c r="K23" s="9">
        <f t="shared" si="0"/>
        <v>0</v>
      </c>
      <c r="L23" s="9">
        <f t="shared" si="0"/>
        <v>125000</v>
      </c>
      <c r="M23" s="9">
        <f t="shared" si="0"/>
        <v>140000</v>
      </c>
      <c r="N23" s="9">
        <f t="shared" si="0"/>
        <v>35000</v>
      </c>
    </row>
    <row r="24" spans="1:14" ht="15.75" thickTop="1" x14ac:dyDescent="0.25"/>
    <row r="25" spans="1:14" x14ac:dyDescent="0.25">
      <c r="A25" s="5" t="s">
        <v>1</v>
      </c>
    </row>
    <row r="26" spans="1:14" x14ac:dyDescent="0.25">
      <c r="A26" t="s">
        <v>88</v>
      </c>
      <c r="B26" s="1" t="s">
        <v>16</v>
      </c>
      <c r="E26" s="6">
        <v>210000</v>
      </c>
    </row>
    <row r="27" spans="1:14" x14ac:dyDescent="0.25">
      <c r="A27" t="s">
        <v>87</v>
      </c>
      <c r="B27" s="1" t="s">
        <v>16</v>
      </c>
      <c r="D27" s="21">
        <v>0</v>
      </c>
    </row>
    <row r="28" spans="1:14" x14ac:dyDescent="0.25">
      <c r="A28" t="s">
        <v>96</v>
      </c>
      <c r="B28" s="1" t="s">
        <v>16</v>
      </c>
      <c r="F28" s="6">
        <v>195000</v>
      </c>
    </row>
    <row r="29" spans="1:14" x14ac:dyDescent="0.25">
      <c r="A29" t="s">
        <v>95</v>
      </c>
      <c r="B29" s="1" t="s">
        <v>16</v>
      </c>
      <c r="I29" s="6">
        <v>350000</v>
      </c>
    </row>
    <row r="30" spans="1:14" x14ac:dyDescent="0.25">
      <c r="A30" t="s">
        <v>89</v>
      </c>
      <c r="B30" s="1" t="s">
        <v>16</v>
      </c>
      <c r="K30" s="6">
        <v>100000</v>
      </c>
    </row>
    <row r="31" spans="1:14" x14ac:dyDescent="0.25">
      <c r="A31" t="s">
        <v>98</v>
      </c>
    </row>
    <row r="33" spans="1:17" s="4" customFormat="1" ht="15.75" thickBot="1" x14ac:dyDescent="0.3">
      <c r="A33" s="4" t="s">
        <v>34</v>
      </c>
      <c r="B33" s="2"/>
      <c r="D33" s="9">
        <f t="shared" ref="D33:N33" si="1">SUM(D26:D32)</f>
        <v>0</v>
      </c>
      <c r="E33" s="9">
        <f t="shared" si="1"/>
        <v>210000</v>
      </c>
      <c r="F33" s="9">
        <f t="shared" si="1"/>
        <v>195000</v>
      </c>
      <c r="G33" s="9">
        <f t="shared" si="1"/>
        <v>0</v>
      </c>
      <c r="H33" s="9">
        <f t="shared" si="1"/>
        <v>0</v>
      </c>
      <c r="I33" s="9">
        <f t="shared" si="1"/>
        <v>350000</v>
      </c>
      <c r="J33" s="9">
        <f t="shared" si="1"/>
        <v>0</v>
      </c>
      <c r="K33" s="9">
        <f t="shared" si="1"/>
        <v>100000</v>
      </c>
      <c r="L33" s="9">
        <f t="shared" si="1"/>
        <v>0</v>
      </c>
      <c r="M33" s="9">
        <f t="shared" si="1"/>
        <v>0</v>
      </c>
      <c r="N33" s="9">
        <f t="shared" si="1"/>
        <v>0</v>
      </c>
    </row>
    <row r="34" spans="1:17" ht="15.75" thickTop="1" x14ac:dyDescent="0.25"/>
    <row r="35" spans="1:17" s="4" customFormat="1" x14ac:dyDescent="0.25">
      <c r="A35" s="4" t="s">
        <v>35</v>
      </c>
      <c r="B35" s="2"/>
      <c r="D35" s="10">
        <f t="shared" ref="D35:N35" si="2">D33+D23</f>
        <v>0</v>
      </c>
      <c r="E35" s="10">
        <f t="shared" si="2"/>
        <v>210000</v>
      </c>
      <c r="F35" s="10">
        <f t="shared" si="2"/>
        <v>525000</v>
      </c>
      <c r="G35" s="10">
        <f t="shared" si="2"/>
        <v>251000</v>
      </c>
      <c r="H35" s="10">
        <f t="shared" si="2"/>
        <v>325000</v>
      </c>
      <c r="I35" s="10">
        <f t="shared" si="2"/>
        <v>350000</v>
      </c>
      <c r="J35" s="10">
        <f t="shared" si="2"/>
        <v>145000</v>
      </c>
      <c r="K35" s="10">
        <f t="shared" si="2"/>
        <v>100000</v>
      </c>
      <c r="L35" s="10">
        <f t="shared" si="2"/>
        <v>125000</v>
      </c>
      <c r="M35" s="10">
        <f t="shared" si="2"/>
        <v>140000</v>
      </c>
      <c r="N35" s="10">
        <f t="shared" si="2"/>
        <v>35000</v>
      </c>
    </row>
    <row r="38" spans="1:17" x14ac:dyDescent="0.25">
      <c r="Q38" s="8"/>
    </row>
    <row r="39" spans="1:17" x14ac:dyDescent="0.25">
      <c r="A39" t="s">
        <v>16</v>
      </c>
      <c r="D39" s="6">
        <f t="shared" ref="D39:N45" si="3">SUMIF($B$9:$B$32,$A39,D$9:D$32)</f>
        <v>0</v>
      </c>
      <c r="E39" s="6">
        <f t="shared" si="3"/>
        <v>210000</v>
      </c>
      <c r="F39" s="6">
        <f t="shared" si="3"/>
        <v>470000</v>
      </c>
      <c r="G39" s="6">
        <f t="shared" si="3"/>
        <v>251000</v>
      </c>
      <c r="H39" s="6">
        <f t="shared" si="3"/>
        <v>325000</v>
      </c>
      <c r="I39" s="6">
        <f t="shared" si="3"/>
        <v>350000</v>
      </c>
      <c r="J39" s="6">
        <f t="shared" si="3"/>
        <v>145000</v>
      </c>
      <c r="K39" s="6">
        <f t="shared" si="3"/>
        <v>100000</v>
      </c>
      <c r="L39" s="6">
        <f t="shared" si="3"/>
        <v>125000</v>
      </c>
      <c r="M39" s="6">
        <f t="shared" si="3"/>
        <v>140000</v>
      </c>
      <c r="N39" s="6">
        <f t="shared" si="3"/>
        <v>35000</v>
      </c>
    </row>
    <row r="40" spans="1:17" x14ac:dyDescent="0.25">
      <c r="A40" t="s">
        <v>37</v>
      </c>
      <c r="D40" s="6">
        <f t="shared" si="3"/>
        <v>0</v>
      </c>
      <c r="E40" s="6">
        <f t="shared" si="3"/>
        <v>0</v>
      </c>
      <c r="F40" s="6">
        <f t="shared" si="3"/>
        <v>0</v>
      </c>
      <c r="G40" s="6">
        <f t="shared" si="3"/>
        <v>0</v>
      </c>
      <c r="H40" s="6">
        <f t="shared" si="3"/>
        <v>0</v>
      </c>
      <c r="I40" s="6">
        <f t="shared" si="3"/>
        <v>0</v>
      </c>
      <c r="J40" s="6">
        <f t="shared" si="3"/>
        <v>0</v>
      </c>
      <c r="K40" s="6">
        <f t="shared" si="3"/>
        <v>0</v>
      </c>
      <c r="L40" s="6">
        <f t="shared" si="3"/>
        <v>0</v>
      </c>
      <c r="M40" s="6">
        <f t="shared" si="3"/>
        <v>0</v>
      </c>
      <c r="N40" s="6">
        <f t="shared" si="3"/>
        <v>0</v>
      </c>
    </row>
    <row r="41" spans="1:17" x14ac:dyDescent="0.25">
      <c r="A41" t="s">
        <v>38</v>
      </c>
      <c r="D41" s="6">
        <f t="shared" si="3"/>
        <v>0</v>
      </c>
      <c r="E41" s="6">
        <f t="shared" si="3"/>
        <v>0</v>
      </c>
      <c r="F41" s="6">
        <f t="shared" si="3"/>
        <v>55000</v>
      </c>
      <c r="G41" s="6">
        <f t="shared" si="3"/>
        <v>0</v>
      </c>
      <c r="H41" s="6">
        <f t="shared" si="3"/>
        <v>0</v>
      </c>
      <c r="I41" s="6">
        <f t="shared" si="3"/>
        <v>0</v>
      </c>
      <c r="J41" s="6">
        <f t="shared" si="3"/>
        <v>0</v>
      </c>
      <c r="K41" s="6">
        <f t="shared" si="3"/>
        <v>0</v>
      </c>
      <c r="L41" s="6">
        <f t="shared" si="3"/>
        <v>0</v>
      </c>
      <c r="M41" s="6">
        <f t="shared" si="3"/>
        <v>0</v>
      </c>
      <c r="N41" s="6">
        <f t="shared" si="3"/>
        <v>0</v>
      </c>
    </row>
    <row r="42" spans="1:17" x14ac:dyDescent="0.25">
      <c r="A42" t="s">
        <v>19</v>
      </c>
      <c r="D42" s="6">
        <f t="shared" si="3"/>
        <v>0</v>
      </c>
      <c r="E42" s="6">
        <f t="shared" si="3"/>
        <v>0</v>
      </c>
      <c r="F42" s="6">
        <f t="shared" si="3"/>
        <v>0</v>
      </c>
      <c r="G42" s="6">
        <f t="shared" si="3"/>
        <v>0</v>
      </c>
      <c r="H42" s="6">
        <f t="shared" si="3"/>
        <v>0</v>
      </c>
      <c r="I42" s="6">
        <f t="shared" si="3"/>
        <v>0</v>
      </c>
      <c r="J42" s="6">
        <f t="shared" si="3"/>
        <v>0</v>
      </c>
      <c r="K42" s="6">
        <f t="shared" si="3"/>
        <v>0</v>
      </c>
      <c r="L42" s="6">
        <f t="shared" si="3"/>
        <v>0</v>
      </c>
      <c r="M42" s="6">
        <f t="shared" si="3"/>
        <v>0</v>
      </c>
      <c r="N42" s="6">
        <f t="shared" si="3"/>
        <v>0</v>
      </c>
    </row>
    <row r="43" spans="1:17" x14ac:dyDescent="0.25">
      <c r="A43" t="s">
        <v>243</v>
      </c>
      <c r="D43" s="6">
        <f t="shared" si="3"/>
        <v>0</v>
      </c>
      <c r="E43" s="6">
        <f t="shared" si="3"/>
        <v>0</v>
      </c>
      <c r="F43" s="6">
        <f t="shared" si="3"/>
        <v>0</v>
      </c>
      <c r="G43" s="6">
        <f t="shared" si="3"/>
        <v>0</v>
      </c>
      <c r="H43" s="6">
        <f t="shared" si="3"/>
        <v>0</v>
      </c>
      <c r="I43" s="6">
        <f t="shared" si="3"/>
        <v>0</v>
      </c>
      <c r="J43" s="6">
        <f t="shared" si="3"/>
        <v>0</v>
      </c>
      <c r="K43" s="6">
        <f t="shared" si="3"/>
        <v>0</v>
      </c>
      <c r="L43" s="6">
        <f t="shared" si="3"/>
        <v>0</v>
      </c>
      <c r="M43" s="6">
        <f t="shared" si="3"/>
        <v>0</v>
      </c>
      <c r="N43" s="6">
        <f t="shared" si="3"/>
        <v>0</v>
      </c>
    </row>
    <row r="44" spans="1:17" x14ac:dyDescent="0.25">
      <c r="A44" t="s">
        <v>13</v>
      </c>
      <c r="D44" s="6">
        <f t="shared" si="3"/>
        <v>0</v>
      </c>
      <c r="E44" s="6">
        <f t="shared" si="3"/>
        <v>0</v>
      </c>
      <c r="F44" s="6">
        <f t="shared" si="3"/>
        <v>0</v>
      </c>
      <c r="G44" s="6">
        <f t="shared" si="3"/>
        <v>0</v>
      </c>
      <c r="H44" s="6">
        <f t="shared" si="3"/>
        <v>0</v>
      </c>
      <c r="I44" s="6">
        <f t="shared" si="3"/>
        <v>0</v>
      </c>
      <c r="J44" s="6">
        <f t="shared" si="3"/>
        <v>0</v>
      </c>
      <c r="K44" s="6">
        <f t="shared" si="3"/>
        <v>0</v>
      </c>
      <c r="L44" s="6">
        <f t="shared" si="3"/>
        <v>0</v>
      </c>
      <c r="M44" s="6">
        <f t="shared" si="3"/>
        <v>0</v>
      </c>
      <c r="N44" s="6">
        <f t="shared" si="3"/>
        <v>0</v>
      </c>
    </row>
    <row r="45" spans="1:17" x14ac:dyDescent="0.25">
      <c r="A45" t="s">
        <v>50</v>
      </c>
      <c r="D45" s="6">
        <f t="shared" si="3"/>
        <v>0</v>
      </c>
      <c r="E45" s="6">
        <f t="shared" si="3"/>
        <v>0</v>
      </c>
      <c r="F45" s="6">
        <f t="shared" si="3"/>
        <v>0</v>
      </c>
      <c r="G45" s="6">
        <f t="shared" si="3"/>
        <v>0</v>
      </c>
      <c r="H45" s="6">
        <f t="shared" si="3"/>
        <v>0</v>
      </c>
      <c r="I45" s="6">
        <f t="shared" si="3"/>
        <v>0</v>
      </c>
      <c r="J45" s="6">
        <f t="shared" si="3"/>
        <v>0</v>
      </c>
      <c r="K45" s="6">
        <f t="shared" si="3"/>
        <v>0</v>
      </c>
      <c r="L45" s="6">
        <f t="shared" si="3"/>
        <v>0</v>
      </c>
      <c r="M45" s="6">
        <f t="shared" si="3"/>
        <v>0</v>
      </c>
      <c r="N45" s="6">
        <f t="shared" si="3"/>
        <v>0</v>
      </c>
    </row>
    <row r="46" spans="1:17" ht="15.75" thickBot="1" x14ac:dyDescent="0.3">
      <c r="D46" s="7">
        <f t="shared" ref="D46:N46" si="4">SUM(D39:D45)</f>
        <v>0</v>
      </c>
      <c r="E46" s="7">
        <f t="shared" si="4"/>
        <v>210000</v>
      </c>
      <c r="F46" s="7">
        <f t="shared" si="4"/>
        <v>525000</v>
      </c>
      <c r="G46" s="7">
        <f t="shared" si="4"/>
        <v>251000</v>
      </c>
      <c r="H46" s="7">
        <f t="shared" si="4"/>
        <v>325000</v>
      </c>
      <c r="I46" s="7">
        <f t="shared" si="4"/>
        <v>350000</v>
      </c>
      <c r="J46" s="7">
        <f t="shared" si="4"/>
        <v>145000</v>
      </c>
      <c r="K46" s="7">
        <f t="shared" si="4"/>
        <v>100000</v>
      </c>
      <c r="L46" s="7">
        <f t="shared" si="4"/>
        <v>125000</v>
      </c>
      <c r="M46" s="7">
        <f t="shared" si="4"/>
        <v>140000</v>
      </c>
      <c r="N46" s="7">
        <f t="shared" si="4"/>
        <v>35000</v>
      </c>
    </row>
    <row r="47" spans="1:17" ht="15.75" thickTop="1" x14ac:dyDescent="0.25">
      <c r="D47" s="8">
        <f>D46-D35</f>
        <v>0</v>
      </c>
      <c r="E47" s="8">
        <f t="shared" ref="E47:N47" si="5">E46-E35</f>
        <v>0</v>
      </c>
      <c r="F47" s="8">
        <f t="shared" si="5"/>
        <v>0</v>
      </c>
      <c r="G47" s="8">
        <f t="shared" si="5"/>
        <v>0</v>
      </c>
      <c r="H47" s="8">
        <f t="shared" si="5"/>
        <v>0</v>
      </c>
      <c r="I47" s="8">
        <f t="shared" si="5"/>
        <v>0</v>
      </c>
      <c r="J47" s="8">
        <f t="shared" si="5"/>
        <v>0</v>
      </c>
      <c r="K47" s="8">
        <f t="shared" si="5"/>
        <v>0</v>
      </c>
      <c r="L47" s="8">
        <f t="shared" si="5"/>
        <v>0</v>
      </c>
      <c r="M47" s="8">
        <f t="shared" si="5"/>
        <v>0</v>
      </c>
      <c r="N47" s="8">
        <f t="shared" si="5"/>
        <v>0</v>
      </c>
    </row>
    <row r="48" spans="1:17" x14ac:dyDescent="0.25">
      <c r="P48" s="6"/>
      <c r="Q48" s="8"/>
    </row>
    <row r="49" spans="1:17" x14ac:dyDescent="0.25">
      <c r="Q49" s="8"/>
    </row>
    <row r="50" spans="1:17" x14ac:dyDescent="0.25">
      <c r="A50" s="72" t="s">
        <v>314</v>
      </c>
      <c r="Q50" s="8"/>
    </row>
    <row r="51" spans="1:17" x14ac:dyDescent="0.25">
      <c r="A51" s="72" t="s">
        <v>316</v>
      </c>
      <c r="Q51" s="8"/>
    </row>
    <row r="52" spans="1:17" x14ac:dyDescent="0.25">
      <c r="A52" s="72" t="s">
        <v>315</v>
      </c>
      <c r="Q52" s="8"/>
    </row>
    <row r="53" spans="1:17" x14ac:dyDescent="0.25">
      <c r="A53" s="72" t="s">
        <v>365</v>
      </c>
      <c r="D53" s="6">
        <f>D46</f>
        <v>0</v>
      </c>
      <c r="E53" s="6">
        <f t="shared" ref="E53:N53" si="6">E46</f>
        <v>210000</v>
      </c>
      <c r="F53" s="6">
        <f t="shared" si="6"/>
        <v>525000</v>
      </c>
      <c r="G53" s="6">
        <f t="shared" si="6"/>
        <v>251000</v>
      </c>
      <c r="H53" s="6">
        <f t="shared" si="6"/>
        <v>325000</v>
      </c>
      <c r="I53" s="6">
        <f t="shared" si="6"/>
        <v>350000</v>
      </c>
      <c r="J53" s="6">
        <f t="shared" si="6"/>
        <v>145000</v>
      </c>
      <c r="K53" s="6">
        <f t="shared" si="6"/>
        <v>100000</v>
      </c>
      <c r="L53" s="6">
        <f t="shared" si="6"/>
        <v>125000</v>
      </c>
      <c r="M53" s="6">
        <f t="shared" si="6"/>
        <v>140000</v>
      </c>
      <c r="N53" s="6">
        <f t="shared" si="6"/>
        <v>35000</v>
      </c>
      <c r="Q53" s="8"/>
    </row>
    <row r="54" spans="1:17" x14ac:dyDescent="0.25">
      <c r="A54" s="72" t="s">
        <v>366</v>
      </c>
      <c r="Q54" s="8"/>
    </row>
    <row r="55" spans="1:17" x14ac:dyDescent="0.25">
      <c r="A55" s="72" t="s">
        <v>367</v>
      </c>
      <c r="Q55" s="8"/>
    </row>
    <row r="56" spans="1:17" x14ac:dyDescent="0.25">
      <c r="A56" s="72" t="s">
        <v>1</v>
      </c>
      <c r="Q56" s="8"/>
    </row>
    <row r="57" spans="1:17" x14ac:dyDescent="0.25">
      <c r="Q57" s="8"/>
    </row>
    <row r="58" spans="1:17" x14ac:dyDescent="0.25">
      <c r="P58" s="6"/>
      <c r="Q58" s="8"/>
    </row>
    <row r="59" spans="1:17" x14ac:dyDescent="0.25">
      <c r="A59" t="s">
        <v>55</v>
      </c>
    </row>
    <row r="60" spans="1:17" x14ac:dyDescent="0.25">
      <c r="A60" t="s">
        <v>56</v>
      </c>
    </row>
    <row r="61" spans="1:17" x14ac:dyDescent="0.25">
      <c r="A61" t="s">
        <v>370</v>
      </c>
    </row>
    <row r="62" spans="1:17" x14ac:dyDescent="0.25">
      <c r="A62" t="s">
        <v>57</v>
      </c>
    </row>
    <row r="63" spans="1:17" x14ac:dyDescent="0.25">
      <c r="A63" t="s">
        <v>244</v>
      </c>
    </row>
    <row r="64" spans="1:17" x14ac:dyDescent="0.25">
      <c r="A64" t="s">
        <v>58</v>
      </c>
    </row>
    <row r="65" spans="1:1" x14ac:dyDescent="0.25">
      <c r="A65" t="s">
        <v>59</v>
      </c>
    </row>
  </sheetData>
  <customSheetViews>
    <customSheetView guid="{BB410D8C-36DE-400F-AB69-DB51CF9CA663}" fitToPage="1" state="hidden" topLeftCell="A34">
      <selection activeCell="G68" sqref="G68"/>
      <pageMargins left="0.4" right="0.4" top="0.4" bottom="0.4" header="0" footer="0"/>
      <pageSetup scale="53" orientation="portrait" r:id="rId1"/>
    </customSheetView>
  </customSheetViews>
  <pageMargins left="0.4" right="0.4" top="0.4" bottom="0.4" header="0" footer="0"/>
  <pageSetup scale="53" orientation="portrait"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4"/>
  <sheetViews>
    <sheetView topLeftCell="A31" workbookViewId="0">
      <selection activeCell="G68" sqref="G68"/>
    </sheetView>
  </sheetViews>
  <sheetFormatPr defaultRowHeight="15" x14ac:dyDescent="0.25"/>
  <cols>
    <col min="1" max="1" width="26.7109375" bestFit="1" customWidth="1"/>
    <col min="2" max="2" width="62.42578125" customWidth="1"/>
    <col min="3" max="3" width="8.28515625" style="1" customWidth="1"/>
    <col min="4" max="4" width="2.85546875" customWidth="1"/>
    <col min="5" max="5" width="11.140625" style="6" customWidth="1"/>
    <col min="6" max="7" width="10.140625" style="6" customWidth="1"/>
    <col min="8" max="8" width="10.140625" style="6" bestFit="1" customWidth="1"/>
    <col min="9" max="12" width="10.140625" style="6" customWidth="1"/>
    <col min="13" max="13" width="9.140625" style="6"/>
    <col min="14" max="15" width="10.140625" style="6" customWidth="1"/>
    <col min="18" max="18" width="13.28515625" bestFit="1" customWidth="1"/>
  </cols>
  <sheetData>
    <row r="1" spans="1:16" ht="21" x14ac:dyDescent="0.35">
      <c r="B1" s="17" t="s">
        <v>62</v>
      </c>
    </row>
    <row r="2" spans="1:16" ht="21" x14ac:dyDescent="0.35">
      <c r="B2" s="17" t="s">
        <v>70</v>
      </c>
      <c r="H2" s="19"/>
    </row>
    <row r="3" spans="1:16" ht="21" x14ac:dyDescent="0.35">
      <c r="B3" s="17" t="s">
        <v>64</v>
      </c>
      <c r="E3"/>
      <c r="F3"/>
      <c r="G3"/>
      <c r="H3"/>
      <c r="I3"/>
      <c r="J3"/>
      <c r="K3"/>
      <c r="L3"/>
      <c r="M3"/>
      <c r="N3"/>
      <c r="O3"/>
    </row>
    <row r="4" spans="1:16" x14ac:dyDescent="0.25">
      <c r="E4"/>
      <c r="F4"/>
      <c r="G4"/>
      <c r="H4"/>
      <c r="I4"/>
      <c r="J4"/>
      <c r="K4"/>
      <c r="L4"/>
      <c r="M4"/>
      <c r="N4"/>
      <c r="O4"/>
    </row>
    <row r="5" spans="1:16" x14ac:dyDescent="0.25">
      <c r="E5"/>
      <c r="F5"/>
      <c r="G5"/>
      <c r="H5"/>
      <c r="I5"/>
      <c r="J5"/>
      <c r="K5"/>
      <c r="L5"/>
      <c r="M5"/>
      <c r="N5"/>
      <c r="O5"/>
    </row>
    <row r="6" spans="1:16" x14ac:dyDescent="0.25">
      <c r="E6" s="3" t="s">
        <v>2</v>
      </c>
      <c r="F6" s="3" t="s">
        <v>3</v>
      </c>
      <c r="G6" s="3" t="s">
        <v>4</v>
      </c>
      <c r="H6" s="3" t="s">
        <v>5</v>
      </c>
      <c r="I6" s="3" t="s">
        <v>6</v>
      </c>
      <c r="J6" s="3" t="s">
        <v>7</v>
      </c>
      <c r="K6" s="3" t="s">
        <v>8</v>
      </c>
      <c r="L6" s="3" t="s">
        <v>9</v>
      </c>
      <c r="M6" s="3" t="s">
        <v>10</v>
      </c>
      <c r="N6" s="3" t="s">
        <v>11</v>
      </c>
      <c r="O6" s="3" t="s">
        <v>45</v>
      </c>
    </row>
    <row r="7" spans="1:16" x14ac:dyDescent="0.25">
      <c r="E7"/>
      <c r="F7"/>
      <c r="G7"/>
      <c r="H7"/>
      <c r="I7"/>
      <c r="J7"/>
      <c r="K7"/>
      <c r="L7"/>
      <c r="M7"/>
      <c r="N7"/>
      <c r="O7"/>
    </row>
    <row r="8" spans="1:16" x14ac:dyDescent="0.25">
      <c r="B8" s="5" t="s">
        <v>0</v>
      </c>
      <c r="E8"/>
      <c r="F8"/>
      <c r="G8"/>
      <c r="H8"/>
      <c r="I8"/>
      <c r="J8"/>
      <c r="K8"/>
      <c r="L8"/>
      <c r="M8"/>
      <c r="N8"/>
      <c r="O8"/>
    </row>
    <row r="9" spans="1:16" x14ac:dyDescent="0.25">
      <c r="A9" t="s">
        <v>315</v>
      </c>
      <c r="B9" t="s">
        <v>124</v>
      </c>
      <c r="C9" s="1" t="s">
        <v>16</v>
      </c>
      <c r="F9" s="6">
        <v>145000</v>
      </c>
      <c r="G9" s="6">
        <v>125000</v>
      </c>
      <c r="H9" s="6">
        <v>125000</v>
      </c>
      <c r="I9" s="6">
        <v>125000</v>
      </c>
      <c r="J9" s="6">
        <v>125000</v>
      </c>
      <c r="K9" s="6">
        <v>125000</v>
      </c>
      <c r="L9" s="6">
        <v>125000</v>
      </c>
      <c r="M9" s="6">
        <v>125000</v>
      </c>
      <c r="N9" s="6">
        <v>125000</v>
      </c>
      <c r="O9" s="6">
        <v>125000</v>
      </c>
    </row>
    <row r="10" spans="1:16" x14ac:dyDescent="0.25">
      <c r="A10" t="s">
        <v>315</v>
      </c>
      <c r="B10" t="s">
        <v>125</v>
      </c>
      <c r="C10" s="1" t="s">
        <v>16</v>
      </c>
      <c r="G10" s="6">
        <v>29327</v>
      </c>
      <c r="H10" s="6">
        <v>29327</v>
      </c>
      <c r="K10" s="6">
        <v>30518</v>
      </c>
      <c r="L10" s="6">
        <v>30518</v>
      </c>
    </row>
    <row r="11" spans="1:16" x14ac:dyDescent="0.25">
      <c r="A11" t="s">
        <v>315</v>
      </c>
      <c r="B11" t="s">
        <v>126</v>
      </c>
      <c r="C11" s="1" t="s">
        <v>16</v>
      </c>
      <c r="G11" s="6">
        <v>29327</v>
      </c>
      <c r="H11" s="6">
        <v>29327</v>
      </c>
      <c r="K11" s="6">
        <v>30518</v>
      </c>
      <c r="L11" s="6">
        <v>30518</v>
      </c>
    </row>
    <row r="12" spans="1:16" x14ac:dyDescent="0.25">
      <c r="A12" t="s">
        <v>315</v>
      </c>
      <c r="B12" t="s">
        <v>127</v>
      </c>
      <c r="C12" s="1" t="s">
        <v>16</v>
      </c>
      <c r="F12" s="6">
        <v>33000</v>
      </c>
      <c r="H12" s="6">
        <v>33000</v>
      </c>
      <c r="J12" s="6">
        <v>33000</v>
      </c>
      <c r="L12" s="6">
        <v>33000</v>
      </c>
      <c r="N12" s="6">
        <v>33000</v>
      </c>
    </row>
    <row r="13" spans="1:16" x14ac:dyDescent="0.25">
      <c r="A13" t="s">
        <v>315</v>
      </c>
      <c r="B13" t="s">
        <v>128</v>
      </c>
      <c r="C13" s="1" t="s">
        <v>16</v>
      </c>
      <c r="F13" s="6">
        <v>28000</v>
      </c>
      <c r="G13" s="6">
        <v>28000</v>
      </c>
      <c r="H13" s="6">
        <v>28000</v>
      </c>
      <c r="I13" s="6">
        <v>28000</v>
      </c>
      <c r="J13" s="6">
        <v>28000</v>
      </c>
      <c r="K13" s="6">
        <v>28000</v>
      </c>
      <c r="L13" s="6">
        <v>28000</v>
      </c>
      <c r="M13" s="6">
        <v>28000</v>
      </c>
      <c r="N13" s="6">
        <v>28000</v>
      </c>
      <c r="O13" s="6">
        <v>28000</v>
      </c>
    </row>
    <row r="14" spans="1:16" x14ac:dyDescent="0.25">
      <c r="A14" t="s">
        <v>315</v>
      </c>
      <c r="B14" t="s">
        <v>308</v>
      </c>
      <c r="C14" s="1" t="s">
        <v>16</v>
      </c>
      <c r="F14" s="6">
        <v>60000</v>
      </c>
      <c r="G14" s="6">
        <v>60000</v>
      </c>
      <c r="H14" s="6">
        <v>60000</v>
      </c>
      <c r="I14" s="6">
        <v>60000</v>
      </c>
      <c r="J14" s="6">
        <v>60000</v>
      </c>
      <c r="K14" s="6">
        <v>60000</v>
      </c>
      <c r="L14" s="6">
        <v>60000</v>
      </c>
      <c r="M14" s="6">
        <v>60000</v>
      </c>
      <c r="N14" s="6">
        <v>60000</v>
      </c>
      <c r="O14" s="6">
        <v>60000</v>
      </c>
    </row>
    <row r="15" spans="1:16" x14ac:dyDescent="0.25">
      <c r="A15" t="s">
        <v>365</v>
      </c>
      <c r="B15" t="s">
        <v>120</v>
      </c>
      <c r="C15" s="1" t="s">
        <v>16</v>
      </c>
      <c r="F15" s="21">
        <v>200000</v>
      </c>
      <c r="G15" s="21">
        <v>200000</v>
      </c>
      <c r="H15" s="21">
        <v>200000</v>
      </c>
      <c r="I15" s="21">
        <v>200000</v>
      </c>
      <c r="J15" s="21">
        <v>200000</v>
      </c>
      <c r="K15" s="21">
        <v>200000</v>
      </c>
      <c r="L15" s="21">
        <v>200000</v>
      </c>
      <c r="M15" s="21">
        <v>200000</v>
      </c>
      <c r="N15" s="21">
        <v>200000</v>
      </c>
      <c r="O15" s="21">
        <v>200000</v>
      </c>
      <c r="P15" s="6"/>
    </row>
    <row r="16" spans="1:16" x14ac:dyDescent="0.25">
      <c r="A16" t="s">
        <v>365</v>
      </c>
      <c r="B16" t="s">
        <v>121</v>
      </c>
      <c r="C16" s="1" t="s">
        <v>16</v>
      </c>
      <c r="F16" s="6">
        <v>81949</v>
      </c>
      <c r="H16" s="6">
        <v>86097</v>
      </c>
      <c r="O16" s="6">
        <v>99847</v>
      </c>
    </row>
    <row r="17" spans="1:14" x14ac:dyDescent="0.25">
      <c r="A17" t="s">
        <v>365</v>
      </c>
      <c r="B17" t="s">
        <v>122</v>
      </c>
      <c r="C17" s="1" t="s">
        <v>16</v>
      </c>
      <c r="H17" s="6">
        <v>42025</v>
      </c>
      <c r="I17" s="6">
        <v>38633</v>
      </c>
      <c r="J17" s="6">
        <v>50913</v>
      </c>
    </row>
    <row r="18" spans="1:14" x14ac:dyDescent="0.25">
      <c r="A18" t="s">
        <v>365</v>
      </c>
      <c r="B18" t="s">
        <v>325</v>
      </c>
      <c r="C18" s="1" t="s">
        <v>16</v>
      </c>
      <c r="G18" s="6">
        <v>110000</v>
      </c>
      <c r="H18" s="6">
        <v>110000</v>
      </c>
    </row>
    <row r="19" spans="1:14" x14ac:dyDescent="0.25">
      <c r="A19" t="s">
        <v>365</v>
      </c>
      <c r="B19" t="s">
        <v>326</v>
      </c>
      <c r="C19" s="1" t="s">
        <v>16</v>
      </c>
      <c r="H19" s="6">
        <v>8000</v>
      </c>
    </row>
    <row r="20" spans="1:14" x14ac:dyDescent="0.25">
      <c r="A20" t="s">
        <v>365</v>
      </c>
      <c r="B20" t="s">
        <v>327</v>
      </c>
      <c r="C20" s="1" t="s">
        <v>16</v>
      </c>
      <c r="I20" s="6">
        <v>150000</v>
      </c>
    </row>
    <row r="21" spans="1:14" x14ac:dyDescent="0.25">
      <c r="A21" t="s">
        <v>365</v>
      </c>
      <c r="B21" t="s">
        <v>328</v>
      </c>
      <c r="C21" s="1" t="s">
        <v>16</v>
      </c>
      <c r="J21" s="6">
        <v>50000</v>
      </c>
    </row>
    <row r="22" spans="1:14" x14ac:dyDescent="0.25">
      <c r="A22" t="s">
        <v>365</v>
      </c>
      <c r="B22" t="s">
        <v>329</v>
      </c>
      <c r="C22" s="1" t="s">
        <v>16</v>
      </c>
      <c r="J22" s="6">
        <v>40000</v>
      </c>
    </row>
    <row r="23" spans="1:14" x14ac:dyDescent="0.25">
      <c r="A23" t="s">
        <v>365</v>
      </c>
      <c r="B23" t="s">
        <v>330</v>
      </c>
      <c r="C23" s="1" t="s">
        <v>16</v>
      </c>
      <c r="I23" s="6">
        <v>70000</v>
      </c>
    </row>
    <row r="24" spans="1:14" x14ac:dyDescent="0.25">
      <c r="A24" t="s">
        <v>365</v>
      </c>
      <c r="B24" t="s">
        <v>118</v>
      </c>
      <c r="C24" s="1" t="s">
        <v>16</v>
      </c>
      <c r="F24" s="6">
        <v>35000</v>
      </c>
      <c r="G24" s="6">
        <v>0</v>
      </c>
      <c r="H24" s="6">
        <v>34218</v>
      </c>
      <c r="I24" s="6">
        <v>35074</v>
      </c>
      <c r="J24" s="6">
        <v>35950</v>
      </c>
      <c r="K24" s="6">
        <v>36849</v>
      </c>
      <c r="M24" s="6">
        <v>38715</v>
      </c>
      <c r="N24" s="6">
        <v>39683</v>
      </c>
    </row>
    <row r="25" spans="1:14" x14ac:dyDescent="0.25">
      <c r="A25" t="s">
        <v>365</v>
      </c>
      <c r="B25" t="s">
        <v>119</v>
      </c>
      <c r="C25" s="1" t="s">
        <v>16</v>
      </c>
      <c r="F25" s="6">
        <v>0</v>
      </c>
      <c r="M25" s="6">
        <v>0</v>
      </c>
      <c r="N25" s="6">
        <v>0</v>
      </c>
    </row>
    <row r="26" spans="1:14" x14ac:dyDescent="0.25">
      <c r="A26" t="s">
        <v>365</v>
      </c>
      <c r="B26" t="s">
        <v>112</v>
      </c>
      <c r="C26" s="1" t="s">
        <v>16</v>
      </c>
    </row>
    <row r="27" spans="1:14" x14ac:dyDescent="0.25">
      <c r="A27" t="s">
        <v>315</v>
      </c>
      <c r="B27" t="s">
        <v>113</v>
      </c>
      <c r="C27" s="1" t="s">
        <v>19</v>
      </c>
      <c r="G27" s="6">
        <v>700000</v>
      </c>
      <c r="K27" s="6">
        <v>1300000</v>
      </c>
    </row>
    <row r="28" spans="1:14" x14ac:dyDescent="0.25">
      <c r="A28" t="s">
        <v>315</v>
      </c>
      <c r="B28" t="s">
        <v>114</v>
      </c>
      <c r="C28" s="1" t="s">
        <v>16</v>
      </c>
      <c r="N28" s="6">
        <v>250000</v>
      </c>
    </row>
    <row r="29" spans="1:14" x14ac:dyDescent="0.25">
      <c r="A29" t="s">
        <v>315</v>
      </c>
      <c r="B29" t="s">
        <v>115</v>
      </c>
      <c r="C29" s="1" t="s">
        <v>19</v>
      </c>
      <c r="G29" s="21">
        <v>600000</v>
      </c>
    </row>
    <row r="30" spans="1:14" x14ac:dyDescent="0.25">
      <c r="A30" t="s">
        <v>315</v>
      </c>
      <c r="B30" t="s">
        <v>116</v>
      </c>
      <c r="C30" s="1" t="s">
        <v>16</v>
      </c>
      <c r="M30" s="6">
        <v>50000</v>
      </c>
      <c r="N30" s="6">
        <v>50000</v>
      </c>
    </row>
    <row r="31" spans="1:14" x14ac:dyDescent="0.25">
      <c r="A31" t="s">
        <v>315</v>
      </c>
      <c r="B31" t="s">
        <v>117</v>
      </c>
      <c r="C31" s="1" t="s">
        <v>16</v>
      </c>
      <c r="I31" s="6">
        <v>75000</v>
      </c>
      <c r="J31" s="6">
        <v>75000</v>
      </c>
      <c r="K31" s="6">
        <v>75000</v>
      </c>
      <c r="L31" s="6">
        <v>75000</v>
      </c>
    </row>
    <row r="32" spans="1:14" x14ac:dyDescent="0.25">
      <c r="A32" t="s">
        <v>366</v>
      </c>
      <c r="B32" t="s">
        <v>348</v>
      </c>
      <c r="C32" s="1" t="s">
        <v>16</v>
      </c>
      <c r="F32" s="6">
        <v>20000</v>
      </c>
    </row>
    <row r="33" spans="1:18" x14ac:dyDescent="0.25">
      <c r="A33" t="s">
        <v>366</v>
      </c>
      <c r="B33" t="s">
        <v>129</v>
      </c>
      <c r="C33" s="1" t="s">
        <v>16</v>
      </c>
      <c r="H33" s="6">
        <v>80000</v>
      </c>
      <c r="M33" s="6">
        <v>100000</v>
      </c>
    </row>
    <row r="34" spans="1:18" x14ac:dyDescent="0.25">
      <c r="A34" t="s">
        <v>366</v>
      </c>
      <c r="B34" t="s">
        <v>130</v>
      </c>
      <c r="C34" s="1" t="s">
        <v>16</v>
      </c>
      <c r="E34" s="6">
        <v>8000</v>
      </c>
    </row>
    <row r="35" spans="1:18" x14ac:dyDescent="0.25">
      <c r="A35" t="s">
        <v>366</v>
      </c>
      <c r="B35" t="s">
        <v>131</v>
      </c>
      <c r="C35" s="1" t="s">
        <v>16</v>
      </c>
      <c r="G35" s="6">
        <v>40000</v>
      </c>
    </row>
    <row r="36" spans="1:18" x14ac:dyDescent="0.25">
      <c r="A36" t="s">
        <v>366</v>
      </c>
      <c r="B36" t="s">
        <v>132</v>
      </c>
      <c r="C36" s="1" t="s">
        <v>16</v>
      </c>
      <c r="F36" s="6">
        <v>7500</v>
      </c>
      <c r="G36" s="6">
        <v>7500</v>
      </c>
      <c r="H36" s="6">
        <v>7500</v>
      </c>
      <c r="I36" s="6">
        <v>7500</v>
      </c>
      <c r="J36" s="6">
        <v>5000</v>
      </c>
      <c r="K36" s="6">
        <v>5000</v>
      </c>
      <c r="L36" s="6">
        <v>5000</v>
      </c>
      <c r="P36" s="52"/>
    </row>
    <row r="37" spans="1:18" x14ac:dyDescent="0.25">
      <c r="A37" t="s">
        <v>366</v>
      </c>
      <c r="B37" t="s">
        <v>133</v>
      </c>
      <c r="C37" s="1" t="s">
        <v>16</v>
      </c>
      <c r="H37" s="6">
        <v>85000</v>
      </c>
      <c r="J37" s="6">
        <v>45000</v>
      </c>
      <c r="K37" s="6">
        <v>100000</v>
      </c>
      <c r="M37" s="6">
        <v>52000</v>
      </c>
      <c r="N37" s="6">
        <v>135000</v>
      </c>
      <c r="P37" s="52"/>
    </row>
    <row r="38" spans="1:18" x14ac:dyDescent="0.25">
      <c r="A38" t="s">
        <v>365</v>
      </c>
      <c r="B38" t="s">
        <v>317</v>
      </c>
      <c r="C38" s="1" t="s">
        <v>16</v>
      </c>
      <c r="F38" s="6">
        <v>18000</v>
      </c>
      <c r="G38" s="6">
        <v>18000</v>
      </c>
      <c r="H38" s="6">
        <v>18000</v>
      </c>
      <c r="I38" s="6">
        <v>18000</v>
      </c>
      <c r="J38" s="6">
        <v>18000</v>
      </c>
      <c r="K38" s="6">
        <v>18000</v>
      </c>
      <c r="L38" s="6">
        <v>18000</v>
      </c>
      <c r="M38" s="6">
        <v>18000</v>
      </c>
      <c r="N38" s="6">
        <v>18000</v>
      </c>
      <c r="O38" s="6">
        <v>18000</v>
      </c>
      <c r="R38" s="8"/>
    </row>
    <row r="39" spans="1:18" x14ac:dyDescent="0.25">
      <c r="A39" t="s">
        <v>365</v>
      </c>
      <c r="B39" t="s">
        <v>134</v>
      </c>
      <c r="C39" s="1" t="s">
        <v>16</v>
      </c>
      <c r="H39" s="6">
        <v>19869</v>
      </c>
      <c r="J39" s="6">
        <v>20271</v>
      </c>
    </row>
    <row r="40" spans="1:18" x14ac:dyDescent="0.25">
      <c r="A40" t="s">
        <v>365</v>
      </c>
      <c r="B40" t="s">
        <v>135</v>
      </c>
      <c r="C40" s="1" t="s">
        <v>16</v>
      </c>
    </row>
    <row r="41" spans="1:18" x14ac:dyDescent="0.25">
      <c r="A41" t="s">
        <v>365</v>
      </c>
      <c r="B41" t="s">
        <v>136</v>
      </c>
      <c r="C41" s="1" t="s">
        <v>16</v>
      </c>
      <c r="G41" s="6">
        <v>25000</v>
      </c>
      <c r="H41" s="6">
        <v>25625</v>
      </c>
      <c r="I41" s="6">
        <v>26266</v>
      </c>
    </row>
    <row r="42" spans="1:18" x14ac:dyDescent="0.25">
      <c r="A42" t="s">
        <v>365</v>
      </c>
      <c r="B42" t="s">
        <v>137</v>
      </c>
      <c r="C42" s="1" t="s">
        <v>16</v>
      </c>
      <c r="E42" s="21">
        <v>0</v>
      </c>
    </row>
    <row r="43" spans="1:18" x14ac:dyDescent="0.25">
      <c r="A43" t="s">
        <v>365</v>
      </c>
      <c r="B43" t="s">
        <v>138</v>
      </c>
      <c r="C43" s="1" t="s">
        <v>16</v>
      </c>
      <c r="I43" s="6">
        <v>50000</v>
      </c>
      <c r="K43" s="6">
        <v>50000</v>
      </c>
    </row>
    <row r="45" spans="1:18" s="4" customFormat="1" ht="15.75" thickBot="1" x14ac:dyDescent="0.3">
      <c r="B45" s="4" t="s">
        <v>36</v>
      </c>
      <c r="C45" s="2"/>
      <c r="E45" s="9">
        <f t="shared" ref="E45:O45" si="0">SUM(E9:E44)</f>
        <v>8000</v>
      </c>
      <c r="F45" s="9">
        <f t="shared" si="0"/>
        <v>628449</v>
      </c>
      <c r="G45" s="9">
        <f t="shared" si="0"/>
        <v>1972154</v>
      </c>
      <c r="H45" s="9">
        <f t="shared" si="0"/>
        <v>1020988</v>
      </c>
      <c r="I45" s="9">
        <f t="shared" si="0"/>
        <v>883473</v>
      </c>
      <c r="J45" s="9">
        <f t="shared" si="0"/>
        <v>786134</v>
      </c>
      <c r="K45" s="9">
        <f t="shared" si="0"/>
        <v>2058885</v>
      </c>
      <c r="L45" s="9">
        <f t="shared" si="0"/>
        <v>605036</v>
      </c>
      <c r="M45" s="9">
        <f t="shared" si="0"/>
        <v>671715</v>
      </c>
      <c r="N45" s="9">
        <f t="shared" si="0"/>
        <v>938683</v>
      </c>
      <c r="O45" s="9">
        <f t="shared" si="0"/>
        <v>530847</v>
      </c>
    </row>
    <row r="46" spans="1:18" ht="15.75" thickTop="1" x14ac:dyDescent="0.25"/>
    <row r="47" spans="1:18" x14ac:dyDescent="0.25">
      <c r="B47" s="5" t="s">
        <v>1</v>
      </c>
    </row>
    <row r="48" spans="1:18" x14ac:dyDescent="0.25">
      <c r="A48" t="s">
        <v>1</v>
      </c>
      <c r="B48" t="s">
        <v>139</v>
      </c>
      <c r="C48" s="1" t="s">
        <v>16</v>
      </c>
      <c r="E48" s="6">
        <v>38950</v>
      </c>
      <c r="F48" s="6">
        <v>98000</v>
      </c>
      <c r="G48" s="6">
        <f>22294*2</f>
        <v>44588</v>
      </c>
      <c r="H48" s="6">
        <f>19731*5</f>
        <v>98655</v>
      </c>
      <c r="I48" s="6">
        <f>20859*2</f>
        <v>41718</v>
      </c>
      <c r="J48" s="6">
        <f>21802*2</f>
        <v>43604</v>
      </c>
      <c r="K48" s="6">
        <f>21084+22217</f>
        <v>43301</v>
      </c>
      <c r="L48" s="6">
        <f>22991*2</f>
        <v>45982</v>
      </c>
      <c r="M48" s="6">
        <v>21084</v>
      </c>
      <c r="N48" s="6">
        <f>22991+25513</f>
        <v>48504</v>
      </c>
      <c r="O48" s="6">
        <f>25513*2+22835*2</f>
        <v>96696</v>
      </c>
      <c r="Q48" s="6"/>
      <c r="R48" s="8"/>
    </row>
    <row r="49" spans="1:18" x14ac:dyDescent="0.25">
      <c r="A49" t="s">
        <v>1</v>
      </c>
      <c r="B49" t="s">
        <v>141</v>
      </c>
      <c r="C49" s="1" t="s">
        <v>16</v>
      </c>
      <c r="R49" s="8"/>
    </row>
    <row r="50" spans="1:18" x14ac:dyDescent="0.25">
      <c r="R50" s="8"/>
    </row>
    <row r="51" spans="1:18" s="4" customFormat="1" ht="15.75" thickBot="1" x14ac:dyDescent="0.3">
      <c r="B51" s="4" t="s">
        <v>34</v>
      </c>
      <c r="C51" s="2"/>
      <c r="E51" s="9">
        <f t="shared" ref="E51:O51" si="1">SUM(E48:E50)</f>
        <v>38950</v>
      </c>
      <c r="F51" s="9">
        <f t="shared" si="1"/>
        <v>98000</v>
      </c>
      <c r="G51" s="9">
        <f t="shared" si="1"/>
        <v>44588</v>
      </c>
      <c r="H51" s="9">
        <f t="shared" si="1"/>
        <v>98655</v>
      </c>
      <c r="I51" s="9">
        <f t="shared" si="1"/>
        <v>41718</v>
      </c>
      <c r="J51" s="9">
        <f t="shared" si="1"/>
        <v>43604</v>
      </c>
      <c r="K51" s="9">
        <f t="shared" si="1"/>
        <v>43301</v>
      </c>
      <c r="L51" s="9">
        <f t="shared" si="1"/>
        <v>45982</v>
      </c>
      <c r="M51" s="9">
        <f t="shared" si="1"/>
        <v>21084</v>
      </c>
      <c r="N51" s="9">
        <f t="shared" si="1"/>
        <v>48504</v>
      </c>
      <c r="O51" s="9">
        <f t="shared" si="1"/>
        <v>96696</v>
      </c>
      <c r="R51" s="70"/>
    </row>
    <row r="52" spans="1:18" ht="15.75" thickTop="1" x14ac:dyDescent="0.25">
      <c r="R52" s="8"/>
    </row>
    <row r="53" spans="1:18" s="4" customFormat="1" x14ac:dyDescent="0.25">
      <c r="B53" s="4" t="s">
        <v>35</v>
      </c>
      <c r="C53" s="2"/>
      <c r="E53" s="10">
        <f t="shared" ref="E53:O53" si="2">E51+E45</f>
        <v>46950</v>
      </c>
      <c r="F53" s="10">
        <f t="shared" si="2"/>
        <v>726449</v>
      </c>
      <c r="G53" s="10">
        <f t="shared" si="2"/>
        <v>2016742</v>
      </c>
      <c r="H53" s="10">
        <f t="shared" si="2"/>
        <v>1119643</v>
      </c>
      <c r="I53" s="10">
        <f t="shared" si="2"/>
        <v>925191</v>
      </c>
      <c r="J53" s="10">
        <f t="shared" si="2"/>
        <v>829738</v>
      </c>
      <c r="K53" s="10">
        <f t="shared" si="2"/>
        <v>2102186</v>
      </c>
      <c r="L53" s="10">
        <f t="shared" si="2"/>
        <v>651018</v>
      </c>
      <c r="M53" s="10">
        <f t="shared" si="2"/>
        <v>692799</v>
      </c>
      <c r="N53" s="10">
        <f t="shared" si="2"/>
        <v>987187</v>
      </c>
      <c r="O53" s="10">
        <f t="shared" si="2"/>
        <v>627543</v>
      </c>
      <c r="R53" s="70"/>
    </row>
    <row r="54" spans="1:18" x14ac:dyDescent="0.25">
      <c r="R54" s="8"/>
    </row>
    <row r="55" spans="1:18" x14ac:dyDescent="0.25">
      <c r="R55" s="8"/>
    </row>
    <row r="56" spans="1:18" x14ac:dyDescent="0.25">
      <c r="R56" s="8"/>
    </row>
    <row r="57" spans="1:18" x14ac:dyDescent="0.25">
      <c r="B57" t="s">
        <v>16</v>
      </c>
      <c r="E57" s="6">
        <f t="shared" ref="E57:O63" si="3">SUMIF($C$9:$C$50,$B57,E$9:E$50)</f>
        <v>46950</v>
      </c>
      <c r="F57" s="6">
        <f t="shared" si="3"/>
        <v>726449</v>
      </c>
      <c r="G57" s="6">
        <f t="shared" si="3"/>
        <v>716742</v>
      </c>
      <c r="H57" s="6">
        <f t="shared" si="3"/>
        <v>1119643</v>
      </c>
      <c r="I57" s="6">
        <f t="shared" si="3"/>
        <v>925191</v>
      </c>
      <c r="J57" s="6">
        <f t="shared" si="3"/>
        <v>829738</v>
      </c>
      <c r="K57" s="6">
        <f t="shared" si="3"/>
        <v>802186</v>
      </c>
      <c r="L57" s="6">
        <f t="shared" si="3"/>
        <v>651018</v>
      </c>
      <c r="M57" s="6">
        <f t="shared" si="3"/>
        <v>692799</v>
      </c>
      <c r="N57" s="6">
        <f t="shared" si="3"/>
        <v>987187</v>
      </c>
      <c r="O57" s="6">
        <f t="shared" si="3"/>
        <v>627543</v>
      </c>
      <c r="R57" s="8"/>
    </row>
    <row r="58" spans="1:18" x14ac:dyDescent="0.25">
      <c r="B58" t="s">
        <v>37</v>
      </c>
      <c r="E58" s="6">
        <f t="shared" si="3"/>
        <v>0</v>
      </c>
      <c r="F58" s="6">
        <f t="shared" si="3"/>
        <v>0</v>
      </c>
      <c r="G58" s="6">
        <f t="shared" si="3"/>
        <v>0</v>
      </c>
      <c r="H58" s="6">
        <f t="shared" si="3"/>
        <v>0</v>
      </c>
      <c r="I58" s="6">
        <f t="shared" si="3"/>
        <v>0</v>
      </c>
      <c r="J58" s="6">
        <f t="shared" si="3"/>
        <v>0</v>
      </c>
      <c r="K58" s="6">
        <f t="shared" si="3"/>
        <v>0</v>
      </c>
      <c r="L58" s="6">
        <f t="shared" si="3"/>
        <v>0</v>
      </c>
      <c r="M58" s="6">
        <f t="shared" si="3"/>
        <v>0</v>
      </c>
      <c r="N58" s="6">
        <f t="shared" si="3"/>
        <v>0</v>
      </c>
      <c r="O58" s="6">
        <f t="shared" si="3"/>
        <v>0</v>
      </c>
      <c r="Q58" s="6"/>
      <c r="R58" s="8"/>
    </row>
    <row r="59" spans="1:18" x14ac:dyDescent="0.25">
      <c r="B59" t="s">
        <v>38</v>
      </c>
      <c r="E59" s="6">
        <f t="shared" si="3"/>
        <v>0</v>
      </c>
      <c r="F59" s="6">
        <f t="shared" si="3"/>
        <v>0</v>
      </c>
      <c r="G59" s="6">
        <f t="shared" si="3"/>
        <v>0</v>
      </c>
      <c r="H59" s="6">
        <f t="shared" si="3"/>
        <v>0</v>
      </c>
      <c r="I59" s="6">
        <f t="shared" si="3"/>
        <v>0</v>
      </c>
      <c r="J59" s="6">
        <f t="shared" si="3"/>
        <v>0</v>
      </c>
      <c r="K59" s="6">
        <f t="shared" si="3"/>
        <v>0</v>
      </c>
      <c r="L59" s="6">
        <f t="shared" si="3"/>
        <v>0</v>
      </c>
      <c r="M59" s="6">
        <f t="shared" si="3"/>
        <v>0</v>
      </c>
      <c r="N59" s="6">
        <f t="shared" si="3"/>
        <v>0</v>
      </c>
      <c r="O59" s="6">
        <f t="shared" si="3"/>
        <v>0</v>
      </c>
    </row>
    <row r="60" spans="1:18" x14ac:dyDescent="0.25">
      <c r="B60" t="s">
        <v>19</v>
      </c>
      <c r="E60" s="6">
        <f t="shared" si="3"/>
        <v>0</v>
      </c>
      <c r="F60" s="6">
        <f t="shared" si="3"/>
        <v>0</v>
      </c>
      <c r="G60" s="6">
        <f t="shared" si="3"/>
        <v>1300000</v>
      </c>
      <c r="H60" s="6">
        <f t="shared" si="3"/>
        <v>0</v>
      </c>
      <c r="I60" s="6">
        <f t="shared" si="3"/>
        <v>0</v>
      </c>
      <c r="J60" s="6">
        <f t="shared" si="3"/>
        <v>0</v>
      </c>
      <c r="K60" s="6">
        <f t="shared" si="3"/>
        <v>1300000</v>
      </c>
      <c r="L60" s="6">
        <f t="shared" si="3"/>
        <v>0</v>
      </c>
      <c r="M60" s="6">
        <f t="shared" si="3"/>
        <v>0</v>
      </c>
      <c r="N60" s="6">
        <f t="shared" si="3"/>
        <v>0</v>
      </c>
      <c r="O60" s="6">
        <f t="shared" si="3"/>
        <v>0</v>
      </c>
    </row>
    <row r="61" spans="1:18" x14ac:dyDescent="0.25">
      <c r="B61" t="s">
        <v>243</v>
      </c>
      <c r="E61" s="6">
        <f t="shared" si="3"/>
        <v>0</v>
      </c>
      <c r="F61" s="6">
        <f t="shared" si="3"/>
        <v>0</v>
      </c>
      <c r="G61" s="6">
        <f t="shared" si="3"/>
        <v>0</v>
      </c>
      <c r="H61" s="6">
        <f t="shared" si="3"/>
        <v>0</v>
      </c>
      <c r="I61" s="6">
        <f t="shared" si="3"/>
        <v>0</v>
      </c>
      <c r="J61" s="6">
        <f t="shared" si="3"/>
        <v>0</v>
      </c>
      <c r="K61" s="6">
        <f t="shared" si="3"/>
        <v>0</v>
      </c>
      <c r="L61" s="6">
        <f t="shared" si="3"/>
        <v>0</v>
      </c>
      <c r="M61" s="6">
        <f t="shared" si="3"/>
        <v>0</v>
      </c>
      <c r="N61" s="6">
        <f t="shared" si="3"/>
        <v>0</v>
      </c>
      <c r="O61" s="6">
        <f t="shared" si="3"/>
        <v>0</v>
      </c>
    </row>
    <row r="62" spans="1:18" x14ac:dyDescent="0.25">
      <c r="B62" t="s">
        <v>13</v>
      </c>
      <c r="E62" s="6">
        <f t="shared" si="3"/>
        <v>0</v>
      </c>
      <c r="F62" s="6">
        <f t="shared" si="3"/>
        <v>0</v>
      </c>
      <c r="G62" s="6">
        <f t="shared" si="3"/>
        <v>0</v>
      </c>
      <c r="H62" s="6">
        <f t="shared" si="3"/>
        <v>0</v>
      </c>
      <c r="I62" s="6">
        <f t="shared" si="3"/>
        <v>0</v>
      </c>
      <c r="J62" s="6">
        <f t="shared" si="3"/>
        <v>0</v>
      </c>
      <c r="K62" s="6">
        <f t="shared" si="3"/>
        <v>0</v>
      </c>
      <c r="L62" s="6">
        <f t="shared" si="3"/>
        <v>0</v>
      </c>
      <c r="M62" s="6">
        <f t="shared" si="3"/>
        <v>0</v>
      </c>
      <c r="N62" s="6">
        <f t="shared" si="3"/>
        <v>0</v>
      </c>
      <c r="O62" s="6">
        <f t="shared" si="3"/>
        <v>0</v>
      </c>
    </row>
    <row r="63" spans="1:18" x14ac:dyDescent="0.25">
      <c r="B63" t="s">
        <v>50</v>
      </c>
      <c r="E63" s="6">
        <f t="shared" si="3"/>
        <v>0</v>
      </c>
      <c r="F63" s="6">
        <f t="shared" si="3"/>
        <v>0</v>
      </c>
      <c r="G63" s="6">
        <f t="shared" si="3"/>
        <v>0</v>
      </c>
      <c r="H63" s="6">
        <f t="shared" si="3"/>
        <v>0</v>
      </c>
      <c r="I63" s="6">
        <f t="shared" si="3"/>
        <v>0</v>
      </c>
      <c r="J63" s="6">
        <f t="shared" si="3"/>
        <v>0</v>
      </c>
      <c r="K63" s="6">
        <f t="shared" si="3"/>
        <v>0</v>
      </c>
      <c r="L63" s="6">
        <f t="shared" si="3"/>
        <v>0</v>
      </c>
      <c r="M63" s="6">
        <f t="shared" si="3"/>
        <v>0</v>
      </c>
      <c r="N63" s="6">
        <f t="shared" si="3"/>
        <v>0</v>
      </c>
      <c r="O63" s="6">
        <f t="shared" si="3"/>
        <v>0</v>
      </c>
    </row>
    <row r="64" spans="1:18" ht="15.75" thickBot="1" x14ac:dyDescent="0.3">
      <c r="E64" s="7">
        <f t="shared" ref="E64:O64" si="4">SUM(E57:E63)</f>
        <v>46950</v>
      </c>
      <c r="F64" s="7">
        <f t="shared" si="4"/>
        <v>726449</v>
      </c>
      <c r="G64" s="7">
        <f t="shared" si="4"/>
        <v>2016742</v>
      </c>
      <c r="H64" s="7">
        <f t="shared" si="4"/>
        <v>1119643</v>
      </c>
      <c r="I64" s="7">
        <f t="shared" si="4"/>
        <v>925191</v>
      </c>
      <c r="J64" s="7">
        <f t="shared" si="4"/>
        <v>829738</v>
      </c>
      <c r="K64" s="7">
        <f t="shared" si="4"/>
        <v>2102186</v>
      </c>
      <c r="L64" s="7">
        <f t="shared" si="4"/>
        <v>651018</v>
      </c>
      <c r="M64" s="7">
        <f t="shared" si="4"/>
        <v>692799</v>
      </c>
      <c r="N64" s="7">
        <f t="shared" si="4"/>
        <v>987187</v>
      </c>
      <c r="O64" s="7">
        <f t="shared" si="4"/>
        <v>627543</v>
      </c>
    </row>
    <row r="65" spans="2:15" ht="15.75" thickTop="1" x14ac:dyDescent="0.25">
      <c r="E65" s="8">
        <f>E64-E53</f>
        <v>0</v>
      </c>
      <c r="F65" s="8">
        <f t="shared" ref="F65:O65" si="5">F64-F53</f>
        <v>0</v>
      </c>
      <c r="G65" s="8">
        <f t="shared" si="5"/>
        <v>0</v>
      </c>
      <c r="H65" s="8">
        <f t="shared" si="5"/>
        <v>0</v>
      </c>
      <c r="I65" s="8">
        <f t="shared" si="5"/>
        <v>0</v>
      </c>
      <c r="J65" s="8">
        <f t="shared" si="5"/>
        <v>0</v>
      </c>
      <c r="K65" s="8">
        <f t="shared" si="5"/>
        <v>0</v>
      </c>
      <c r="L65" s="8">
        <f t="shared" si="5"/>
        <v>0</v>
      </c>
      <c r="M65" s="8">
        <f t="shared" si="5"/>
        <v>0</v>
      </c>
      <c r="N65" s="8">
        <f t="shared" si="5"/>
        <v>0</v>
      </c>
      <c r="O65" s="8">
        <f t="shared" si="5"/>
        <v>0</v>
      </c>
    </row>
    <row r="68" spans="2:15" x14ac:dyDescent="0.25">
      <c r="B68" s="72" t="s">
        <v>314</v>
      </c>
      <c r="E68" s="6">
        <f>SUMIF($A$9:$A$51,$B68,E$9:E$51)</f>
        <v>0</v>
      </c>
      <c r="F68" s="6">
        <f t="shared" ref="F68:O68" si="6">SUMIF($A$9:$A$51,$B68,F$9:F$51)</f>
        <v>0</v>
      </c>
      <c r="G68" s="6">
        <f t="shared" si="6"/>
        <v>0</v>
      </c>
      <c r="H68" s="6">
        <f t="shared" si="6"/>
        <v>0</v>
      </c>
      <c r="I68" s="6">
        <f t="shared" si="6"/>
        <v>0</v>
      </c>
      <c r="J68" s="6">
        <f t="shared" si="6"/>
        <v>0</v>
      </c>
      <c r="K68" s="6">
        <f t="shared" si="6"/>
        <v>0</v>
      </c>
      <c r="L68" s="6">
        <f t="shared" si="6"/>
        <v>0</v>
      </c>
      <c r="M68" s="6">
        <f t="shared" si="6"/>
        <v>0</v>
      </c>
      <c r="N68" s="6">
        <f t="shared" si="6"/>
        <v>0</v>
      </c>
      <c r="O68" s="6">
        <f t="shared" si="6"/>
        <v>0</v>
      </c>
    </row>
    <row r="69" spans="2:15" x14ac:dyDescent="0.25">
      <c r="B69" s="72" t="s">
        <v>316</v>
      </c>
      <c r="E69" s="6">
        <f t="shared" ref="E69:O74" si="7">SUMIF($A$9:$A$51,$B69,E$9:E$51)</f>
        <v>0</v>
      </c>
      <c r="F69" s="6">
        <f t="shared" si="7"/>
        <v>0</v>
      </c>
      <c r="G69" s="6">
        <f t="shared" si="7"/>
        <v>0</v>
      </c>
      <c r="H69" s="6">
        <f t="shared" si="7"/>
        <v>0</v>
      </c>
      <c r="I69" s="6">
        <f t="shared" si="7"/>
        <v>0</v>
      </c>
      <c r="J69" s="6">
        <f t="shared" si="7"/>
        <v>0</v>
      </c>
      <c r="K69" s="6">
        <f t="shared" si="7"/>
        <v>0</v>
      </c>
      <c r="L69" s="6">
        <f t="shared" si="7"/>
        <v>0</v>
      </c>
      <c r="M69" s="6">
        <f t="shared" si="7"/>
        <v>0</v>
      </c>
      <c r="N69" s="6">
        <f t="shared" si="7"/>
        <v>0</v>
      </c>
      <c r="O69" s="6">
        <f t="shared" si="7"/>
        <v>0</v>
      </c>
    </row>
    <row r="70" spans="2:15" x14ac:dyDescent="0.25">
      <c r="B70" s="72" t="s">
        <v>315</v>
      </c>
      <c r="E70" s="6">
        <f t="shared" si="7"/>
        <v>0</v>
      </c>
      <c r="F70" s="6">
        <f t="shared" si="7"/>
        <v>266000</v>
      </c>
      <c r="G70" s="6">
        <f t="shared" si="7"/>
        <v>1571654</v>
      </c>
      <c r="H70" s="6">
        <f t="shared" si="7"/>
        <v>304654</v>
      </c>
      <c r="I70" s="6">
        <f t="shared" si="7"/>
        <v>288000</v>
      </c>
      <c r="J70" s="6">
        <f t="shared" si="7"/>
        <v>321000</v>
      </c>
      <c r="K70" s="6">
        <f t="shared" si="7"/>
        <v>1649036</v>
      </c>
      <c r="L70" s="6">
        <f t="shared" si="7"/>
        <v>382036</v>
      </c>
      <c r="M70" s="6">
        <f t="shared" si="7"/>
        <v>263000</v>
      </c>
      <c r="N70" s="6">
        <f t="shared" si="7"/>
        <v>546000</v>
      </c>
      <c r="O70" s="6">
        <f t="shared" si="7"/>
        <v>213000</v>
      </c>
    </row>
    <row r="71" spans="2:15" x14ac:dyDescent="0.25">
      <c r="B71" s="72" t="s">
        <v>365</v>
      </c>
      <c r="E71" s="6">
        <f t="shared" si="7"/>
        <v>0</v>
      </c>
      <c r="F71" s="6">
        <f t="shared" si="7"/>
        <v>334949</v>
      </c>
      <c r="G71" s="6">
        <f t="shared" si="7"/>
        <v>353000</v>
      </c>
      <c r="H71" s="6">
        <f t="shared" si="7"/>
        <v>543834</v>
      </c>
      <c r="I71" s="6">
        <f t="shared" si="7"/>
        <v>587973</v>
      </c>
      <c r="J71" s="6">
        <f t="shared" si="7"/>
        <v>415134</v>
      </c>
      <c r="K71" s="6">
        <f t="shared" si="7"/>
        <v>304849</v>
      </c>
      <c r="L71" s="6">
        <f t="shared" si="7"/>
        <v>218000</v>
      </c>
      <c r="M71" s="6">
        <f t="shared" si="7"/>
        <v>256715</v>
      </c>
      <c r="N71" s="6">
        <f t="shared" si="7"/>
        <v>257683</v>
      </c>
      <c r="O71" s="6">
        <f t="shared" si="7"/>
        <v>317847</v>
      </c>
    </row>
    <row r="72" spans="2:15" x14ac:dyDescent="0.25">
      <c r="B72" s="72" t="s">
        <v>366</v>
      </c>
      <c r="E72" s="6">
        <f t="shared" si="7"/>
        <v>8000</v>
      </c>
      <c r="F72" s="6">
        <f t="shared" si="7"/>
        <v>27500</v>
      </c>
      <c r="G72" s="6">
        <f t="shared" si="7"/>
        <v>47500</v>
      </c>
      <c r="H72" s="6">
        <f t="shared" si="7"/>
        <v>172500</v>
      </c>
      <c r="I72" s="6">
        <f t="shared" si="7"/>
        <v>7500</v>
      </c>
      <c r="J72" s="6">
        <f t="shared" si="7"/>
        <v>50000</v>
      </c>
      <c r="K72" s="6">
        <f t="shared" si="7"/>
        <v>105000</v>
      </c>
      <c r="L72" s="6">
        <f t="shared" si="7"/>
        <v>5000</v>
      </c>
      <c r="M72" s="6">
        <f t="shared" si="7"/>
        <v>152000</v>
      </c>
      <c r="N72" s="6">
        <f t="shared" si="7"/>
        <v>135000</v>
      </c>
      <c r="O72" s="6">
        <f t="shared" si="7"/>
        <v>0</v>
      </c>
    </row>
    <row r="73" spans="2:15" x14ac:dyDescent="0.25">
      <c r="B73" s="72" t="s">
        <v>367</v>
      </c>
      <c r="E73" s="6">
        <f t="shared" si="7"/>
        <v>0</v>
      </c>
      <c r="F73" s="6">
        <f t="shared" si="7"/>
        <v>0</v>
      </c>
      <c r="G73" s="6">
        <f t="shared" si="7"/>
        <v>0</v>
      </c>
      <c r="H73" s="6">
        <f t="shared" si="7"/>
        <v>0</v>
      </c>
      <c r="I73" s="6">
        <f t="shared" si="7"/>
        <v>0</v>
      </c>
      <c r="J73" s="6">
        <f t="shared" si="7"/>
        <v>0</v>
      </c>
      <c r="K73" s="6">
        <f t="shared" si="7"/>
        <v>0</v>
      </c>
      <c r="L73" s="6">
        <f t="shared" si="7"/>
        <v>0</v>
      </c>
      <c r="M73" s="6">
        <f t="shared" si="7"/>
        <v>0</v>
      </c>
      <c r="N73" s="6">
        <f t="shared" si="7"/>
        <v>0</v>
      </c>
      <c r="O73" s="6">
        <f t="shared" si="7"/>
        <v>0</v>
      </c>
    </row>
    <row r="74" spans="2:15" x14ac:dyDescent="0.25">
      <c r="B74" s="72" t="s">
        <v>1</v>
      </c>
      <c r="E74" s="6">
        <f t="shared" si="7"/>
        <v>38950</v>
      </c>
      <c r="F74" s="6">
        <f t="shared" si="7"/>
        <v>98000</v>
      </c>
      <c r="G74" s="6">
        <f t="shared" si="7"/>
        <v>44588</v>
      </c>
      <c r="H74" s="6">
        <f t="shared" si="7"/>
        <v>98655</v>
      </c>
      <c r="I74" s="6">
        <f t="shared" si="7"/>
        <v>41718</v>
      </c>
      <c r="J74" s="6">
        <f t="shared" si="7"/>
        <v>43604</v>
      </c>
      <c r="K74" s="6">
        <f t="shared" si="7"/>
        <v>43301</v>
      </c>
      <c r="L74" s="6">
        <f t="shared" si="7"/>
        <v>45982</v>
      </c>
      <c r="M74" s="6">
        <f t="shared" si="7"/>
        <v>21084</v>
      </c>
      <c r="N74" s="6">
        <f t="shared" si="7"/>
        <v>48504</v>
      </c>
      <c r="O74" s="6">
        <f t="shared" si="7"/>
        <v>96696</v>
      </c>
    </row>
    <row r="75" spans="2:15" ht="15.75" thickBot="1" x14ac:dyDescent="0.3">
      <c r="E75" s="7">
        <f>SUM(E68:E74)</f>
        <v>46950</v>
      </c>
      <c r="F75" s="7">
        <f t="shared" ref="F75:O75" si="8">SUM(F68:F74)</f>
        <v>726449</v>
      </c>
      <c r="G75" s="7">
        <f t="shared" si="8"/>
        <v>2016742</v>
      </c>
      <c r="H75" s="7">
        <f t="shared" si="8"/>
        <v>1119643</v>
      </c>
      <c r="I75" s="7">
        <f t="shared" si="8"/>
        <v>925191</v>
      </c>
      <c r="J75" s="7">
        <f t="shared" si="8"/>
        <v>829738</v>
      </c>
      <c r="K75" s="7">
        <f t="shared" si="8"/>
        <v>2102186</v>
      </c>
      <c r="L75" s="7">
        <f t="shared" si="8"/>
        <v>651018</v>
      </c>
      <c r="M75" s="7">
        <f t="shared" si="8"/>
        <v>692799</v>
      </c>
      <c r="N75" s="7">
        <f t="shared" si="8"/>
        <v>987187</v>
      </c>
      <c r="O75" s="7">
        <f t="shared" si="8"/>
        <v>627543</v>
      </c>
    </row>
    <row r="76" spans="2:15" ht="15.75" thickTop="1" x14ac:dyDescent="0.25">
      <c r="E76" s="71">
        <f>E75-E64</f>
        <v>0</v>
      </c>
      <c r="F76" s="71">
        <f t="shared" ref="F76:O76" si="9">F75-F64</f>
        <v>0</v>
      </c>
      <c r="G76" s="71">
        <f t="shared" si="9"/>
        <v>0</v>
      </c>
      <c r="H76" s="71">
        <f t="shared" si="9"/>
        <v>0</v>
      </c>
      <c r="I76" s="71">
        <f t="shared" si="9"/>
        <v>0</v>
      </c>
      <c r="J76" s="71">
        <f t="shared" si="9"/>
        <v>0</v>
      </c>
      <c r="K76" s="71">
        <f t="shared" si="9"/>
        <v>0</v>
      </c>
      <c r="L76" s="71">
        <f t="shared" si="9"/>
        <v>0</v>
      </c>
      <c r="M76" s="71">
        <f t="shared" si="9"/>
        <v>0</v>
      </c>
      <c r="N76" s="71">
        <f t="shared" si="9"/>
        <v>0</v>
      </c>
      <c r="O76" s="71">
        <f t="shared" si="9"/>
        <v>0</v>
      </c>
    </row>
    <row r="78" spans="2:15" x14ac:dyDescent="0.25">
      <c r="B78" t="s">
        <v>55</v>
      </c>
    </row>
    <row r="79" spans="2:15" x14ac:dyDescent="0.25">
      <c r="B79" t="s">
        <v>56</v>
      </c>
    </row>
    <row r="80" spans="2:15" x14ac:dyDescent="0.25">
      <c r="B80" t="s">
        <v>370</v>
      </c>
    </row>
    <row r="81" spans="2:2" x14ac:dyDescent="0.25">
      <c r="B81" t="s">
        <v>57</v>
      </c>
    </row>
    <row r="82" spans="2:2" x14ac:dyDescent="0.25">
      <c r="B82" t="s">
        <v>244</v>
      </c>
    </row>
    <row r="83" spans="2:2" x14ac:dyDescent="0.25">
      <c r="B83" t="s">
        <v>58</v>
      </c>
    </row>
    <row r="84" spans="2:2" x14ac:dyDescent="0.25">
      <c r="B84" t="s">
        <v>59</v>
      </c>
    </row>
  </sheetData>
  <customSheetViews>
    <customSheetView guid="{BB410D8C-36DE-400F-AB69-DB51CF9CA663}" fitToPage="1" state="hidden" topLeftCell="A31">
      <selection activeCell="G68" sqref="G68"/>
      <pageMargins left="0.4" right="0.4" top="0.4" bottom="0.4" header="0" footer="0"/>
      <pageSetup scale="46" orientation="portrait" r:id="rId1"/>
    </customSheetView>
  </customSheetViews>
  <pageMargins left="0.4" right="0.4" top="0.4" bottom="0.4" header="0" footer="0"/>
  <pageSetup scale="46"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showGridLines="0" workbookViewId="0">
      <selection activeCell="C22" sqref="C22"/>
    </sheetView>
  </sheetViews>
  <sheetFormatPr defaultRowHeight="15" outlineLevelCol="1" x14ac:dyDescent="0.25"/>
  <cols>
    <col min="1" max="1" width="6.7109375" style="1" bestFit="1" customWidth="1"/>
    <col min="2" max="2" width="22.42578125" bestFit="1" customWidth="1"/>
    <col min="3" max="3" width="90.85546875" bestFit="1" customWidth="1"/>
    <col min="4" max="4" width="8.140625" bestFit="1" customWidth="1"/>
    <col min="5" max="5" width="12.5703125" bestFit="1" customWidth="1"/>
    <col min="6" max="7" width="12.5703125" style="1" customWidth="1"/>
    <col min="8" max="8" width="26.7109375" bestFit="1" customWidth="1"/>
    <col min="12" max="12" width="90.85546875" hidden="1" customWidth="1" outlineLevel="1"/>
    <col min="13" max="13" width="11.5703125" hidden="1" customWidth="1" outlineLevel="1"/>
    <col min="14" max="14" width="17.28515625" hidden="1" customWidth="1" outlineLevel="1"/>
    <col min="15" max="15" width="9.140625" collapsed="1"/>
  </cols>
  <sheetData>
    <row r="1" spans="1:14" ht="15.75" thickBot="1" x14ac:dyDescent="0.3"/>
    <row r="2" spans="1:14" x14ac:dyDescent="0.25">
      <c r="A2" s="3" t="s">
        <v>502</v>
      </c>
      <c r="B2" s="3" t="s">
        <v>206</v>
      </c>
      <c r="C2" s="3" t="s">
        <v>434</v>
      </c>
      <c r="D2" s="3" t="s">
        <v>270</v>
      </c>
      <c r="E2" s="3" t="s">
        <v>3</v>
      </c>
      <c r="F2" s="153" t="s">
        <v>606</v>
      </c>
      <c r="G2" s="154" t="s">
        <v>607</v>
      </c>
      <c r="H2" s="3" t="s">
        <v>408</v>
      </c>
    </row>
    <row r="3" spans="1:14" x14ac:dyDescent="0.25">
      <c r="A3" s="1" t="s">
        <v>210</v>
      </c>
      <c r="B3" t="s">
        <v>439</v>
      </c>
      <c r="C3" t="s">
        <v>204</v>
      </c>
      <c r="D3" t="s">
        <v>16</v>
      </c>
      <c r="E3" s="139">
        <v>100179</v>
      </c>
      <c r="F3" s="161">
        <f>E3-15000</f>
        <v>85179</v>
      </c>
      <c r="G3" s="162">
        <f>E3-F3</f>
        <v>15000</v>
      </c>
      <c r="H3" t="s">
        <v>314</v>
      </c>
      <c r="L3" t="s">
        <v>512</v>
      </c>
      <c r="M3" s="6">
        <f>145000/5*3</f>
        <v>87000</v>
      </c>
      <c r="N3" t="s">
        <v>602</v>
      </c>
    </row>
    <row r="4" spans="1:14" x14ac:dyDescent="0.25">
      <c r="A4" s="1">
        <v>14</v>
      </c>
      <c r="B4" t="s">
        <v>437</v>
      </c>
      <c r="C4" t="s">
        <v>145</v>
      </c>
      <c r="D4" t="s">
        <v>16</v>
      </c>
      <c r="E4" s="139">
        <v>25000</v>
      </c>
      <c r="F4" s="161"/>
      <c r="G4" s="162">
        <f>E4</f>
        <v>25000</v>
      </c>
      <c r="H4" t="s">
        <v>316</v>
      </c>
      <c r="L4" t="s">
        <v>287</v>
      </c>
      <c r="M4" s="6">
        <v>195600</v>
      </c>
    </row>
    <row r="5" spans="1:14" x14ac:dyDescent="0.25">
      <c r="A5" s="1">
        <v>31</v>
      </c>
      <c r="B5" t="s">
        <v>248</v>
      </c>
      <c r="C5" t="s">
        <v>155</v>
      </c>
      <c r="D5" t="s">
        <v>16</v>
      </c>
      <c r="E5" s="139">
        <v>7500</v>
      </c>
      <c r="F5" s="161"/>
      <c r="G5" s="162">
        <f>E5</f>
        <v>7500</v>
      </c>
      <c r="H5" t="s">
        <v>315</v>
      </c>
      <c r="L5" t="s">
        <v>165</v>
      </c>
      <c r="M5" s="6">
        <v>3500</v>
      </c>
    </row>
    <row r="6" spans="1:14" x14ac:dyDescent="0.25">
      <c r="A6" s="1">
        <v>32</v>
      </c>
      <c r="B6" t="s">
        <v>249</v>
      </c>
      <c r="C6" t="s">
        <v>512</v>
      </c>
      <c r="D6" t="s">
        <v>16</v>
      </c>
      <c r="E6" s="139">
        <v>145000</v>
      </c>
      <c r="F6" s="161">
        <f>E6/5*2</f>
        <v>58000</v>
      </c>
      <c r="G6" s="162">
        <f>E6-F6</f>
        <v>87000</v>
      </c>
      <c r="H6" t="s">
        <v>315</v>
      </c>
      <c r="L6" t="s">
        <v>193</v>
      </c>
      <c r="M6" s="6">
        <v>10000</v>
      </c>
    </row>
    <row r="7" spans="1:14" x14ac:dyDescent="0.25">
      <c r="A7" s="1">
        <v>32</v>
      </c>
      <c r="B7" t="s">
        <v>249</v>
      </c>
      <c r="C7" t="s">
        <v>462</v>
      </c>
      <c r="D7" t="s">
        <v>16</v>
      </c>
      <c r="E7" s="139">
        <v>60000</v>
      </c>
      <c r="F7" s="161">
        <f>E7/6*2+10000</f>
        <v>30000</v>
      </c>
      <c r="G7" s="162">
        <f>E7-F7</f>
        <v>30000</v>
      </c>
      <c r="H7" t="s">
        <v>315</v>
      </c>
      <c r="L7" t="s">
        <v>183</v>
      </c>
      <c r="M7" s="6">
        <v>8300</v>
      </c>
      <c r="N7" t="s">
        <v>601</v>
      </c>
    </row>
    <row r="8" spans="1:14" x14ac:dyDescent="0.25">
      <c r="A8" s="1">
        <v>32</v>
      </c>
      <c r="B8" t="s">
        <v>249</v>
      </c>
      <c r="C8" t="s">
        <v>513</v>
      </c>
      <c r="D8" t="s">
        <v>16</v>
      </c>
      <c r="E8" s="139">
        <v>33000</v>
      </c>
      <c r="F8" s="161">
        <f>E8*0</f>
        <v>0</v>
      </c>
      <c r="G8" s="162">
        <f>E8</f>
        <v>33000</v>
      </c>
      <c r="H8" t="s">
        <v>315</v>
      </c>
      <c r="L8" t="s">
        <v>168</v>
      </c>
      <c r="M8" s="6">
        <v>8000</v>
      </c>
    </row>
    <row r="9" spans="1:14" x14ac:dyDescent="0.25">
      <c r="A9" s="1">
        <v>32</v>
      </c>
      <c r="B9" t="s">
        <v>249</v>
      </c>
      <c r="C9" t="s">
        <v>514</v>
      </c>
      <c r="D9" t="s">
        <v>16</v>
      </c>
      <c r="E9" s="139">
        <v>28000</v>
      </c>
      <c r="F9" s="161"/>
      <c r="G9" s="162">
        <f>E9</f>
        <v>28000</v>
      </c>
      <c r="H9" t="s">
        <v>315</v>
      </c>
      <c r="L9" t="s">
        <v>481</v>
      </c>
      <c r="M9" s="6">
        <v>7000</v>
      </c>
      <c r="N9" t="s">
        <v>601</v>
      </c>
    </row>
    <row r="10" spans="1:14" x14ac:dyDescent="0.25">
      <c r="A10" s="1">
        <v>32</v>
      </c>
      <c r="B10" t="s">
        <v>249</v>
      </c>
      <c r="C10" t="s">
        <v>173</v>
      </c>
      <c r="D10" t="s">
        <v>16</v>
      </c>
      <c r="E10" s="139">
        <v>138000</v>
      </c>
      <c r="F10" s="161">
        <f>E10</f>
        <v>138000</v>
      </c>
      <c r="G10" s="162"/>
      <c r="H10" t="s">
        <v>315</v>
      </c>
      <c r="L10" t="s">
        <v>555</v>
      </c>
      <c r="M10" s="6">
        <v>10000</v>
      </c>
    </row>
    <row r="11" spans="1:14" x14ac:dyDescent="0.25">
      <c r="A11" s="1">
        <v>32</v>
      </c>
      <c r="B11" t="s">
        <v>249</v>
      </c>
      <c r="C11" t="s">
        <v>175</v>
      </c>
      <c r="D11" t="s">
        <v>16</v>
      </c>
      <c r="E11" s="139">
        <v>10000</v>
      </c>
      <c r="F11" s="161">
        <f>E11</f>
        <v>10000</v>
      </c>
      <c r="G11" s="162"/>
      <c r="H11" t="s">
        <v>315</v>
      </c>
      <c r="L11" t="s">
        <v>307</v>
      </c>
      <c r="M11" s="6">
        <v>6419</v>
      </c>
    </row>
    <row r="12" spans="1:14" x14ac:dyDescent="0.25">
      <c r="A12" s="1">
        <v>32</v>
      </c>
      <c r="B12" t="s">
        <v>249</v>
      </c>
      <c r="C12" t="s">
        <v>168</v>
      </c>
      <c r="D12" t="s">
        <v>16</v>
      </c>
      <c r="E12" s="139">
        <v>8000</v>
      </c>
      <c r="F12" s="161"/>
      <c r="G12" s="162">
        <f>E12</f>
        <v>8000</v>
      </c>
      <c r="H12" t="s">
        <v>315</v>
      </c>
      <c r="L12" t="s">
        <v>360</v>
      </c>
      <c r="M12" s="6">
        <v>5000</v>
      </c>
    </row>
    <row r="13" spans="1:14" x14ac:dyDescent="0.25">
      <c r="A13" s="1">
        <v>32</v>
      </c>
      <c r="B13" t="s">
        <v>249</v>
      </c>
      <c r="C13" t="s">
        <v>165</v>
      </c>
      <c r="D13" t="s">
        <v>16</v>
      </c>
      <c r="E13" s="139">
        <v>3500</v>
      </c>
      <c r="F13" s="161">
        <f>E13</f>
        <v>3500</v>
      </c>
      <c r="G13" s="162"/>
      <c r="H13" t="s">
        <v>315</v>
      </c>
      <c r="L13" t="s">
        <v>167</v>
      </c>
      <c r="M13" s="6">
        <v>900</v>
      </c>
    </row>
    <row r="14" spans="1:14" x14ac:dyDescent="0.25">
      <c r="A14" s="1">
        <v>32</v>
      </c>
      <c r="B14" t="s">
        <v>249</v>
      </c>
      <c r="C14" t="s">
        <v>167</v>
      </c>
      <c r="D14" t="s">
        <v>16</v>
      </c>
      <c r="E14" s="139">
        <v>900</v>
      </c>
      <c r="F14" s="161">
        <f>E14</f>
        <v>900</v>
      </c>
      <c r="G14" s="162"/>
      <c r="H14" t="s">
        <v>315</v>
      </c>
      <c r="L14" t="s">
        <v>169</v>
      </c>
      <c r="M14" s="6">
        <v>500</v>
      </c>
    </row>
    <row r="15" spans="1:14" x14ac:dyDescent="0.25">
      <c r="A15" s="1">
        <v>32</v>
      </c>
      <c r="B15" t="s">
        <v>249</v>
      </c>
      <c r="C15" t="s">
        <v>169</v>
      </c>
      <c r="D15" t="s">
        <v>16</v>
      </c>
      <c r="E15" s="139">
        <v>500</v>
      </c>
      <c r="F15" s="161">
        <f>E15</f>
        <v>500</v>
      </c>
      <c r="G15" s="162"/>
      <c r="H15" t="s">
        <v>315</v>
      </c>
      <c r="L15" t="s">
        <v>604</v>
      </c>
      <c r="M15" s="6">
        <v>0</v>
      </c>
    </row>
    <row r="16" spans="1:14" x14ac:dyDescent="0.25">
      <c r="A16" s="1">
        <v>35</v>
      </c>
      <c r="B16" t="s">
        <v>436</v>
      </c>
      <c r="C16" t="s">
        <v>318</v>
      </c>
      <c r="D16" t="s">
        <v>16</v>
      </c>
      <c r="E16" s="139">
        <v>100000</v>
      </c>
      <c r="F16" s="161"/>
      <c r="G16" s="162">
        <f>E16</f>
        <v>100000</v>
      </c>
      <c r="H16" t="s">
        <v>365</v>
      </c>
      <c r="L16" t="s">
        <v>513</v>
      </c>
      <c r="M16" s="6">
        <v>33000</v>
      </c>
    </row>
    <row r="17" spans="1:14" x14ac:dyDescent="0.25">
      <c r="A17" s="1">
        <v>35</v>
      </c>
      <c r="B17" t="s">
        <v>436</v>
      </c>
      <c r="C17" t="s">
        <v>317</v>
      </c>
      <c r="D17" t="s">
        <v>16</v>
      </c>
      <c r="E17" s="139">
        <v>18000</v>
      </c>
      <c r="F17" s="161">
        <v>0</v>
      </c>
      <c r="G17" s="162">
        <f>E17</f>
        <v>18000</v>
      </c>
      <c r="H17" t="s">
        <v>365</v>
      </c>
      <c r="L17" t="s">
        <v>22</v>
      </c>
      <c r="M17" s="6">
        <v>10000</v>
      </c>
    </row>
    <row r="18" spans="1:14" x14ac:dyDescent="0.25">
      <c r="A18" s="1">
        <v>36</v>
      </c>
      <c r="B18" t="s">
        <v>250</v>
      </c>
      <c r="C18" t="s">
        <v>287</v>
      </c>
      <c r="D18" t="s">
        <v>16</v>
      </c>
      <c r="E18" s="139">
        <v>195600</v>
      </c>
      <c r="F18" s="161">
        <v>0</v>
      </c>
      <c r="G18" s="162">
        <f>E18</f>
        <v>195600</v>
      </c>
      <c r="H18" t="s">
        <v>365</v>
      </c>
      <c r="L18" t="s">
        <v>177</v>
      </c>
      <c r="M18" s="6">
        <v>40000</v>
      </c>
    </row>
    <row r="19" spans="1:14" x14ac:dyDescent="0.25">
      <c r="A19" s="1">
        <v>36</v>
      </c>
      <c r="B19" t="s">
        <v>250</v>
      </c>
      <c r="C19" t="s">
        <v>322</v>
      </c>
      <c r="D19" t="s">
        <v>16</v>
      </c>
      <c r="E19" s="139">
        <v>30000</v>
      </c>
      <c r="F19" s="161">
        <f>E19</f>
        <v>30000</v>
      </c>
      <c r="G19" s="162"/>
      <c r="H19" t="s">
        <v>365</v>
      </c>
      <c r="L19" t="s">
        <v>317</v>
      </c>
      <c r="M19" s="6">
        <v>18000</v>
      </c>
      <c r="N19" t="s">
        <v>599</v>
      </c>
    </row>
    <row r="20" spans="1:14" x14ac:dyDescent="0.25">
      <c r="A20" s="1">
        <v>36</v>
      </c>
      <c r="B20" t="s">
        <v>250</v>
      </c>
      <c r="C20" t="s">
        <v>178</v>
      </c>
      <c r="D20" t="s">
        <v>16</v>
      </c>
      <c r="E20" s="139">
        <v>50000</v>
      </c>
      <c r="F20" s="161">
        <f>E20</f>
        <v>50000</v>
      </c>
      <c r="G20" s="162"/>
      <c r="H20" t="s">
        <v>365</v>
      </c>
      <c r="L20" t="s">
        <v>443</v>
      </c>
      <c r="M20" s="6">
        <v>25000</v>
      </c>
    </row>
    <row r="21" spans="1:14" x14ac:dyDescent="0.25">
      <c r="A21" s="1">
        <v>36</v>
      </c>
      <c r="B21" t="s">
        <v>250</v>
      </c>
      <c r="C21" t="s">
        <v>177</v>
      </c>
      <c r="D21" t="s">
        <v>16</v>
      </c>
      <c r="E21" s="139">
        <v>40000</v>
      </c>
      <c r="F21" s="161">
        <f>E21</f>
        <v>40000</v>
      </c>
      <c r="G21" s="162"/>
      <c r="H21" t="s">
        <v>365</v>
      </c>
      <c r="L21" t="s">
        <v>553</v>
      </c>
      <c r="M21" s="6">
        <v>25000</v>
      </c>
      <c r="N21" t="s">
        <v>599</v>
      </c>
    </row>
    <row r="22" spans="1:14" x14ac:dyDescent="0.25">
      <c r="A22" s="1">
        <v>37</v>
      </c>
      <c r="B22" t="s">
        <v>461</v>
      </c>
      <c r="C22" t="s">
        <v>463</v>
      </c>
      <c r="D22" t="s">
        <v>16</v>
      </c>
      <c r="E22" s="139">
        <v>200000</v>
      </c>
      <c r="F22" s="161">
        <f>E22</f>
        <v>200000</v>
      </c>
      <c r="G22" s="162"/>
      <c r="H22" t="s">
        <v>365</v>
      </c>
      <c r="L22" t="s">
        <v>486</v>
      </c>
      <c r="M22" s="6">
        <v>40000</v>
      </c>
    </row>
    <row r="23" spans="1:14" x14ac:dyDescent="0.25">
      <c r="A23" s="1">
        <v>37</v>
      </c>
      <c r="B23" t="s">
        <v>461</v>
      </c>
      <c r="C23" t="s">
        <v>464</v>
      </c>
      <c r="D23" t="s">
        <v>16</v>
      </c>
      <c r="E23" s="139">
        <v>81949</v>
      </c>
      <c r="F23" s="161"/>
      <c r="G23" s="162">
        <f>E23</f>
        <v>81949</v>
      </c>
      <c r="H23" t="s">
        <v>365</v>
      </c>
      <c r="L23" t="s">
        <v>322</v>
      </c>
      <c r="M23" s="6">
        <v>30000</v>
      </c>
    </row>
    <row r="24" spans="1:14" x14ac:dyDescent="0.25">
      <c r="A24" s="1">
        <v>38</v>
      </c>
      <c r="B24" t="s">
        <v>47</v>
      </c>
      <c r="C24" t="s">
        <v>546</v>
      </c>
      <c r="D24" t="s">
        <v>16</v>
      </c>
      <c r="E24" s="139">
        <v>375000</v>
      </c>
      <c r="F24" s="161"/>
      <c r="G24" s="162">
        <f>E24</f>
        <v>375000</v>
      </c>
      <c r="H24" t="s">
        <v>365</v>
      </c>
      <c r="L24" t="s">
        <v>516</v>
      </c>
      <c r="M24" s="6">
        <v>45000</v>
      </c>
      <c r="N24" t="s">
        <v>599</v>
      </c>
    </row>
    <row r="25" spans="1:14" x14ac:dyDescent="0.25">
      <c r="A25" s="1">
        <v>38</v>
      </c>
      <c r="B25" t="s">
        <v>47</v>
      </c>
      <c r="C25" t="s">
        <v>452</v>
      </c>
      <c r="D25" t="s">
        <v>16</v>
      </c>
      <c r="E25" s="139">
        <v>150000</v>
      </c>
      <c r="F25" s="161"/>
      <c r="G25" s="162">
        <f>E25</f>
        <v>150000</v>
      </c>
      <c r="H25" t="s">
        <v>365</v>
      </c>
      <c r="L25" t="s">
        <v>467</v>
      </c>
      <c r="M25" s="6">
        <v>35000</v>
      </c>
      <c r="N25" t="s">
        <v>599</v>
      </c>
    </row>
    <row r="26" spans="1:14" x14ac:dyDescent="0.25">
      <c r="A26" s="1">
        <v>38</v>
      </c>
      <c r="B26" t="s">
        <v>47</v>
      </c>
      <c r="C26" t="s">
        <v>451</v>
      </c>
      <c r="D26" t="s">
        <v>16</v>
      </c>
      <c r="E26" s="139">
        <v>50000</v>
      </c>
      <c r="F26" s="161"/>
      <c r="G26" s="162">
        <f t="shared" ref="G26" si="0">E26</f>
        <v>50000</v>
      </c>
      <c r="H26" t="s">
        <v>365</v>
      </c>
      <c r="L26" t="s">
        <v>354</v>
      </c>
      <c r="M26" s="6">
        <v>25000</v>
      </c>
    </row>
    <row r="27" spans="1:14" x14ac:dyDescent="0.25">
      <c r="A27" s="1">
        <v>38</v>
      </c>
      <c r="B27" t="s">
        <v>47</v>
      </c>
      <c r="C27" t="s">
        <v>224</v>
      </c>
      <c r="D27" t="s">
        <v>16</v>
      </c>
      <c r="E27" s="139">
        <v>45000</v>
      </c>
      <c r="F27" s="161"/>
      <c r="G27" s="162">
        <f>E27</f>
        <v>45000</v>
      </c>
      <c r="H27" t="s">
        <v>365</v>
      </c>
      <c r="L27" t="s">
        <v>225</v>
      </c>
      <c r="M27" s="6">
        <v>25000</v>
      </c>
    </row>
    <row r="28" spans="1:14" x14ac:dyDescent="0.25">
      <c r="A28" s="1">
        <v>38</v>
      </c>
      <c r="B28" t="s">
        <v>47</v>
      </c>
      <c r="C28" t="s">
        <v>486</v>
      </c>
      <c r="D28" t="s">
        <v>16</v>
      </c>
      <c r="E28" s="139">
        <v>40000</v>
      </c>
      <c r="F28" s="161">
        <f t="shared" ref="F28" si="1">E28</f>
        <v>40000</v>
      </c>
      <c r="G28" s="162"/>
      <c r="H28" t="s">
        <v>365</v>
      </c>
      <c r="L28" t="s">
        <v>485</v>
      </c>
      <c r="M28" s="6">
        <v>25000</v>
      </c>
    </row>
    <row r="29" spans="1:14" x14ac:dyDescent="0.25">
      <c r="A29" s="1">
        <v>38</v>
      </c>
      <c r="B29" t="s">
        <v>47</v>
      </c>
      <c r="C29" t="s">
        <v>467</v>
      </c>
      <c r="D29" t="s">
        <v>16</v>
      </c>
      <c r="E29" s="139">
        <v>35000</v>
      </c>
      <c r="F29" s="161">
        <f>E29*0.5</f>
        <v>17500</v>
      </c>
      <c r="G29" s="162">
        <f>E29-F29</f>
        <v>17500</v>
      </c>
      <c r="H29" t="s">
        <v>365</v>
      </c>
      <c r="L29" t="s">
        <v>355</v>
      </c>
      <c r="M29" s="6">
        <v>20000</v>
      </c>
    </row>
    <row r="30" spans="1:14" x14ac:dyDescent="0.25">
      <c r="A30" s="1">
        <v>38</v>
      </c>
      <c r="B30" t="s">
        <v>47</v>
      </c>
      <c r="C30" t="s">
        <v>447</v>
      </c>
      <c r="D30" t="s">
        <v>16</v>
      </c>
      <c r="E30" s="139">
        <v>35000</v>
      </c>
      <c r="F30" s="161"/>
      <c r="G30" s="162">
        <f>E30</f>
        <v>35000</v>
      </c>
      <c r="H30" t="s">
        <v>365</v>
      </c>
      <c r="L30" t="s">
        <v>554</v>
      </c>
      <c r="M30" s="6">
        <v>20000</v>
      </c>
    </row>
    <row r="31" spans="1:14" x14ac:dyDescent="0.25">
      <c r="A31" s="1">
        <v>38</v>
      </c>
      <c r="B31" t="s">
        <v>47</v>
      </c>
      <c r="C31" t="s">
        <v>444</v>
      </c>
      <c r="D31" t="s">
        <v>16</v>
      </c>
      <c r="E31" s="139">
        <v>30000</v>
      </c>
      <c r="F31" s="161"/>
      <c r="G31" s="162">
        <f>E31</f>
        <v>30000</v>
      </c>
      <c r="H31" t="s">
        <v>365</v>
      </c>
      <c r="L31" t="s">
        <v>482</v>
      </c>
      <c r="M31" s="6">
        <v>19662</v>
      </c>
      <c r="N31" t="s">
        <v>599</v>
      </c>
    </row>
    <row r="32" spans="1:14" x14ac:dyDescent="0.25">
      <c r="A32" s="1">
        <v>38</v>
      </c>
      <c r="B32" t="s">
        <v>47</v>
      </c>
      <c r="C32" t="s">
        <v>443</v>
      </c>
      <c r="D32" t="s">
        <v>16</v>
      </c>
      <c r="E32" s="139">
        <v>25000</v>
      </c>
      <c r="F32" s="161">
        <v>0</v>
      </c>
      <c r="G32" s="162">
        <f>E32</f>
        <v>25000</v>
      </c>
      <c r="H32" t="s">
        <v>365</v>
      </c>
      <c r="L32" t="s">
        <v>356</v>
      </c>
      <c r="M32" s="6">
        <v>15000</v>
      </c>
      <c r="N32" t="s">
        <v>601</v>
      </c>
    </row>
    <row r="33" spans="1:14" x14ac:dyDescent="0.25">
      <c r="A33" s="1">
        <v>38</v>
      </c>
      <c r="B33" t="s">
        <v>47</v>
      </c>
      <c r="C33" t="s">
        <v>225</v>
      </c>
      <c r="D33" t="s">
        <v>16</v>
      </c>
      <c r="E33" s="139">
        <v>25000</v>
      </c>
      <c r="F33" s="161">
        <f>E33</f>
        <v>25000</v>
      </c>
      <c r="G33" s="162"/>
      <c r="H33" t="s">
        <v>365</v>
      </c>
      <c r="L33" t="s">
        <v>545</v>
      </c>
      <c r="M33" s="6">
        <v>12800</v>
      </c>
    </row>
    <row r="34" spans="1:14" x14ac:dyDescent="0.25">
      <c r="A34" s="1">
        <v>38</v>
      </c>
      <c r="B34" t="s">
        <v>47</v>
      </c>
      <c r="C34" t="s">
        <v>340</v>
      </c>
      <c r="D34" t="s">
        <v>16</v>
      </c>
      <c r="E34" s="139">
        <v>10000</v>
      </c>
      <c r="F34" s="161">
        <f>E34</f>
        <v>10000</v>
      </c>
      <c r="G34" s="162"/>
      <c r="H34" t="s">
        <v>365</v>
      </c>
      <c r="L34" t="s">
        <v>340</v>
      </c>
      <c r="M34" s="6">
        <v>10000</v>
      </c>
      <c r="N34" t="s">
        <v>599</v>
      </c>
    </row>
    <row r="35" spans="1:14" x14ac:dyDescent="0.25">
      <c r="A35" s="1">
        <v>38</v>
      </c>
      <c r="B35" t="s">
        <v>47</v>
      </c>
      <c r="C35" t="s">
        <v>445</v>
      </c>
      <c r="D35" t="s">
        <v>16</v>
      </c>
      <c r="E35" s="139">
        <v>8000</v>
      </c>
      <c r="F35" s="161"/>
      <c r="G35" s="162">
        <f>E35</f>
        <v>8000</v>
      </c>
      <c r="H35" t="s">
        <v>365</v>
      </c>
      <c r="L35" t="s">
        <v>175</v>
      </c>
      <c r="M35" s="6">
        <v>10000</v>
      </c>
    </row>
    <row r="36" spans="1:14" x14ac:dyDescent="0.25">
      <c r="A36" s="1">
        <v>38</v>
      </c>
      <c r="B36" t="s">
        <v>47</v>
      </c>
      <c r="C36" t="s">
        <v>347</v>
      </c>
      <c r="D36" t="s">
        <v>16</v>
      </c>
      <c r="E36" s="139">
        <v>5000</v>
      </c>
      <c r="F36" s="161"/>
      <c r="G36" s="162">
        <f>E36</f>
        <v>5000</v>
      </c>
      <c r="H36" t="s">
        <v>365</v>
      </c>
      <c r="L36" t="s">
        <v>191</v>
      </c>
      <c r="M36" s="6">
        <v>10000</v>
      </c>
    </row>
    <row r="37" spans="1:14" x14ac:dyDescent="0.25">
      <c r="A37" s="1">
        <v>42</v>
      </c>
      <c r="B37" t="s">
        <v>505</v>
      </c>
      <c r="C37" t="s">
        <v>183</v>
      </c>
      <c r="D37" t="s">
        <v>16</v>
      </c>
      <c r="E37" s="139">
        <v>8300</v>
      </c>
      <c r="F37" s="161"/>
      <c r="G37" s="162">
        <f>E37</f>
        <v>8300</v>
      </c>
      <c r="H37" t="s">
        <v>366</v>
      </c>
      <c r="L37" t="s">
        <v>551</v>
      </c>
      <c r="M37" s="6">
        <v>50000</v>
      </c>
    </row>
    <row r="38" spans="1:14" x14ac:dyDescent="0.25">
      <c r="A38" s="1">
        <v>42</v>
      </c>
      <c r="B38" t="s">
        <v>505</v>
      </c>
      <c r="C38" t="s">
        <v>481</v>
      </c>
      <c r="D38" t="s">
        <v>16</v>
      </c>
      <c r="E38" s="139">
        <v>7000</v>
      </c>
      <c r="F38" s="161"/>
      <c r="G38" s="162">
        <f>E38</f>
        <v>7000</v>
      </c>
      <c r="H38" t="s">
        <v>366</v>
      </c>
      <c r="L38" t="s">
        <v>552</v>
      </c>
      <c r="M38" s="6">
        <v>50000</v>
      </c>
    </row>
    <row r="39" spans="1:14" x14ac:dyDescent="0.25">
      <c r="A39" s="1">
        <v>43</v>
      </c>
      <c r="B39" t="s">
        <v>438</v>
      </c>
      <c r="C39" t="s">
        <v>473</v>
      </c>
      <c r="D39" t="s">
        <v>16</v>
      </c>
      <c r="E39" s="139">
        <v>20000</v>
      </c>
      <c r="F39" s="161"/>
      <c r="G39" s="162">
        <f>E39</f>
        <v>20000</v>
      </c>
      <c r="H39" t="s">
        <v>366</v>
      </c>
      <c r="L39" t="s">
        <v>20</v>
      </c>
      <c r="M39" s="6">
        <v>105000</v>
      </c>
      <c r="N39" t="s">
        <v>599</v>
      </c>
    </row>
    <row r="40" spans="1:14" x14ac:dyDescent="0.25">
      <c r="A40" s="1">
        <v>43</v>
      </c>
      <c r="B40" t="s">
        <v>438</v>
      </c>
      <c r="C40" t="s">
        <v>482</v>
      </c>
      <c r="D40" t="s">
        <v>16</v>
      </c>
      <c r="E40" s="139">
        <v>19662</v>
      </c>
      <c r="F40" s="161">
        <f>E40</f>
        <v>19662</v>
      </c>
      <c r="G40" s="162"/>
      <c r="H40" t="s">
        <v>366</v>
      </c>
      <c r="L40" t="s">
        <v>318</v>
      </c>
      <c r="M40" s="21">
        <v>0</v>
      </c>
    </row>
    <row r="41" spans="1:14" x14ac:dyDescent="0.25">
      <c r="A41" s="1">
        <v>43</v>
      </c>
      <c r="B41" t="s">
        <v>438</v>
      </c>
      <c r="C41" t="s">
        <v>307</v>
      </c>
      <c r="D41" t="s">
        <v>16</v>
      </c>
      <c r="E41" s="139">
        <v>6419</v>
      </c>
      <c r="F41" s="161">
        <f>E41</f>
        <v>6419</v>
      </c>
      <c r="G41" s="162"/>
      <c r="H41" t="s">
        <v>366</v>
      </c>
      <c r="L41" t="s">
        <v>224</v>
      </c>
      <c r="M41" s="6">
        <v>45000</v>
      </c>
      <c r="N41" t="s">
        <v>599</v>
      </c>
    </row>
    <row r="42" spans="1:14" x14ac:dyDescent="0.25">
      <c r="A42" s="1">
        <v>45</v>
      </c>
      <c r="B42" t="s">
        <v>46</v>
      </c>
      <c r="C42" t="s">
        <v>483</v>
      </c>
      <c r="D42" t="s">
        <v>16</v>
      </c>
      <c r="E42" s="139">
        <v>892000</v>
      </c>
      <c r="F42" s="161"/>
      <c r="G42" s="162">
        <f>E42</f>
        <v>892000</v>
      </c>
      <c r="H42" t="s">
        <v>366</v>
      </c>
      <c r="L42" t="s">
        <v>605</v>
      </c>
      <c r="M42" s="6">
        <v>120000</v>
      </c>
    </row>
    <row r="43" spans="1:14" x14ac:dyDescent="0.25">
      <c r="A43" s="1">
        <v>45</v>
      </c>
      <c r="B43" t="s">
        <v>46</v>
      </c>
      <c r="C43" t="s">
        <v>20</v>
      </c>
      <c r="D43" t="s">
        <v>16</v>
      </c>
      <c r="E43" s="139">
        <v>105000</v>
      </c>
      <c r="F43" s="161">
        <f>E43</f>
        <v>105000</v>
      </c>
      <c r="G43" s="162"/>
      <c r="H43" t="s">
        <v>366</v>
      </c>
      <c r="L43" t="s">
        <v>547</v>
      </c>
      <c r="M43" s="6">
        <v>120000</v>
      </c>
    </row>
    <row r="44" spans="1:14" x14ac:dyDescent="0.25">
      <c r="A44" s="1">
        <v>45</v>
      </c>
      <c r="B44" t="s">
        <v>46</v>
      </c>
      <c r="C44" t="s">
        <v>354</v>
      </c>
      <c r="D44" t="s">
        <v>16</v>
      </c>
      <c r="E44" s="139">
        <v>25000</v>
      </c>
      <c r="F44" s="161">
        <f>E44</f>
        <v>25000</v>
      </c>
      <c r="G44" s="162"/>
      <c r="H44" t="s">
        <v>366</v>
      </c>
      <c r="L44" t="s">
        <v>561</v>
      </c>
      <c r="M44" s="6">
        <v>113580.00000000001</v>
      </c>
    </row>
    <row r="45" spans="1:14" x14ac:dyDescent="0.25">
      <c r="A45" s="1">
        <v>45</v>
      </c>
      <c r="B45" t="s">
        <v>46</v>
      </c>
      <c r="C45" t="s">
        <v>355</v>
      </c>
      <c r="D45" t="s">
        <v>16</v>
      </c>
      <c r="E45" s="139">
        <v>20000</v>
      </c>
      <c r="F45" s="161">
        <f>E45</f>
        <v>20000</v>
      </c>
      <c r="G45" s="162"/>
      <c r="H45" t="s">
        <v>366</v>
      </c>
      <c r="L45" t="s">
        <v>204</v>
      </c>
      <c r="M45" s="6">
        <v>100179</v>
      </c>
    </row>
    <row r="46" spans="1:14" x14ac:dyDescent="0.25">
      <c r="A46" s="1">
        <v>45</v>
      </c>
      <c r="B46" t="s">
        <v>46</v>
      </c>
      <c r="C46" t="s">
        <v>23</v>
      </c>
      <c r="D46" t="s">
        <v>16</v>
      </c>
      <c r="E46" s="139">
        <v>15000</v>
      </c>
      <c r="F46" s="161"/>
      <c r="G46" s="162">
        <f>E46</f>
        <v>15000</v>
      </c>
      <c r="H46" t="s">
        <v>366</v>
      </c>
      <c r="L46" t="s">
        <v>550</v>
      </c>
      <c r="M46" s="6">
        <v>97631</v>
      </c>
    </row>
    <row r="47" spans="1:14" x14ac:dyDescent="0.25">
      <c r="A47" s="1">
        <v>45</v>
      </c>
      <c r="B47" t="s">
        <v>46</v>
      </c>
      <c r="C47" t="s">
        <v>22</v>
      </c>
      <c r="D47" t="s">
        <v>16</v>
      </c>
      <c r="E47" s="139">
        <v>10000</v>
      </c>
      <c r="F47" s="161">
        <f t="shared" ref="F47" si="2">E47</f>
        <v>10000</v>
      </c>
      <c r="G47" s="162"/>
      <c r="H47" t="s">
        <v>366</v>
      </c>
      <c r="L47" t="s">
        <v>178</v>
      </c>
      <c r="M47" s="6">
        <v>50000</v>
      </c>
    </row>
    <row r="48" spans="1:14" x14ac:dyDescent="0.25">
      <c r="A48" s="1">
        <v>55</v>
      </c>
      <c r="B48" t="s">
        <v>85</v>
      </c>
      <c r="C48" t="s">
        <v>356</v>
      </c>
      <c r="D48" t="s">
        <v>16</v>
      </c>
      <c r="E48" s="139">
        <v>15000</v>
      </c>
      <c r="F48" s="161"/>
      <c r="G48" s="162">
        <f>E48</f>
        <v>15000</v>
      </c>
      <c r="H48" t="s">
        <v>366</v>
      </c>
      <c r="L48" t="s">
        <v>462</v>
      </c>
      <c r="M48" s="6">
        <f>60000/5*3</f>
        <v>36000</v>
      </c>
      <c r="N48" t="s">
        <v>602</v>
      </c>
    </row>
    <row r="49" spans="1:14" x14ac:dyDescent="0.25">
      <c r="A49" s="1">
        <v>55</v>
      </c>
      <c r="B49" t="s">
        <v>85</v>
      </c>
      <c r="C49" t="s">
        <v>545</v>
      </c>
      <c r="D49" t="s">
        <v>16</v>
      </c>
      <c r="E49" s="139">
        <v>12800</v>
      </c>
      <c r="F49" s="161">
        <f>E49</f>
        <v>12800</v>
      </c>
      <c r="G49" s="162"/>
      <c r="H49" t="s">
        <v>366</v>
      </c>
      <c r="L49" t="s">
        <v>107</v>
      </c>
      <c r="M49" s="6">
        <v>50000</v>
      </c>
    </row>
    <row r="50" spans="1:14" x14ac:dyDescent="0.25">
      <c r="A50" s="1">
        <v>61</v>
      </c>
      <c r="B50" t="s">
        <v>1</v>
      </c>
      <c r="C50" t="s">
        <v>88</v>
      </c>
      <c r="D50" t="s">
        <v>16</v>
      </c>
      <c r="E50" s="139">
        <v>210000</v>
      </c>
      <c r="F50" s="161"/>
      <c r="G50" s="162">
        <f>E50</f>
        <v>210000</v>
      </c>
      <c r="H50" t="s">
        <v>1</v>
      </c>
      <c r="L50" t="s">
        <v>145</v>
      </c>
      <c r="M50" s="6">
        <v>0</v>
      </c>
    </row>
    <row r="51" spans="1:14" x14ac:dyDescent="0.25">
      <c r="A51" s="1">
        <v>61</v>
      </c>
      <c r="B51" t="s">
        <v>1</v>
      </c>
      <c r="C51" t="s">
        <v>17</v>
      </c>
      <c r="D51" t="s">
        <v>16</v>
      </c>
      <c r="E51" s="139">
        <v>200000</v>
      </c>
      <c r="F51" s="161"/>
      <c r="G51" s="162">
        <f>E51</f>
        <v>200000</v>
      </c>
      <c r="H51" t="s">
        <v>1</v>
      </c>
      <c r="L51" t="s">
        <v>483</v>
      </c>
      <c r="M51" s="6">
        <v>0</v>
      </c>
      <c r="N51" t="s">
        <v>600</v>
      </c>
    </row>
    <row r="52" spans="1:14" x14ac:dyDescent="0.25">
      <c r="A52" s="1">
        <v>61</v>
      </c>
      <c r="B52" t="s">
        <v>1</v>
      </c>
      <c r="C52" t="s">
        <v>561</v>
      </c>
      <c r="D52" t="s">
        <v>16</v>
      </c>
      <c r="E52" s="139">
        <f>200000*(1-0.4321)</f>
        <v>113580.00000000001</v>
      </c>
      <c r="F52" s="161">
        <f>E52</f>
        <v>113580.00000000001</v>
      </c>
      <c r="G52" s="162"/>
      <c r="H52" t="s">
        <v>1</v>
      </c>
      <c r="I52" s="52" t="s">
        <v>608</v>
      </c>
      <c r="L52" t="s">
        <v>473</v>
      </c>
      <c r="M52" s="6">
        <v>0</v>
      </c>
    </row>
    <row r="53" spans="1:14" x14ac:dyDescent="0.25">
      <c r="A53" s="1">
        <v>61</v>
      </c>
      <c r="B53" t="s">
        <v>1</v>
      </c>
      <c r="C53" t="s">
        <v>548</v>
      </c>
      <c r="D53" t="s">
        <v>16</v>
      </c>
      <c r="E53" s="139">
        <v>125000</v>
      </c>
      <c r="F53" s="161">
        <v>0</v>
      </c>
      <c r="G53" s="162">
        <f>E53-F53</f>
        <v>125000</v>
      </c>
      <c r="H53" t="s">
        <v>1</v>
      </c>
      <c r="I53" s="52" t="s">
        <v>610</v>
      </c>
      <c r="L53" t="s">
        <v>23</v>
      </c>
      <c r="M53" s="6">
        <v>0</v>
      </c>
    </row>
    <row r="54" spans="1:14" x14ac:dyDescent="0.25">
      <c r="A54" s="1">
        <v>61</v>
      </c>
      <c r="B54" t="s">
        <v>1</v>
      </c>
      <c r="C54" t="s">
        <v>547</v>
      </c>
      <c r="D54" t="s">
        <v>16</v>
      </c>
      <c r="E54" s="139">
        <v>120000</v>
      </c>
      <c r="F54" s="161">
        <f>E54</f>
        <v>120000</v>
      </c>
      <c r="G54" s="162"/>
      <c r="H54" t="s">
        <v>1</v>
      </c>
      <c r="L54" t="s">
        <v>546</v>
      </c>
      <c r="M54" s="6">
        <v>0</v>
      </c>
      <c r="N54" t="s">
        <v>37</v>
      </c>
    </row>
    <row r="55" spans="1:14" x14ac:dyDescent="0.25">
      <c r="A55" s="1">
        <v>61</v>
      </c>
      <c r="B55" t="s">
        <v>1</v>
      </c>
      <c r="C55" t="s">
        <v>549</v>
      </c>
      <c r="D55" t="s">
        <v>16</v>
      </c>
      <c r="E55" s="139">
        <v>110000</v>
      </c>
      <c r="F55" s="161"/>
      <c r="G55" s="162">
        <f>E55</f>
        <v>110000</v>
      </c>
      <c r="H55" t="s">
        <v>1</v>
      </c>
      <c r="L55" t="s">
        <v>452</v>
      </c>
      <c r="M55" s="6">
        <v>0</v>
      </c>
    </row>
    <row r="56" spans="1:14" x14ac:dyDescent="0.25">
      <c r="A56" s="1">
        <v>61</v>
      </c>
      <c r="B56" t="s">
        <v>1</v>
      </c>
      <c r="C56" t="s">
        <v>550</v>
      </c>
      <c r="D56" t="s">
        <v>16</v>
      </c>
      <c r="E56" s="139">
        <v>97631</v>
      </c>
      <c r="F56" s="161">
        <f>E56-32000</f>
        <v>65631</v>
      </c>
      <c r="G56" s="162">
        <f>E56-F56</f>
        <v>32000</v>
      </c>
      <c r="H56" t="s">
        <v>1</v>
      </c>
      <c r="I56" s="52" t="s">
        <v>611</v>
      </c>
      <c r="L56" t="s">
        <v>464</v>
      </c>
      <c r="M56" s="6">
        <v>0</v>
      </c>
    </row>
    <row r="57" spans="1:14" x14ac:dyDescent="0.25">
      <c r="A57" s="1">
        <v>61</v>
      </c>
      <c r="B57" t="s">
        <v>1</v>
      </c>
      <c r="C57" t="s">
        <v>551</v>
      </c>
      <c r="D57" t="s">
        <v>16</v>
      </c>
      <c r="E57" s="139">
        <v>50000</v>
      </c>
      <c r="F57" s="161">
        <f>E57</f>
        <v>50000</v>
      </c>
      <c r="G57" s="162"/>
      <c r="H57" t="s">
        <v>1</v>
      </c>
      <c r="L57" t="s">
        <v>451</v>
      </c>
      <c r="M57" s="6">
        <v>0</v>
      </c>
    </row>
    <row r="58" spans="1:14" x14ac:dyDescent="0.25">
      <c r="A58" s="1">
        <v>61</v>
      </c>
      <c r="B58" t="s">
        <v>1</v>
      </c>
      <c r="C58" t="s">
        <v>552</v>
      </c>
      <c r="D58" t="s">
        <v>16</v>
      </c>
      <c r="E58" s="139">
        <v>50000</v>
      </c>
      <c r="F58" s="161">
        <f t="shared" ref="F58" si="3">E58</f>
        <v>50000</v>
      </c>
      <c r="G58" s="162"/>
      <c r="H58" t="s">
        <v>1</v>
      </c>
      <c r="L58" t="s">
        <v>444</v>
      </c>
      <c r="M58" s="6">
        <v>0</v>
      </c>
    </row>
    <row r="59" spans="1:14" x14ac:dyDescent="0.25">
      <c r="A59" s="1">
        <v>61</v>
      </c>
      <c r="B59" t="s">
        <v>1</v>
      </c>
      <c r="C59" t="s">
        <v>485</v>
      </c>
      <c r="D59" t="s">
        <v>16</v>
      </c>
      <c r="E59" s="139">
        <v>25000</v>
      </c>
      <c r="F59" s="161">
        <v>0</v>
      </c>
      <c r="G59" s="162">
        <f>E59</f>
        <v>25000</v>
      </c>
      <c r="H59" t="s">
        <v>1</v>
      </c>
      <c r="L59" t="s">
        <v>445</v>
      </c>
      <c r="M59" s="6">
        <v>0</v>
      </c>
    </row>
    <row r="60" spans="1:14" x14ac:dyDescent="0.25">
      <c r="A60" s="1">
        <v>61</v>
      </c>
      <c r="B60" t="s">
        <v>1</v>
      </c>
      <c r="C60" t="s">
        <v>553</v>
      </c>
      <c r="D60" t="s">
        <v>16</v>
      </c>
      <c r="E60" s="139">
        <v>25000</v>
      </c>
      <c r="F60" s="161">
        <v>25000</v>
      </c>
      <c r="G60" s="162">
        <f>E60-F60</f>
        <v>0</v>
      </c>
      <c r="H60" t="s">
        <v>1</v>
      </c>
      <c r="I60" s="52" t="s">
        <v>610</v>
      </c>
      <c r="L60" t="s">
        <v>347</v>
      </c>
      <c r="M60" s="6">
        <v>0</v>
      </c>
    </row>
    <row r="61" spans="1:14" x14ac:dyDescent="0.25">
      <c r="A61" s="1">
        <v>61</v>
      </c>
      <c r="B61" t="s">
        <v>1</v>
      </c>
      <c r="C61" t="s">
        <v>554</v>
      </c>
      <c r="D61" t="s">
        <v>16</v>
      </c>
      <c r="E61" s="139">
        <v>20000</v>
      </c>
      <c r="F61" s="161"/>
      <c r="G61" s="162">
        <f t="shared" ref="G61:G66" si="4">E61</f>
        <v>20000</v>
      </c>
      <c r="H61" t="s">
        <v>1</v>
      </c>
      <c r="L61" t="s">
        <v>514</v>
      </c>
      <c r="M61" s="6">
        <v>0</v>
      </c>
    </row>
    <row r="62" spans="1:14" x14ac:dyDescent="0.25">
      <c r="A62" s="1">
        <v>61</v>
      </c>
      <c r="B62" t="s">
        <v>1</v>
      </c>
      <c r="C62" t="s">
        <v>191</v>
      </c>
      <c r="D62" t="s">
        <v>16</v>
      </c>
      <c r="E62" s="139">
        <v>10000</v>
      </c>
      <c r="F62" s="161">
        <v>0</v>
      </c>
      <c r="G62" s="162">
        <f t="shared" si="4"/>
        <v>10000</v>
      </c>
      <c r="H62" t="s">
        <v>1</v>
      </c>
      <c r="L62" t="s">
        <v>155</v>
      </c>
      <c r="M62" s="6">
        <v>0</v>
      </c>
      <c r="N62" t="s">
        <v>603</v>
      </c>
    </row>
    <row r="63" spans="1:14" x14ac:dyDescent="0.25">
      <c r="A63" s="1">
        <v>61</v>
      </c>
      <c r="B63" t="s">
        <v>1</v>
      </c>
      <c r="C63" t="s">
        <v>193</v>
      </c>
      <c r="D63" t="s">
        <v>16</v>
      </c>
      <c r="E63" s="139">
        <v>10000</v>
      </c>
      <c r="F63" s="161">
        <v>0</v>
      </c>
      <c r="G63" s="162">
        <f t="shared" si="4"/>
        <v>10000</v>
      </c>
      <c r="H63" t="s">
        <v>1</v>
      </c>
      <c r="L63" t="s">
        <v>88</v>
      </c>
      <c r="M63" s="6">
        <v>0</v>
      </c>
      <c r="N63" t="s">
        <v>599</v>
      </c>
    </row>
    <row r="64" spans="1:14" x14ac:dyDescent="0.25">
      <c r="A64" s="1">
        <v>61</v>
      </c>
      <c r="B64" t="s">
        <v>1</v>
      </c>
      <c r="C64" t="s">
        <v>555</v>
      </c>
      <c r="D64" t="s">
        <v>16</v>
      </c>
      <c r="E64" s="139">
        <v>10000</v>
      </c>
      <c r="F64" s="161"/>
      <c r="G64" s="162">
        <f t="shared" si="4"/>
        <v>10000</v>
      </c>
      <c r="H64" t="s">
        <v>1</v>
      </c>
      <c r="L64" t="s">
        <v>17</v>
      </c>
      <c r="M64" s="6">
        <v>0</v>
      </c>
      <c r="N64" t="s">
        <v>37</v>
      </c>
    </row>
    <row r="65" spans="1:14" x14ac:dyDescent="0.25">
      <c r="A65" s="1">
        <v>61</v>
      </c>
      <c r="B65" t="s">
        <v>1</v>
      </c>
      <c r="C65" t="s">
        <v>360</v>
      </c>
      <c r="D65" t="s">
        <v>16</v>
      </c>
      <c r="E65" s="139">
        <v>5000</v>
      </c>
      <c r="F65" s="161">
        <v>0</v>
      </c>
      <c r="G65" s="162">
        <f t="shared" si="4"/>
        <v>5000</v>
      </c>
      <c r="H65" t="s">
        <v>1</v>
      </c>
      <c r="L65" t="s">
        <v>549</v>
      </c>
      <c r="M65" s="6">
        <v>0</v>
      </c>
    </row>
    <row r="66" spans="1:14" x14ac:dyDescent="0.25">
      <c r="A66" s="1">
        <v>67</v>
      </c>
      <c r="B66" s="114" t="s">
        <v>515</v>
      </c>
      <c r="C66" t="s">
        <v>564</v>
      </c>
      <c r="D66" t="s">
        <v>16</v>
      </c>
      <c r="E66" s="139">
        <v>100000</v>
      </c>
      <c r="F66" s="155"/>
      <c r="G66" s="156">
        <f t="shared" si="4"/>
        <v>100000</v>
      </c>
      <c r="H66" t="s">
        <v>316</v>
      </c>
      <c r="L66" t="s">
        <v>463</v>
      </c>
      <c r="M66" s="6">
        <v>200000</v>
      </c>
    </row>
    <row r="67" spans="1:14" x14ac:dyDescent="0.25">
      <c r="A67" s="1">
        <v>67</v>
      </c>
      <c r="B67" t="s">
        <v>515</v>
      </c>
      <c r="C67" t="s">
        <v>107</v>
      </c>
      <c r="D67" t="s">
        <v>16</v>
      </c>
      <c r="E67" s="139">
        <v>50000</v>
      </c>
      <c r="F67" s="161">
        <f>E67</f>
        <v>50000</v>
      </c>
      <c r="G67" s="162"/>
      <c r="H67" t="s">
        <v>314</v>
      </c>
      <c r="L67" t="s">
        <v>173</v>
      </c>
      <c r="M67" s="6">
        <v>138000</v>
      </c>
    </row>
    <row r="68" spans="1:14" x14ac:dyDescent="0.25">
      <c r="A68" s="1">
        <v>67</v>
      </c>
      <c r="B68" t="s">
        <v>515</v>
      </c>
      <c r="C68" t="s">
        <v>516</v>
      </c>
      <c r="D68" t="s">
        <v>16</v>
      </c>
      <c r="E68" s="139">
        <v>45000</v>
      </c>
      <c r="F68" s="161">
        <v>0</v>
      </c>
      <c r="G68" s="162">
        <f>E68</f>
        <v>45000</v>
      </c>
      <c r="H68" t="s">
        <v>314</v>
      </c>
      <c r="L68" t="s">
        <v>548</v>
      </c>
      <c r="M68" s="6">
        <v>125000</v>
      </c>
    </row>
    <row r="69" spans="1:14" x14ac:dyDescent="0.25">
      <c r="A69" s="1">
        <v>67</v>
      </c>
      <c r="B69" s="114" t="s">
        <v>515</v>
      </c>
      <c r="C69" t="s">
        <v>565</v>
      </c>
      <c r="D69" t="s">
        <v>16</v>
      </c>
      <c r="E69" s="139">
        <v>120000</v>
      </c>
      <c r="F69" s="161">
        <v>0</v>
      </c>
      <c r="G69" s="162">
        <f>E69</f>
        <v>120000</v>
      </c>
      <c r="H69" t="s">
        <v>365</v>
      </c>
      <c r="L69" t="s">
        <v>447</v>
      </c>
      <c r="M69" s="6">
        <v>35000</v>
      </c>
      <c r="N69" t="s">
        <v>599</v>
      </c>
    </row>
    <row r="70" spans="1:14" x14ac:dyDescent="0.25">
      <c r="E70" s="139"/>
      <c r="F70" s="161"/>
      <c r="G70" s="162"/>
      <c r="M70" s="6"/>
    </row>
    <row r="71" spans="1:14" ht="15.75" thickBot="1" x14ac:dyDescent="0.3">
      <c r="E71" s="145">
        <f>SUM(E3:E70)</f>
        <v>4760520</v>
      </c>
      <c r="F71" s="157">
        <f>SUM(F3:F70)</f>
        <v>1411671</v>
      </c>
      <c r="G71" s="158">
        <f>SUM(G3:G70)</f>
        <v>3348849</v>
      </c>
      <c r="M71" s="145">
        <f>SUM(M3:M65)</f>
        <v>1773071</v>
      </c>
    </row>
    <row r="72" spans="1:14" ht="16.5" thickTop="1" thickBot="1" x14ac:dyDescent="0.3">
      <c r="C72" t="s">
        <v>592</v>
      </c>
      <c r="E72" s="146">
        <f>'CIP Details'!L370</f>
        <v>1484130</v>
      </c>
      <c r="F72" s="159"/>
      <c r="G72" s="160"/>
      <c r="M72" s="6">
        <v>892000</v>
      </c>
    </row>
    <row r="73" spans="1:14" x14ac:dyDescent="0.25">
      <c r="E73" s="140"/>
      <c r="F73" s="151"/>
      <c r="M73" s="140">
        <f>M71+M72</f>
        <v>2665071</v>
      </c>
    </row>
    <row r="74" spans="1:14" x14ac:dyDescent="0.25">
      <c r="A74" s="1" t="s">
        <v>500</v>
      </c>
      <c r="B74" t="s">
        <v>501</v>
      </c>
      <c r="C74" t="s">
        <v>598</v>
      </c>
      <c r="D74" t="s">
        <v>16</v>
      </c>
      <c r="E74" s="139">
        <v>2000</v>
      </c>
      <c r="F74" s="149"/>
      <c r="G74" s="149"/>
      <c r="H74" t="s">
        <v>314</v>
      </c>
    </row>
    <row r="75" spans="1:14" x14ac:dyDescent="0.25">
      <c r="E75" s="140"/>
      <c r="F75" s="151"/>
      <c r="G75" s="151"/>
    </row>
    <row r="76" spans="1:14" x14ac:dyDescent="0.25">
      <c r="C76" s="23" t="s">
        <v>593</v>
      </c>
    </row>
    <row r="77" spans="1:14" x14ac:dyDescent="0.25">
      <c r="C77" s="24" t="s">
        <v>594</v>
      </c>
      <c r="E77" s="147" t="e">
        <f>-'CIP Details'!#REF!</f>
        <v>#REF!</v>
      </c>
      <c r="F77" s="152"/>
      <c r="G77" s="152"/>
    </row>
    <row r="78" spans="1:14" x14ac:dyDescent="0.25">
      <c r="C78" s="24" t="s">
        <v>595</v>
      </c>
      <c r="E78" s="147" t="e">
        <f>-'CIP Details'!#REF!</f>
        <v>#REF!</v>
      </c>
      <c r="F78" s="152"/>
      <c r="G78" s="152"/>
    </row>
    <row r="80" spans="1:14" x14ac:dyDescent="0.25">
      <c r="C80" t="s">
        <v>597</v>
      </c>
      <c r="E80" s="147">
        <v>-315000</v>
      </c>
      <c r="F80" s="152"/>
      <c r="G80" s="152"/>
    </row>
    <row r="82" spans="3:7" ht="15.75" thickBot="1" x14ac:dyDescent="0.3">
      <c r="C82" t="s">
        <v>596</v>
      </c>
      <c r="E82" s="145" t="e">
        <f>E71+SUM(E74:E81)</f>
        <v>#REF!</v>
      </c>
      <c r="F82" s="150"/>
      <c r="G82" s="150"/>
    </row>
    <row r="83" spans="3:7" ht="15.75" thickTop="1" x14ac:dyDescent="0.25"/>
  </sheetData>
  <sortState ref="L3:N69">
    <sortCondition descending="1" ref="M3:M69"/>
  </sortState>
  <customSheetViews>
    <customSheetView guid="{BB410D8C-36DE-400F-AB69-DB51CF9CA663}" showPageBreaks="1" showGridLines="0" fitToPage="1" printArea="1" hiddenColumns="1" state="hidden">
      <selection activeCell="C22" sqref="C22"/>
      <pageMargins left="0.4" right="0.4" top="0.4" bottom="0.4" header="0" footer="0"/>
      <pageSetup scale="59" orientation="portrait" r:id="rId1"/>
    </customSheetView>
  </customSheetViews>
  <pageMargins left="0.4" right="0.4" top="0.4" bottom="0.4" header="0" footer="0"/>
  <pageSetup scale="5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9"/>
  <sheetViews>
    <sheetView zoomScale="110" zoomScaleNormal="110" workbookViewId="0">
      <pane xSplit="6" ySplit="2" topLeftCell="G3" activePane="bottomRight" state="frozen"/>
      <selection pane="topRight" activeCell="F1" sqref="F1"/>
      <selection pane="bottomLeft" activeCell="A3" sqref="A3"/>
      <selection pane="bottomRight" activeCell="I24" sqref="I24"/>
    </sheetView>
  </sheetViews>
  <sheetFormatPr defaultColWidth="9.140625" defaultRowHeight="15" outlineLevelCol="1" x14ac:dyDescent="0.25"/>
  <cols>
    <col min="1" max="1" width="9.140625" style="114" customWidth="1" outlineLevel="1"/>
    <col min="2" max="2" width="35.5703125" style="11" customWidth="1" outlineLevel="1"/>
    <col min="3" max="3" width="8.7109375" style="114" customWidth="1"/>
    <col min="4" max="4" width="22.42578125" style="11" bestFit="1" customWidth="1"/>
    <col min="5" max="5" width="2.7109375" style="114" customWidth="1"/>
    <col min="6" max="6" width="92.85546875" style="114" customWidth="1"/>
    <col min="7" max="7" width="13.7109375" style="11" bestFit="1" customWidth="1"/>
    <col min="8" max="9" width="16" style="11" customWidth="1"/>
    <col min="10" max="10" width="2.7109375" style="114" customWidth="1"/>
    <col min="11" max="11" width="12.42578125" style="114" customWidth="1"/>
    <col min="12" max="12" width="12.5703125" style="114" customWidth="1"/>
    <col min="13" max="13" width="48.5703125" style="114" bestFit="1" customWidth="1"/>
    <col min="14" max="16384" width="9.140625" style="114"/>
  </cols>
  <sheetData>
    <row r="1" spans="1:12" customFormat="1" ht="18.75" x14ac:dyDescent="0.3">
      <c r="B1" s="3" t="s">
        <v>433</v>
      </c>
      <c r="C1" s="127" t="s">
        <v>502</v>
      </c>
      <c r="D1" s="127" t="s">
        <v>206</v>
      </c>
      <c r="E1" s="126"/>
      <c r="F1" s="127" t="s">
        <v>434</v>
      </c>
      <c r="G1" s="127" t="s">
        <v>270</v>
      </c>
      <c r="H1" s="135" t="s">
        <v>530</v>
      </c>
      <c r="I1" s="135" t="s">
        <v>536</v>
      </c>
      <c r="J1" s="126"/>
      <c r="K1" s="127" t="s">
        <v>4</v>
      </c>
      <c r="L1" s="127" t="s">
        <v>741</v>
      </c>
    </row>
    <row r="2" spans="1:12" x14ac:dyDescent="0.25">
      <c r="B2" s="1"/>
      <c r="C2" s="1"/>
      <c r="E2"/>
      <c r="F2"/>
      <c r="G2" s="1"/>
      <c r="H2" s="1"/>
      <c r="I2" s="1"/>
      <c r="J2"/>
    </row>
    <row r="3" spans="1:12" x14ac:dyDescent="0.25">
      <c r="A3" s="114" t="str">
        <f>B3&amp;D3&amp;F3&amp;G3</f>
        <v>Community DevelopmentEconomic DevelopmentBoulevard to Train Station - Town portion of $500,000 CRCOG grant for BrownfieldsGF</v>
      </c>
      <c r="B3" s="1" t="s">
        <v>316</v>
      </c>
      <c r="C3" s="1">
        <v>17</v>
      </c>
      <c r="D3" s="11" t="s">
        <v>440</v>
      </c>
      <c r="E3"/>
      <c r="F3" t="s">
        <v>662</v>
      </c>
      <c r="G3" s="1" t="s">
        <v>16</v>
      </c>
      <c r="H3" s="1" t="s">
        <v>531</v>
      </c>
      <c r="I3" s="1"/>
      <c r="J3"/>
      <c r="K3" s="115">
        <f>SUMIF('CIP Details'!A:A,$A3,'CIP Details'!M:M)</f>
        <v>0</v>
      </c>
      <c r="L3" s="11" t="s">
        <v>599</v>
      </c>
    </row>
    <row r="4" spans="1:12" x14ac:dyDescent="0.25">
      <c r="A4" s="114" t="str">
        <f t="shared" ref="A4" si="0">B4&amp;D4&amp;F4&amp;G4</f>
        <v>Public SafetyFire DepartmentPump simulatorGF</v>
      </c>
      <c r="B4" s="1" t="s">
        <v>315</v>
      </c>
      <c r="C4" s="1">
        <v>31</v>
      </c>
      <c r="D4" s="11" t="s">
        <v>248</v>
      </c>
      <c r="E4"/>
      <c r="F4" t="s">
        <v>151</v>
      </c>
      <c r="G4" s="1" t="s">
        <v>16</v>
      </c>
      <c r="H4" s="1" t="s">
        <v>531</v>
      </c>
      <c r="I4" s="1"/>
      <c r="J4"/>
      <c r="K4" s="115">
        <f>SUMIF('CIP Details'!A:A,$A4,'CIP Details'!M:M)</f>
        <v>0</v>
      </c>
      <c r="L4" s="11" t="s">
        <v>599</v>
      </c>
    </row>
    <row r="5" spans="1:12" x14ac:dyDescent="0.25">
      <c r="A5" s="114" t="str">
        <f t="shared" ref="A5:A8" si="1">B5&amp;D5&amp;F5&amp;G5</f>
        <v>Public SafetyPolice DepartmentVehicle - Patrol Units ($30k/car + $6.5k/car equipment) - assumes 4 cars/yearGF</v>
      </c>
      <c r="B5" s="1" t="s">
        <v>315</v>
      </c>
      <c r="C5" s="11">
        <v>32</v>
      </c>
      <c r="D5" s="11" t="s">
        <v>249</v>
      </c>
      <c r="F5" t="s">
        <v>634</v>
      </c>
      <c r="G5" s="1" t="s">
        <v>16</v>
      </c>
      <c r="H5" s="1" t="s">
        <v>522</v>
      </c>
      <c r="I5" s="1" t="s">
        <v>640</v>
      </c>
      <c r="K5" s="115">
        <f>SUMIF('CIP Details'!A:A,$A5,'CIP Details'!M:M)</f>
        <v>0</v>
      </c>
      <c r="L5" s="11"/>
    </row>
    <row r="6" spans="1:12" x14ac:dyDescent="0.25">
      <c r="A6" s="114" t="str">
        <f t="shared" si="1"/>
        <v>Public SafetyPolice DepartmentVehicle - Supervisor SUV ($32k/car + $6.5k/car equipment)GF</v>
      </c>
      <c r="B6" s="1" t="s">
        <v>315</v>
      </c>
      <c r="C6" s="11">
        <v>32</v>
      </c>
      <c r="D6" s="11" t="s">
        <v>249</v>
      </c>
      <c r="F6" t="s">
        <v>738</v>
      </c>
      <c r="G6" s="1" t="s">
        <v>16</v>
      </c>
      <c r="H6" s="1" t="s">
        <v>522</v>
      </c>
      <c r="I6" s="31" t="s">
        <v>537</v>
      </c>
      <c r="K6" s="115">
        <f>SUMIF('CIP Details'!A:A,$A6,'CIP Details'!M:M)</f>
        <v>0</v>
      </c>
      <c r="L6" s="11"/>
    </row>
    <row r="7" spans="1:12" x14ac:dyDescent="0.25">
      <c r="A7" s="114" t="str">
        <f t="shared" si="1"/>
        <v>Public SafetyPolice DepartmentVehicle - Unmarked/AdminGF</v>
      </c>
      <c r="B7" s="1" t="s">
        <v>315</v>
      </c>
      <c r="C7" s="11">
        <v>32</v>
      </c>
      <c r="D7" s="11" t="s">
        <v>249</v>
      </c>
      <c r="F7" t="s">
        <v>514</v>
      </c>
      <c r="G7" s="1" t="s">
        <v>16</v>
      </c>
      <c r="H7" s="1" t="s">
        <v>522</v>
      </c>
      <c r="I7" s="1"/>
      <c r="K7" s="115">
        <f>SUMIF('CIP Details'!A:A,$A7,'CIP Details'!M:M)</f>
        <v>0</v>
      </c>
      <c r="L7" s="11"/>
    </row>
    <row r="8" spans="1:12" x14ac:dyDescent="0.25">
      <c r="A8" s="114" t="str">
        <f t="shared" si="1"/>
        <v>Public SafetyPolice DepartmentPolice Station Remodel (existing) - Various (interview rooms, locker rooms, ADA bathroom, etc.)GF</v>
      </c>
      <c r="B8" s="1" t="s">
        <v>315</v>
      </c>
      <c r="C8" s="1">
        <v>32</v>
      </c>
      <c r="D8" s="11" t="s">
        <v>249</v>
      </c>
      <c r="E8" s="26"/>
      <c r="F8" s="26" t="s">
        <v>535</v>
      </c>
      <c r="G8" s="31" t="s">
        <v>16</v>
      </c>
      <c r="H8" s="1" t="s">
        <v>531</v>
      </c>
      <c r="I8" s="1"/>
      <c r="J8" s="26"/>
      <c r="K8" s="115">
        <f>SUMIF('CIP Details'!A:A,$A8,'CIP Details'!M:M)</f>
        <v>0</v>
      </c>
      <c r="L8" s="11"/>
    </row>
    <row r="9" spans="1:12" x14ac:dyDescent="0.25">
      <c r="A9" s="114" t="str">
        <f>B9&amp;D9&amp;F9&amp;G9</f>
        <v>Public SafetyAnimal ControlAnimal Control VanGF</v>
      </c>
      <c r="B9" s="1" t="s">
        <v>315</v>
      </c>
      <c r="C9" s="1">
        <v>30</v>
      </c>
      <c r="D9" s="11" t="s">
        <v>694</v>
      </c>
      <c r="E9"/>
      <c r="F9" t="s">
        <v>695</v>
      </c>
      <c r="G9" s="1" t="s">
        <v>16</v>
      </c>
      <c r="H9" s="1" t="s">
        <v>531</v>
      </c>
      <c r="I9" s="1"/>
      <c r="J9"/>
      <c r="K9" s="115">
        <f>SUMIF('CIP Details'!A:A,$A9,'CIP Details'!M:M)</f>
        <v>0</v>
      </c>
      <c r="L9" s="11"/>
    </row>
    <row r="10" spans="1:12" x14ac:dyDescent="0.25">
      <c r="A10" s="114" t="str">
        <f t="shared" ref="A10:A12" si="2">B10&amp;D10&amp;F10&amp;G10</f>
        <v>Physical ServicesMunicipal GarageGantry CraneGF</v>
      </c>
      <c r="B10" s="1" t="s">
        <v>365</v>
      </c>
      <c r="C10" s="31">
        <v>35</v>
      </c>
      <c r="D10" s="11" t="s">
        <v>436</v>
      </c>
      <c r="E10" s="26"/>
      <c r="F10" s="26" t="s">
        <v>318</v>
      </c>
      <c r="G10" s="31" t="s">
        <v>16</v>
      </c>
      <c r="H10" s="1" t="s">
        <v>531</v>
      </c>
      <c r="I10" s="1" t="s">
        <v>651</v>
      </c>
      <c r="J10" s="26"/>
      <c r="K10" s="115">
        <f>SUMIF('CIP Details'!A:A,$A10,'CIP Details'!M:M)</f>
        <v>0</v>
      </c>
      <c r="L10" s="11"/>
    </row>
    <row r="11" spans="1:12" x14ac:dyDescent="0.25">
      <c r="A11" s="114" t="str">
        <f t="shared" si="2"/>
        <v>Physical ServicesMunicipal Garage4 Post 40 Ton Portable LiftGF</v>
      </c>
      <c r="B11" s="1" t="s">
        <v>365</v>
      </c>
      <c r="C11" s="31">
        <v>35</v>
      </c>
      <c r="D11" s="11" t="s">
        <v>436</v>
      </c>
      <c r="E11" s="26"/>
      <c r="F11" s="26" t="s">
        <v>642</v>
      </c>
      <c r="G11" s="31" t="s">
        <v>16</v>
      </c>
      <c r="H11" s="1" t="s">
        <v>531</v>
      </c>
      <c r="I11" s="1" t="s">
        <v>651</v>
      </c>
      <c r="J11" s="26"/>
      <c r="K11" s="115">
        <f>SUMIF('CIP Details'!A:A,$A11,'CIP Details'!M:M)</f>
        <v>0</v>
      </c>
      <c r="L11" s="11"/>
    </row>
    <row r="12" spans="1:12" x14ac:dyDescent="0.25">
      <c r="A12" s="114" t="str">
        <f t="shared" si="2"/>
        <v>Physical ServicesMunicipal GarageTown Manager's CarGF</v>
      </c>
      <c r="B12" s="1" t="s">
        <v>365</v>
      </c>
      <c r="C12" s="11">
        <v>35</v>
      </c>
      <c r="D12" s="11" t="s">
        <v>436</v>
      </c>
      <c r="F12" t="s">
        <v>696</v>
      </c>
      <c r="G12" s="1" t="s">
        <v>16</v>
      </c>
      <c r="H12" s="1" t="s">
        <v>531</v>
      </c>
      <c r="I12" s="1" t="s">
        <v>645</v>
      </c>
      <c r="K12" s="115">
        <f>SUMIF('CIP Details'!A:A,$A12,'CIP Details'!M:M)</f>
        <v>0</v>
      </c>
      <c r="L12" s="11" t="s">
        <v>599</v>
      </c>
    </row>
    <row r="13" spans="1:12" x14ac:dyDescent="0.25">
      <c r="A13" s="114" t="str">
        <f>B13&amp;D13&amp;F13&amp;G13</f>
        <v>Physical ServicesPublic WorksKensington Road BridgeGF</v>
      </c>
      <c r="B13" s="1" t="s">
        <v>365</v>
      </c>
      <c r="C13" s="11">
        <v>36</v>
      </c>
      <c r="D13" s="11" t="s">
        <v>250</v>
      </c>
      <c r="F13" t="s">
        <v>632</v>
      </c>
      <c r="G13" s="1" t="s">
        <v>16</v>
      </c>
      <c r="H13" s="1" t="s">
        <v>531</v>
      </c>
      <c r="I13" s="1"/>
      <c r="K13" s="115">
        <f>SUMIF('CIP Details'!A:A,$A13,'CIP Details'!M:M)</f>
        <v>0</v>
      </c>
      <c r="L13" s="11"/>
    </row>
    <row r="14" spans="1:12" x14ac:dyDescent="0.25">
      <c r="A14" s="114" t="str">
        <f>B14&amp;D14&amp;F14&amp;G14</f>
        <v>Physical ServicesPublic WorksEdgewood Road Bridge (engineering in FY20; construction in FY21)GF</v>
      </c>
      <c r="B14" s="1" t="s">
        <v>365</v>
      </c>
      <c r="C14" s="11">
        <v>36</v>
      </c>
      <c r="D14" s="11" t="s">
        <v>250</v>
      </c>
      <c r="F14" t="s">
        <v>770</v>
      </c>
      <c r="G14" s="1" t="s">
        <v>16</v>
      </c>
      <c r="H14" s="1" t="s">
        <v>531</v>
      </c>
      <c r="I14" s="1"/>
      <c r="K14" s="115">
        <f>SUMIF('CIP Details'!A:A,$A14,'CIP Details'!M:M)</f>
        <v>0</v>
      </c>
      <c r="L14" s="11"/>
    </row>
    <row r="15" spans="1:12" x14ac:dyDescent="0.25">
      <c r="A15" s="114" t="str">
        <f t="shared" ref="A15:A19" si="3">B15&amp;D15&amp;F15&amp;G15</f>
        <v>Physical ServicesPublic WorksBridge Preservation Work (Worthington Ridge,  Berlin Street, Wildermere Road and Heritage Drive)GF</v>
      </c>
      <c r="B15" s="1" t="s">
        <v>365</v>
      </c>
      <c r="C15" s="11">
        <v>36</v>
      </c>
      <c r="D15" s="11" t="s">
        <v>250</v>
      </c>
      <c r="F15" t="s">
        <v>287</v>
      </c>
      <c r="G15" s="1" t="s">
        <v>16</v>
      </c>
      <c r="H15" s="1" t="s">
        <v>531</v>
      </c>
      <c r="I15" s="1"/>
      <c r="K15" s="115">
        <f>SUMIF('CIP Details'!A:A,$A15,'CIP Details'!M:M)</f>
        <v>0</v>
      </c>
      <c r="L15" s="11"/>
    </row>
    <row r="16" spans="1:12" x14ac:dyDescent="0.25">
      <c r="A16" s="114" t="str">
        <f t="shared" si="3"/>
        <v>Physical ServicesPublic WorksWorthington Ridge Playground Parking LotGF</v>
      </c>
      <c r="B16" s="1" t="s">
        <v>365</v>
      </c>
      <c r="C16" s="1">
        <v>36</v>
      </c>
      <c r="D16" s="11" t="s">
        <v>250</v>
      </c>
      <c r="E16"/>
      <c r="F16" t="s">
        <v>490</v>
      </c>
      <c r="G16" s="1" t="s">
        <v>16</v>
      </c>
      <c r="H16" s="1" t="s">
        <v>531</v>
      </c>
      <c r="I16" s="1" t="s">
        <v>645</v>
      </c>
      <c r="J16"/>
      <c r="K16" s="115">
        <f>SUMIF('CIP Details'!A:A,$A16,'CIP Details'!M:M)</f>
        <v>0</v>
      </c>
      <c r="L16" s="11"/>
    </row>
    <row r="17" spans="1:13" x14ac:dyDescent="0.25">
      <c r="A17" s="114" t="str">
        <f t="shared" si="3"/>
        <v>Physical ServicesPublic WorksDenehy Field Parking LotGF</v>
      </c>
      <c r="B17" s="1" t="s">
        <v>365</v>
      </c>
      <c r="C17" s="1">
        <v>36</v>
      </c>
      <c r="D17" s="11" t="s">
        <v>250</v>
      </c>
      <c r="E17"/>
      <c r="F17" t="s">
        <v>655</v>
      </c>
      <c r="G17" s="1" t="s">
        <v>16</v>
      </c>
      <c r="H17" s="1" t="s">
        <v>531</v>
      </c>
      <c r="I17" s="1" t="s">
        <v>645</v>
      </c>
      <c r="J17"/>
      <c r="K17" s="115">
        <f>SUMIF('CIP Details'!A:A,$A17,'CIP Details'!M:M)</f>
        <v>0</v>
      </c>
      <c r="L17" s="11"/>
    </row>
    <row r="18" spans="1:13" x14ac:dyDescent="0.25">
      <c r="A18" s="114" t="str">
        <f t="shared" si="3"/>
        <v>Physical ServicesPublic WorksSage Park Parking LotGF</v>
      </c>
      <c r="B18" s="1" t="s">
        <v>365</v>
      </c>
      <c r="C18" s="1">
        <v>36</v>
      </c>
      <c r="D18" s="11" t="s">
        <v>250</v>
      </c>
      <c r="E18"/>
      <c r="F18" t="s">
        <v>656</v>
      </c>
      <c r="G18" s="1" t="s">
        <v>16</v>
      </c>
      <c r="H18" s="1" t="s">
        <v>531</v>
      </c>
      <c r="I18" s="1" t="s">
        <v>645</v>
      </c>
      <c r="J18"/>
      <c r="K18" s="115">
        <f>SUMIF('CIP Details'!A:A,$A18,'CIP Details'!M:M)</f>
        <v>0</v>
      </c>
      <c r="L18" s="11"/>
    </row>
    <row r="19" spans="1:13" x14ac:dyDescent="0.25">
      <c r="A19" s="114" t="str">
        <f t="shared" si="3"/>
        <v>Physical ServicesPublic WorksTimberlin Golf Course Parking LotGF</v>
      </c>
      <c r="B19" s="1" t="s">
        <v>365</v>
      </c>
      <c r="C19" s="1">
        <v>36</v>
      </c>
      <c r="D19" s="11" t="s">
        <v>250</v>
      </c>
      <c r="E19"/>
      <c r="F19" t="s">
        <v>657</v>
      </c>
      <c r="G19" s="1" t="s">
        <v>16</v>
      </c>
      <c r="H19" s="1" t="s">
        <v>531</v>
      </c>
      <c r="I19" s="1" t="s">
        <v>645</v>
      </c>
      <c r="J19"/>
      <c r="K19" s="115">
        <f>SUMIF('CIP Details'!A:A,$A19,'CIP Details'!M:M)</f>
        <v>0</v>
      </c>
      <c r="L19" s="11" t="s">
        <v>599</v>
      </c>
      <c r="M19" s="114" t="s">
        <v>745</v>
      </c>
    </row>
    <row r="20" spans="1:13" x14ac:dyDescent="0.25">
      <c r="A20" s="114" t="str">
        <f t="shared" ref="A20:A22" si="4">B20&amp;D20&amp;F20&amp;G20</f>
        <v>Physical ServicesHighwayWood ChipperGF</v>
      </c>
      <c r="B20" s="1" t="s">
        <v>365</v>
      </c>
      <c r="C20" s="11">
        <v>37</v>
      </c>
      <c r="D20" s="11" t="s">
        <v>461</v>
      </c>
      <c r="F20" s="114" t="s">
        <v>520</v>
      </c>
      <c r="G20" s="11" t="s">
        <v>16</v>
      </c>
      <c r="H20" s="1" t="s">
        <v>531</v>
      </c>
      <c r="I20" s="1" t="s">
        <v>645</v>
      </c>
      <c r="K20" s="115">
        <f>SUMIF('CIP Details'!A:A,$A20,'CIP Details'!M:M)</f>
        <v>0</v>
      </c>
      <c r="L20" s="11" t="s">
        <v>599</v>
      </c>
    </row>
    <row r="21" spans="1:13" x14ac:dyDescent="0.25">
      <c r="A21" s="114" t="str">
        <f t="shared" si="4"/>
        <v>Physical ServicesHighwayFlatbed Truck with power lift tailgateGF</v>
      </c>
      <c r="B21" s="1" t="s">
        <v>365</v>
      </c>
      <c r="C21" s="11">
        <v>37</v>
      </c>
      <c r="D21" s="11" t="s">
        <v>461</v>
      </c>
      <c r="F21" s="114" t="s">
        <v>659</v>
      </c>
      <c r="G21" s="11" t="s">
        <v>16</v>
      </c>
      <c r="H21" s="1" t="s">
        <v>531</v>
      </c>
      <c r="I21" s="1" t="s">
        <v>651</v>
      </c>
      <c r="K21" s="115">
        <f>SUMIF('CIP Details'!A:A,$A21,'CIP Details'!M:M)</f>
        <v>45000</v>
      </c>
      <c r="L21" s="11"/>
    </row>
    <row r="22" spans="1:13" x14ac:dyDescent="0.25">
      <c r="A22" s="114" t="str">
        <f t="shared" si="4"/>
        <v>Physical ServicesHighwayAsphalt UploaderGF</v>
      </c>
      <c r="B22" s="1" t="s">
        <v>365</v>
      </c>
      <c r="C22" s="11">
        <v>37</v>
      </c>
      <c r="D22" s="11" t="s">
        <v>461</v>
      </c>
      <c r="F22" t="s">
        <v>465</v>
      </c>
      <c r="G22" s="1" t="s">
        <v>16</v>
      </c>
      <c r="H22" s="1" t="s">
        <v>531</v>
      </c>
      <c r="I22" s="1" t="s">
        <v>645</v>
      </c>
      <c r="K22" s="115">
        <f>SUMIF('CIP Details'!A:A,$A22,'CIP Details'!M:M)</f>
        <v>0</v>
      </c>
      <c r="L22" s="11"/>
    </row>
    <row r="23" spans="1:13" x14ac:dyDescent="0.25">
      <c r="A23" s="114" t="str">
        <f t="shared" ref="A23:A27" si="5">B23&amp;D23&amp;F23&amp;G23</f>
        <v>Physical ServicesPublic BuildingsGutters, Roof Trace and Masonry Repairs (Town Hall)GF</v>
      </c>
      <c r="B23" s="1" t="s">
        <v>365</v>
      </c>
      <c r="C23" s="11">
        <v>38</v>
      </c>
      <c r="D23" s="11" t="s">
        <v>47</v>
      </c>
      <c r="F23" s="24" t="s">
        <v>664</v>
      </c>
      <c r="G23" s="1" t="s">
        <v>16</v>
      </c>
      <c r="H23" s="1" t="s">
        <v>531</v>
      </c>
      <c r="I23" s="1"/>
      <c r="K23" s="115">
        <f>SUMIF('CIP Details'!A:A,$A23,'CIP Details'!M:M)</f>
        <v>0</v>
      </c>
      <c r="L23" s="11"/>
    </row>
    <row r="24" spans="1:13" x14ac:dyDescent="0.25">
      <c r="A24" s="114" t="str">
        <f t="shared" si="5"/>
        <v>Physical ServicesPublic BuildingsVarious interior repairs at Sr Ctr (kitchen, level raised flooring, greenhouse)GF</v>
      </c>
      <c r="B24" s="1" t="s">
        <v>365</v>
      </c>
      <c r="C24" s="11">
        <v>38</v>
      </c>
      <c r="D24" s="11" t="s">
        <v>47</v>
      </c>
      <c r="F24" s="24" t="s">
        <v>746</v>
      </c>
      <c r="G24" s="1" t="s">
        <v>16</v>
      </c>
      <c r="H24" s="1" t="s">
        <v>531</v>
      </c>
      <c r="I24" s="1"/>
      <c r="K24" s="115">
        <f>SUMIF('CIP Details'!A:A,$A24,'CIP Details'!M:M)</f>
        <v>0</v>
      </c>
      <c r="L24" s="11"/>
    </row>
    <row r="25" spans="1:13" x14ac:dyDescent="0.25">
      <c r="A25" s="114" t="str">
        <f t="shared" si="5"/>
        <v>Physical ServicesPublic BuildingsHVAC-2 (Senior Center)GF</v>
      </c>
      <c r="B25" s="1" t="s">
        <v>365</v>
      </c>
      <c r="C25" s="11">
        <v>38</v>
      </c>
      <c r="D25" s="11" t="s">
        <v>47</v>
      </c>
      <c r="F25" s="24" t="s">
        <v>447</v>
      </c>
      <c r="G25" s="1" t="s">
        <v>16</v>
      </c>
      <c r="H25" s="1" t="s">
        <v>531</v>
      </c>
      <c r="I25" s="1"/>
      <c r="K25" s="115">
        <f>SUMIF('CIP Details'!A:A,$A25,'CIP Details'!M:M)</f>
        <v>50000</v>
      </c>
      <c r="L25" s="11"/>
    </row>
    <row r="26" spans="1:13" x14ac:dyDescent="0.25">
      <c r="A26" s="114" t="str">
        <f>B26&amp;D26&amp;F26&amp;G26</f>
        <v>Physical ServicesPublic BuildingsIAQ (Community Center)GF</v>
      </c>
      <c r="B26" s="1" t="s">
        <v>365</v>
      </c>
      <c r="C26" s="11">
        <v>38</v>
      </c>
      <c r="D26" s="11" t="s">
        <v>47</v>
      </c>
      <c r="F26" s="24" t="s">
        <v>663</v>
      </c>
      <c r="G26" s="1" t="s">
        <v>16</v>
      </c>
      <c r="H26" s="1" t="s">
        <v>531</v>
      </c>
      <c r="I26" s="1"/>
      <c r="K26" s="115">
        <f>SUMIF('CIP Details'!A:A,$A26,'CIP Details'!M:M)</f>
        <v>0</v>
      </c>
      <c r="L26" s="11"/>
    </row>
    <row r="27" spans="1:13" x14ac:dyDescent="0.25">
      <c r="A27" s="114" t="str">
        <f t="shared" si="5"/>
        <v>Physical ServicesPublic BuildingsHandicap Door (Community Center)GF</v>
      </c>
      <c r="B27" s="1" t="s">
        <v>365</v>
      </c>
      <c r="C27" s="11">
        <v>38</v>
      </c>
      <c r="D27" s="11" t="s">
        <v>47</v>
      </c>
      <c r="F27" s="25" t="s">
        <v>444</v>
      </c>
      <c r="G27" s="1" t="s">
        <v>16</v>
      </c>
      <c r="H27" s="1" t="s">
        <v>531</v>
      </c>
      <c r="I27" s="1"/>
      <c r="K27" s="115">
        <f>SUMIF('CIP Details'!A:A,$A27,'CIP Details'!M:M)</f>
        <v>50000</v>
      </c>
      <c r="L27" s="11"/>
    </row>
    <row r="28" spans="1:13" x14ac:dyDescent="0.25">
      <c r="A28" s="114" t="str">
        <f t="shared" ref="A28" si="6">B28&amp;D28&amp;F28&amp;G28</f>
        <v>Physical ServicesPublic BuildingsExterior repairs to Art League BuildingGF</v>
      </c>
      <c r="B28" s="1" t="s">
        <v>365</v>
      </c>
      <c r="C28" s="11">
        <v>38</v>
      </c>
      <c r="D28" s="11" t="s">
        <v>47</v>
      </c>
      <c r="F28" s="26" t="s">
        <v>665</v>
      </c>
      <c r="G28" s="31" t="s">
        <v>16</v>
      </c>
      <c r="H28" s="1" t="s">
        <v>531</v>
      </c>
      <c r="I28" s="1"/>
      <c r="K28" s="115">
        <f>SUMIF('CIP Details'!A:A,$A28,'CIP Details'!M:M)</f>
        <v>0</v>
      </c>
      <c r="L28" s="11"/>
      <c r="M28" s="114" t="s">
        <v>748</v>
      </c>
    </row>
    <row r="29" spans="1:13" x14ac:dyDescent="0.25">
      <c r="A29" s="114" t="str">
        <f>B29&amp;D29&amp;F29&amp;G29</f>
        <v>Physical ServicesPublic BuildingsDeming Road House (Mobile Home caretakers house)GF</v>
      </c>
      <c r="B29" s="1" t="s">
        <v>365</v>
      </c>
      <c r="C29" s="11">
        <v>38</v>
      </c>
      <c r="D29" s="11" t="s">
        <v>47</v>
      </c>
      <c r="F29" s="26" t="s">
        <v>442</v>
      </c>
      <c r="G29" s="31" t="s">
        <v>16</v>
      </c>
      <c r="H29" s="1" t="s">
        <v>531</v>
      </c>
      <c r="I29" s="1"/>
      <c r="K29" s="115">
        <f>SUMIF('CIP Details'!A:A,$A29,'CIP Details'!M:M)</f>
        <v>0</v>
      </c>
      <c r="L29" s="11"/>
    </row>
    <row r="30" spans="1:13" x14ac:dyDescent="0.25">
      <c r="A30" s="114" t="str">
        <f>B30&amp;D30&amp;F30&amp;G30</f>
        <v>Physical ServicesPublic BuildingsRoof Replacement (Garage)GF</v>
      </c>
      <c r="B30" s="1" t="s">
        <v>365</v>
      </c>
      <c r="C30" s="11">
        <v>38</v>
      </c>
      <c r="D30" s="11" t="s">
        <v>47</v>
      </c>
      <c r="F30" s="24" t="s">
        <v>458</v>
      </c>
      <c r="G30" s="1" t="s">
        <v>16</v>
      </c>
      <c r="H30" s="1" t="s">
        <v>531</v>
      </c>
      <c r="I30" s="1"/>
      <c r="K30" s="115">
        <f>SUMIF('CIP Details'!A:A,$A30,'CIP Details'!M:M)</f>
        <v>0</v>
      </c>
      <c r="L30" s="11"/>
    </row>
    <row r="31" spans="1:13" x14ac:dyDescent="0.25">
      <c r="A31" s="114" t="str">
        <f t="shared" ref="A31:A34" si="7">B31&amp;D31&amp;F31&amp;G31</f>
        <v>Parks, Recreation &amp; LibrariesGolf CourseLightening Detection SystemGF</v>
      </c>
      <c r="B31" s="1" t="s">
        <v>366</v>
      </c>
      <c r="C31" s="11">
        <v>43</v>
      </c>
      <c r="D31" s="11" t="s">
        <v>438</v>
      </c>
      <c r="F31" t="s">
        <v>684</v>
      </c>
      <c r="G31" s="1" t="s">
        <v>16</v>
      </c>
      <c r="H31" s="1" t="s">
        <v>531</v>
      </c>
      <c r="I31" s="1"/>
      <c r="K31" s="115">
        <f>SUMIF('CIP Details'!A:A,$A31,'CIP Details'!M:M)</f>
        <v>0</v>
      </c>
      <c r="L31" s="11"/>
    </row>
    <row r="32" spans="1:13" x14ac:dyDescent="0.25">
      <c r="A32" s="114" t="str">
        <f t="shared" si="7"/>
        <v>Parks, Recreation &amp; LibrariesGolf CourseUsed pickup truckGF</v>
      </c>
      <c r="B32" s="1" t="s">
        <v>366</v>
      </c>
      <c r="C32" s="11">
        <v>43</v>
      </c>
      <c r="D32" s="11" t="s">
        <v>438</v>
      </c>
      <c r="F32" t="s">
        <v>473</v>
      </c>
      <c r="G32" s="1" t="s">
        <v>16</v>
      </c>
      <c r="H32" s="1" t="s">
        <v>531</v>
      </c>
      <c r="I32" s="1"/>
      <c r="K32" s="115">
        <f>SUMIF('CIP Details'!A:A,$A32,'CIP Details'!M:M)</f>
        <v>0</v>
      </c>
      <c r="L32" s="11"/>
    </row>
    <row r="33" spans="1:13" x14ac:dyDescent="0.25">
      <c r="A33" s="114" t="str">
        <f t="shared" si="7"/>
        <v>Parks, Recreation &amp; LibrariesGolf CourseGolf Equip Lease - SandPro, Utility Vehicle, Arifier &amp; Greens MowerGF</v>
      </c>
      <c r="B33" s="1" t="s">
        <v>366</v>
      </c>
      <c r="C33" s="1">
        <v>43</v>
      </c>
      <c r="D33" s="11" t="s">
        <v>438</v>
      </c>
      <c r="E33"/>
      <c r="F33" t="s">
        <v>482</v>
      </c>
      <c r="G33" s="1" t="s">
        <v>16</v>
      </c>
      <c r="H33" s="1" t="s">
        <v>522</v>
      </c>
      <c r="I33" s="1"/>
      <c r="J33"/>
      <c r="K33" s="115">
        <f>SUMIF('CIP Details'!A:A,$A33,'CIP Details'!M:M)</f>
        <v>0</v>
      </c>
      <c r="L33" s="11"/>
      <c r="M33" s="114" t="s">
        <v>747</v>
      </c>
    </row>
    <row r="34" spans="1:13" x14ac:dyDescent="0.25">
      <c r="A34" s="114" t="str">
        <f t="shared" si="7"/>
        <v>Parks, Recreation &amp; LibrariesGolf CourseGolf Equip Lease - Triplex mowers, greens/teesGF</v>
      </c>
      <c r="B34" s="1" t="s">
        <v>366</v>
      </c>
      <c r="C34" s="1">
        <v>43</v>
      </c>
      <c r="D34" s="11" t="s">
        <v>438</v>
      </c>
      <c r="E34"/>
      <c r="F34" t="s">
        <v>307</v>
      </c>
      <c r="G34" s="1" t="s">
        <v>16</v>
      </c>
      <c r="H34" s="1" t="s">
        <v>522</v>
      </c>
      <c r="I34" s="1"/>
      <c r="J34"/>
      <c r="K34" s="115">
        <f>SUMIF('CIP Details'!A:A,$A34,'CIP Details'!M:M)</f>
        <v>6419</v>
      </c>
      <c r="L34" s="11"/>
      <c r="M34" s="114" t="s">
        <v>747</v>
      </c>
    </row>
    <row r="35" spans="1:13" x14ac:dyDescent="0.25">
      <c r="A35" s="114" t="str">
        <f>B35&amp;D35&amp;F35&amp;G35</f>
        <v>Parks, Recreation &amp; LibrariesLibraryArchitectural Study 1st Floor ExpansionGF</v>
      </c>
      <c r="B35" s="1" t="s">
        <v>366</v>
      </c>
      <c r="C35" s="1">
        <v>44</v>
      </c>
      <c r="D35" s="11" t="s">
        <v>435</v>
      </c>
      <c r="E35"/>
      <c r="F35" t="s">
        <v>188</v>
      </c>
      <c r="G35" s="1" t="s">
        <v>16</v>
      </c>
      <c r="H35" s="1" t="s">
        <v>531</v>
      </c>
      <c r="I35" s="1"/>
      <c r="J35"/>
      <c r="K35" s="115">
        <f>SUMIF('CIP Details'!A:A,$A35,'CIP Details'!M:M)</f>
        <v>0</v>
      </c>
      <c r="L35" s="11" t="s">
        <v>599</v>
      </c>
      <c r="M35" s="114" t="s">
        <v>744</v>
      </c>
    </row>
    <row r="36" spans="1:13" x14ac:dyDescent="0.25">
      <c r="A36" s="114" t="str">
        <f t="shared" ref="A36:A42" si="8">B36&amp;D36&amp;F36&amp;G36</f>
        <v>Parks, Recreation &amp; LibrariesPublic GroundsZero degree mowerGF</v>
      </c>
      <c r="B36" s="1" t="s">
        <v>366</v>
      </c>
      <c r="C36" s="11">
        <v>45</v>
      </c>
      <c r="D36" s="11" t="s">
        <v>46</v>
      </c>
      <c r="F36" t="s">
        <v>23</v>
      </c>
      <c r="G36" s="1" t="s">
        <v>16</v>
      </c>
      <c r="H36" s="1" t="s">
        <v>531</v>
      </c>
      <c r="I36" s="1"/>
      <c r="K36" s="115">
        <f>SUMIF('CIP Details'!A:A,$A36,'CIP Details'!M:M)</f>
        <v>0</v>
      </c>
      <c r="L36" s="11"/>
    </row>
    <row r="37" spans="1:13" x14ac:dyDescent="0.25">
      <c r="A37" s="114" t="str">
        <f t="shared" si="8"/>
        <v>Parks, Recreation &amp; LibrariesPublic GroundsTrailer (20 ft.) replacementGF</v>
      </c>
      <c r="B37" s="1" t="s">
        <v>366</v>
      </c>
      <c r="C37" s="11">
        <v>45</v>
      </c>
      <c r="D37" s="11" t="s">
        <v>46</v>
      </c>
      <c r="F37" t="s">
        <v>22</v>
      </c>
      <c r="G37" s="1" t="s">
        <v>16</v>
      </c>
      <c r="H37" s="1" t="s">
        <v>531</v>
      </c>
      <c r="I37" s="1"/>
      <c r="K37" s="115">
        <f>SUMIF('CIP Details'!A:A,$A37,'CIP Details'!M:M)</f>
        <v>0</v>
      </c>
      <c r="L37" s="11"/>
    </row>
    <row r="38" spans="1:13" x14ac:dyDescent="0.25">
      <c r="A38" s="114" t="str">
        <f t="shared" si="8"/>
        <v>Parks, Recreation &amp; LibrariesPublic GroundsSage 1 Field ImprovementsGF</v>
      </c>
      <c r="B38" s="1" t="s">
        <v>366</v>
      </c>
      <c r="C38" s="11">
        <v>45</v>
      </c>
      <c r="D38" s="11" t="s">
        <v>46</v>
      </c>
      <c r="F38" t="s">
        <v>685</v>
      </c>
      <c r="G38" s="1" t="s">
        <v>16</v>
      </c>
      <c r="H38" s="1" t="s">
        <v>531</v>
      </c>
      <c r="I38" s="1"/>
      <c r="K38" s="115">
        <f>SUMIF('CIP Details'!A:A,$A38,'CIP Details'!M:M)</f>
        <v>0</v>
      </c>
      <c r="L38" s="11"/>
      <c r="M38" s="114" t="s">
        <v>749</v>
      </c>
    </row>
    <row r="39" spans="1:13" x14ac:dyDescent="0.25">
      <c r="A39" s="114" t="str">
        <f t="shared" si="8"/>
        <v>Parks, Recreation &amp; LibrariesPublic GroundsConversion of Demore, Dinda, Bittner Jr. Memorial Pool into Splash PadGF</v>
      </c>
      <c r="B39" s="1" t="s">
        <v>366</v>
      </c>
      <c r="C39" s="1">
        <v>45</v>
      </c>
      <c r="D39" s="11" t="s">
        <v>46</v>
      </c>
      <c r="E39"/>
      <c r="F39" t="s">
        <v>686</v>
      </c>
      <c r="G39" s="1" t="s">
        <v>16</v>
      </c>
      <c r="H39" s="1" t="s">
        <v>531</v>
      </c>
      <c r="I39" s="1"/>
      <c r="J39"/>
      <c r="K39" s="115">
        <f>SUMIF('CIP Details'!A:A,$A39,'CIP Details'!M:M)</f>
        <v>0</v>
      </c>
      <c r="L39" s="11" t="s">
        <v>599</v>
      </c>
      <c r="M39" s="114" t="s">
        <v>750</v>
      </c>
    </row>
    <row r="40" spans="1:13" x14ac:dyDescent="0.25">
      <c r="A40" s="114" t="str">
        <f t="shared" si="8"/>
        <v>Parks, Recreation &amp; LibrariesPublic GroundsMini excavator (used)GF</v>
      </c>
      <c r="B40" s="1" t="s">
        <v>366</v>
      </c>
      <c r="C40" s="11">
        <v>45</v>
      </c>
      <c r="D40" s="11" t="s">
        <v>46</v>
      </c>
      <c r="F40" t="s">
        <v>25</v>
      </c>
      <c r="G40" s="1" t="s">
        <v>16</v>
      </c>
      <c r="H40" s="1" t="s">
        <v>531</v>
      </c>
      <c r="I40" s="1"/>
      <c r="K40" s="115">
        <f>SUMIF('CIP Details'!A:A,$A40,'CIP Details'!M:M)</f>
        <v>0</v>
      </c>
      <c r="L40" s="11"/>
    </row>
    <row r="41" spans="1:13" x14ac:dyDescent="0.25">
      <c r="A41" s="114" t="str">
        <f t="shared" si="8"/>
        <v>Parks, Recreation &amp; LibrariesPublic GroundsBall field groomerGF</v>
      </c>
      <c r="B41" s="1" t="s">
        <v>366</v>
      </c>
      <c r="C41" s="11">
        <v>45</v>
      </c>
      <c r="D41" s="11" t="s">
        <v>46</v>
      </c>
      <c r="F41" t="s">
        <v>21</v>
      </c>
      <c r="G41" s="1" t="s">
        <v>16</v>
      </c>
      <c r="H41" s="1" t="s">
        <v>531</v>
      </c>
      <c r="I41" s="1"/>
      <c r="K41" s="115">
        <f>SUMIF('CIP Details'!A:A,$A41,'CIP Details'!M:M)</f>
        <v>0</v>
      </c>
      <c r="L41" s="11"/>
    </row>
    <row r="42" spans="1:13" x14ac:dyDescent="0.25">
      <c r="A42" s="114" t="str">
        <f t="shared" si="8"/>
        <v>Parks, Recreation &amp; LibrariesPublic GroundsGoosinatorGF</v>
      </c>
      <c r="B42" s="1" t="s">
        <v>366</v>
      </c>
      <c r="C42" s="11">
        <v>45</v>
      </c>
      <c r="D42" s="11" t="s">
        <v>46</v>
      </c>
      <c r="F42" t="s">
        <v>353</v>
      </c>
      <c r="G42" s="1" t="s">
        <v>16</v>
      </c>
      <c r="H42" s="1" t="s">
        <v>531</v>
      </c>
      <c r="I42" s="1"/>
      <c r="K42" s="115">
        <f>SUMIF('CIP Details'!A:A,$A42,'CIP Details'!M:M)</f>
        <v>0</v>
      </c>
      <c r="L42" s="11"/>
    </row>
    <row r="43" spans="1:13" x14ac:dyDescent="0.25">
      <c r="A43" s="114" t="str">
        <f>B43&amp;D43&amp;F43&amp;G43</f>
        <v>Parks, Recreation &amp; LibrariesSenior CenterKitchen cabinet replacementGF</v>
      </c>
      <c r="B43" s="1" t="s">
        <v>366</v>
      </c>
      <c r="C43" s="1">
        <v>55</v>
      </c>
      <c r="D43" s="11" t="s">
        <v>85</v>
      </c>
      <c r="E43"/>
      <c r="F43" t="s">
        <v>356</v>
      </c>
      <c r="G43" s="1" t="s">
        <v>16</v>
      </c>
      <c r="H43" s="1" t="s">
        <v>531</v>
      </c>
      <c r="I43" s="1"/>
      <c r="J43"/>
      <c r="K43" s="115">
        <f>SUMIF('CIP Details'!A:A,$A43,'CIP Details'!M:M)</f>
        <v>0</v>
      </c>
      <c r="L43" s="11" t="s">
        <v>599</v>
      </c>
      <c r="M43" s="114" t="s">
        <v>753</v>
      </c>
    </row>
    <row r="44" spans="1:13" x14ac:dyDescent="0.25">
      <c r="A44" s="114" t="str">
        <f>B44&amp;D44&amp;F44&amp;G44</f>
        <v>Parks, Recreation &amp; LibrariesSocial ServicesSocial Services VanGF</v>
      </c>
      <c r="B44" s="1" t="s">
        <v>366</v>
      </c>
      <c r="C44" s="1">
        <v>54</v>
      </c>
      <c r="D44" s="11" t="s">
        <v>693</v>
      </c>
      <c r="F44" t="s">
        <v>692</v>
      </c>
      <c r="G44" s="1" t="s">
        <v>16</v>
      </c>
      <c r="H44" s="1" t="s">
        <v>531</v>
      </c>
      <c r="I44" s="1" t="s">
        <v>562</v>
      </c>
      <c r="K44" s="115">
        <f>SUMIF('CIP Details'!A:A,$A44,'CIP Details'!M:M)</f>
        <v>0</v>
      </c>
      <c r="L44" s="11"/>
    </row>
    <row r="45" spans="1:13" x14ac:dyDescent="0.25">
      <c r="A45" s="114" t="str">
        <f t="shared" ref="A45:A52" si="9">B45&amp;D45&amp;F45&amp;G45</f>
        <v>SchoolsSchoolsFire Alarm Upgrades - McGeeGF</v>
      </c>
      <c r="B45" s="1" t="s">
        <v>1</v>
      </c>
      <c r="C45" s="11">
        <v>61</v>
      </c>
      <c r="D45" s="11" t="s">
        <v>1</v>
      </c>
      <c r="F45" s="26" t="s">
        <v>200</v>
      </c>
      <c r="G45" s="31" t="s">
        <v>16</v>
      </c>
      <c r="H45" s="1" t="s">
        <v>531</v>
      </c>
      <c r="I45" s="125" t="s">
        <v>537</v>
      </c>
      <c r="K45" s="115">
        <f>SUMIF('CIP Details'!A:A,$A45,'CIP Details'!M:M)</f>
        <v>0</v>
      </c>
      <c r="L45" s="11" t="s">
        <v>599</v>
      </c>
    </row>
    <row r="46" spans="1:13" x14ac:dyDescent="0.25">
      <c r="A46" s="114" t="str">
        <f t="shared" si="9"/>
        <v>SchoolsSchoolsVans - capitalGF</v>
      </c>
      <c r="B46" s="11" t="s">
        <v>1</v>
      </c>
      <c r="C46" s="123">
        <v>61</v>
      </c>
      <c r="D46" s="11" t="s">
        <v>1</v>
      </c>
      <c r="F46" t="s">
        <v>506</v>
      </c>
      <c r="G46" s="1" t="s">
        <v>16</v>
      </c>
      <c r="H46" s="1" t="s">
        <v>522</v>
      </c>
      <c r="I46" s="1"/>
      <c r="K46" s="115">
        <f>SUMIF('CIP Details'!A:A,$A46,'CIP Details'!M:M)</f>
        <v>0</v>
      </c>
      <c r="L46" s="11"/>
    </row>
    <row r="47" spans="1:13" x14ac:dyDescent="0.25">
      <c r="A47" s="114" t="str">
        <f>B47&amp;D47&amp;F47&amp;G47</f>
        <v>SchoolsSchoolsWillard Softball Field ImprovementsGF</v>
      </c>
      <c r="B47" s="1" t="s">
        <v>1</v>
      </c>
      <c r="C47" s="11">
        <v>61</v>
      </c>
      <c r="D47" s="1" t="s">
        <v>1</v>
      </c>
      <c r="F47" t="s">
        <v>361</v>
      </c>
      <c r="G47" s="1" t="s">
        <v>16</v>
      </c>
      <c r="H47" s="1" t="s">
        <v>531</v>
      </c>
      <c r="I47" s="1"/>
      <c r="K47" s="115">
        <f>SUMIF('CIP Details'!A:A,$A47,'CIP Details'!M:M)</f>
        <v>0</v>
      </c>
      <c r="L47" s="11"/>
    </row>
    <row r="48" spans="1:13" x14ac:dyDescent="0.25">
      <c r="A48" s="114" t="str">
        <f>B48&amp;D48&amp;F48&amp;G48</f>
        <v>SchoolsSchoolsGriswold Pulcini/Garrity Baseball Field ImprovementsGF</v>
      </c>
      <c r="B48" s="1" t="s">
        <v>1</v>
      </c>
      <c r="C48" s="11">
        <v>61</v>
      </c>
      <c r="D48" s="11" t="s">
        <v>1</v>
      </c>
      <c r="F48" t="s">
        <v>484</v>
      </c>
      <c r="G48" s="1" t="s">
        <v>16</v>
      </c>
      <c r="H48" s="1" t="s">
        <v>531</v>
      </c>
      <c r="I48" s="1"/>
      <c r="K48" s="115">
        <f>SUMIF('CIP Details'!A:A,$A48,'CIP Details'!M:M)</f>
        <v>0</v>
      </c>
      <c r="L48" s="11"/>
    </row>
    <row r="49" spans="1:13" x14ac:dyDescent="0.25">
      <c r="A49" s="114" t="str">
        <f t="shared" si="9"/>
        <v>SchoolsSchoolsPhones for all four schools (ex BHS, but integrated with BHS) - capitalGF</v>
      </c>
      <c r="B49" s="1" t="s">
        <v>1</v>
      </c>
      <c r="C49" s="11">
        <v>61</v>
      </c>
      <c r="D49" s="11" t="s">
        <v>1</v>
      </c>
      <c r="F49" s="26" t="s">
        <v>508</v>
      </c>
      <c r="G49" s="31" t="s">
        <v>16</v>
      </c>
      <c r="H49" s="1" t="s">
        <v>531</v>
      </c>
      <c r="I49" s="1"/>
      <c r="K49" s="115">
        <f>SUMIF('CIP Details'!A:A,$A49,'CIP Details'!M:M)</f>
        <v>0</v>
      </c>
      <c r="L49" s="11"/>
      <c r="M49" s="114" t="s">
        <v>751</v>
      </c>
    </row>
    <row r="50" spans="1:13" x14ac:dyDescent="0.25">
      <c r="A50" s="114" t="str">
        <f>B50&amp;D50&amp;F50&amp;G50</f>
        <v>SchoolsSchoolsSand &amp; refinish gym flooring - all schools (ex BHS)GF</v>
      </c>
      <c r="B50" s="1" t="s">
        <v>1</v>
      </c>
      <c r="C50" s="11">
        <v>61</v>
      </c>
      <c r="D50" s="11" t="s">
        <v>1</v>
      </c>
      <c r="F50" t="s">
        <v>703</v>
      </c>
      <c r="G50" s="1" t="s">
        <v>16</v>
      </c>
      <c r="H50" s="1" t="s">
        <v>531</v>
      </c>
      <c r="I50" s="1"/>
      <c r="K50" s="115">
        <f>SUMIF('CIP Details'!A:A,$A50,'CIP Details'!M:M)</f>
        <v>0</v>
      </c>
      <c r="L50" s="11"/>
    </row>
    <row r="51" spans="1:13" x14ac:dyDescent="0.25">
      <c r="A51" s="114" t="str">
        <f t="shared" si="9"/>
        <v>SchoolsSchoolsLighting control upgrades - BHSGF</v>
      </c>
      <c r="B51" s="1" t="s">
        <v>1</v>
      </c>
      <c r="C51" s="11">
        <v>61</v>
      </c>
      <c r="D51" s="11" t="s">
        <v>1</v>
      </c>
      <c r="F51" s="26" t="s">
        <v>704</v>
      </c>
      <c r="G51" s="31" t="s">
        <v>16</v>
      </c>
      <c r="H51" s="1" t="s">
        <v>531</v>
      </c>
      <c r="I51" s="1"/>
      <c r="K51" s="115">
        <f>SUMIF('CIP Details'!A:A,$A51,'CIP Details'!M:M)</f>
        <v>0</v>
      </c>
      <c r="L51" s="11"/>
    </row>
    <row r="52" spans="1:13" x14ac:dyDescent="0.25">
      <c r="A52" s="114" t="str">
        <f t="shared" si="9"/>
        <v>SchoolsSchoolsCooling tower upgradesGF</v>
      </c>
      <c r="B52" s="1" t="s">
        <v>1</v>
      </c>
      <c r="C52" s="11">
        <v>61</v>
      </c>
      <c r="D52" s="11" t="s">
        <v>1</v>
      </c>
      <c r="F52" s="26" t="s">
        <v>698</v>
      </c>
      <c r="G52" s="31" t="s">
        <v>16</v>
      </c>
      <c r="H52" s="1" t="s">
        <v>531</v>
      </c>
      <c r="I52" s="1"/>
      <c r="K52" s="115">
        <f>SUMIF('CIP Details'!A:A,$A52,'CIP Details'!M:M)</f>
        <v>0</v>
      </c>
      <c r="L52" s="11"/>
    </row>
    <row r="53" spans="1:13" x14ac:dyDescent="0.25">
      <c r="L53" s="11"/>
    </row>
    <row r="54" spans="1:13" ht="15.75" thickBot="1" x14ac:dyDescent="0.3">
      <c r="K54" s="116">
        <f>SUM(K3:K53)</f>
        <v>151419</v>
      </c>
    </row>
    <row r="55" spans="1:13" ht="15.75" thickTop="1" x14ac:dyDescent="0.25">
      <c r="I55" s="176" t="s">
        <v>740</v>
      </c>
      <c r="J55" s="177"/>
      <c r="K55" s="178">
        <f>K54-'CIP Details'!M370</f>
        <v>-123000</v>
      </c>
    </row>
    <row r="56" spans="1:13" ht="15.75" thickBot="1" x14ac:dyDescent="0.3"/>
    <row r="57" spans="1:13" ht="15.75" thickBot="1" x14ac:dyDescent="0.3">
      <c r="I57" s="11" t="s">
        <v>742</v>
      </c>
      <c r="L57" s="179">
        <f>-SUMIF(L3:L53,"x",K3:K53)</f>
        <v>0</v>
      </c>
    </row>
    <row r="58" spans="1:13" ht="15.75" thickBot="1" x14ac:dyDescent="0.3"/>
    <row r="59" spans="1:13" ht="15.75" thickBot="1" x14ac:dyDescent="0.3">
      <c r="I59" s="180" t="s">
        <v>743</v>
      </c>
      <c r="J59" s="181"/>
      <c r="K59" s="182">
        <f>K54+L57</f>
        <v>151419</v>
      </c>
    </row>
  </sheetData>
  <customSheetViews>
    <customSheetView guid="{BB410D8C-36DE-400F-AB69-DB51CF9CA663}" scale="110" showPageBreaks="1" fitToPage="1" printArea="1" state="hidden">
      <pane xSplit="5.9972027972027977" ySplit="2" topLeftCell="G3" activePane="bottomRight" state="frozen"/>
      <selection pane="bottomRight" activeCell="I24" sqref="I24"/>
      <pageMargins left="0.3" right="0.3" top="0.3" bottom="0.3" header="0" footer="0"/>
      <pageSetup scale="53" orientation="landscape" r:id="rId1"/>
      <headerFooter>
        <oddFooter>&amp;R&amp;D</oddFooter>
      </headerFooter>
    </customSheetView>
  </customSheetViews>
  <conditionalFormatting sqref="L3:L53">
    <cfRule type="containsText" dxfId="0" priority="2" operator="containsText" text="x">
      <formula>NOT(ISERROR(SEARCH("x",L3)))</formula>
    </cfRule>
  </conditionalFormatting>
  <pageMargins left="0.3" right="0.3" top="0.3" bottom="0.3" header="0" footer="0"/>
  <pageSetup scale="53" orientation="landscape" r:id="rId2"/>
  <headerFooter>
    <oddFooter>&amp;R&amp;D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1"/>
  <sheetViews>
    <sheetView zoomScale="130" zoomScaleNormal="130" workbookViewId="0">
      <pane xSplit="6" ySplit="1" topLeftCell="G2" activePane="bottomRight" state="frozen"/>
      <selection pane="topRight" activeCell="G1" sqref="G1"/>
      <selection pane="bottomLeft" activeCell="A2" sqref="A2"/>
      <selection pane="bottomRight" activeCell="A2" sqref="A2"/>
    </sheetView>
  </sheetViews>
  <sheetFormatPr defaultColWidth="9.140625" defaultRowHeight="15" outlineLevelCol="1" x14ac:dyDescent="0.25"/>
  <cols>
    <col min="1" max="1" width="9.140625" style="114" outlineLevel="1"/>
    <col min="2" max="2" width="9.140625" style="11" outlineLevel="1"/>
    <col min="3" max="3" width="9.140625" style="114"/>
    <col min="4" max="4" width="9.140625" style="11"/>
    <col min="5" max="6" width="9.140625" style="114"/>
    <col min="7" max="9" width="9.140625" style="11"/>
    <col min="10" max="16384" width="9.140625" style="114"/>
  </cols>
  <sheetData/>
  <customSheetViews>
    <customSheetView guid="{BB410D8C-36DE-400F-AB69-DB51CF9CA663}" scale="130" fitToPage="1" state="hidden">
      <pane xSplit="6" ySplit="1" topLeftCell="G2" activePane="bottomRight" state="frozen"/>
      <selection pane="bottomRight" activeCell="A2" sqref="A2"/>
      <pageMargins left="0.4" right="0.4" top="0.4" bottom="0.4" header="0" footer="0"/>
      <pageSetup scale="62" orientation="landscape" r:id="rId1"/>
      <headerFooter>
        <oddFooter>&amp;R&amp;D</oddFooter>
      </headerFooter>
    </customSheetView>
  </customSheetViews>
  <pageMargins left="0.4" right="0.4" top="0.4" bottom="0.4" header="0" footer="0"/>
  <pageSetup scale="62" orientation="landscape" r:id="rId2"/>
  <headerFooter>
    <oddFooter>&amp;R&amp;D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M204"/>
  <sheetViews>
    <sheetView showGridLines="0" topLeftCell="C1" zoomScale="110" zoomScaleNormal="110" workbookViewId="0">
      <selection activeCell="A2" sqref="A2"/>
    </sheetView>
  </sheetViews>
  <sheetFormatPr defaultColWidth="9.140625" defaultRowHeight="15" outlineLevelCol="1" x14ac:dyDescent="0.25"/>
  <cols>
    <col min="1" max="1" width="9.140625" style="114" hidden="1" customWidth="1" outlineLevel="1"/>
    <col min="2" max="2" width="35.5703125" style="11" hidden="1" customWidth="1" outlineLevel="1"/>
    <col min="3" max="3" width="8.7109375" style="114" customWidth="1" collapsed="1"/>
    <col min="4" max="4" width="22.42578125" style="11" bestFit="1" customWidth="1"/>
    <col min="5" max="5" width="2.7109375" style="114" customWidth="1"/>
    <col min="6" max="6" width="99.28515625" style="114" customWidth="1"/>
    <col min="7" max="7" width="18.28515625" style="11" customWidth="1"/>
    <col min="8" max="9" width="16" style="11" customWidth="1"/>
    <col min="10" max="10" width="2.7109375" style="114" customWidth="1"/>
    <col min="11" max="11" width="15.140625" style="141" bestFit="1" customWidth="1"/>
    <col min="12" max="12" width="93.5703125" style="114" bestFit="1" customWidth="1"/>
    <col min="13" max="16384" width="9.140625" style="114"/>
  </cols>
  <sheetData>
    <row r="1" spans="2:12" ht="21" x14ac:dyDescent="0.25">
      <c r="C1" s="191" t="s">
        <v>62</v>
      </c>
    </row>
    <row r="2" spans="2:12" ht="21" x14ac:dyDescent="0.25">
      <c r="C2" s="191" t="s">
        <v>865</v>
      </c>
    </row>
    <row r="3" spans="2:12" x14ac:dyDescent="0.25">
      <c r="C3" s="192" t="s">
        <v>768</v>
      </c>
    </row>
    <row r="5" spans="2:12" x14ac:dyDescent="0.25">
      <c r="B5" s="1"/>
      <c r="C5" s="1"/>
      <c r="E5"/>
      <c r="F5"/>
      <c r="G5" s="1"/>
      <c r="H5" s="1"/>
      <c r="I5" s="1"/>
      <c r="J5"/>
    </row>
    <row r="6" spans="2:12" ht="18.75" x14ac:dyDescent="0.3">
      <c r="B6" s="1"/>
      <c r="C6" s="183" t="s">
        <v>754</v>
      </c>
      <c r="E6"/>
      <c r="F6"/>
      <c r="G6" s="1"/>
      <c r="H6" s="1"/>
      <c r="I6" s="1"/>
      <c r="J6"/>
    </row>
    <row r="7" spans="2:12" customFormat="1" ht="18.75" x14ac:dyDescent="0.3">
      <c r="B7" s="3" t="s">
        <v>433</v>
      </c>
      <c r="C7" s="127" t="s">
        <v>502</v>
      </c>
      <c r="D7" s="127" t="s">
        <v>206</v>
      </c>
      <c r="E7" s="126"/>
      <c r="F7" s="127" t="s">
        <v>434</v>
      </c>
      <c r="G7" s="127" t="s">
        <v>270</v>
      </c>
      <c r="H7" s="135" t="s">
        <v>530</v>
      </c>
      <c r="I7" s="135" t="s">
        <v>536</v>
      </c>
      <c r="J7" s="126"/>
      <c r="K7" s="189" t="s">
        <v>4</v>
      </c>
    </row>
    <row r="8" spans="2:12" x14ac:dyDescent="0.25">
      <c r="B8" s="1"/>
      <c r="C8" s="11"/>
      <c r="F8"/>
      <c r="G8" s="1"/>
      <c r="H8" s="1"/>
      <c r="I8" s="1"/>
      <c r="J8" s="236"/>
      <c r="L8" s="141"/>
    </row>
    <row r="9" spans="2:12" x14ac:dyDescent="0.25">
      <c r="B9" s="1"/>
      <c r="C9" s="11"/>
      <c r="F9"/>
      <c r="G9" s="1"/>
      <c r="H9" s="1"/>
      <c r="I9" s="1"/>
      <c r="J9" s="236"/>
      <c r="L9" s="141"/>
    </row>
    <row r="10" spans="2:12" x14ac:dyDescent="0.25">
      <c r="B10" s="1"/>
      <c r="C10" s="11"/>
      <c r="F10"/>
      <c r="G10" s="1"/>
      <c r="H10" s="1"/>
      <c r="I10" s="1"/>
      <c r="J10" s="236"/>
      <c r="L10" s="141"/>
    </row>
    <row r="11" spans="2:12" x14ac:dyDescent="0.25">
      <c r="B11" s="1"/>
      <c r="C11" s="11"/>
      <c r="F11"/>
      <c r="G11" s="1"/>
      <c r="H11" s="1"/>
      <c r="I11" s="1"/>
      <c r="J11" s="236"/>
      <c r="L11" s="141"/>
    </row>
    <row r="12" spans="2:12" x14ac:dyDescent="0.25">
      <c r="B12" s="1"/>
      <c r="C12" s="11"/>
      <c r="F12"/>
      <c r="G12" s="1"/>
      <c r="H12" s="1"/>
      <c r="I12" s="1"/>
      <c r="J12" s="236"/>
      <c r="L12" s="141"/>
    </row>
    <row r="13" spans="2:12" x14ac:dyDescent="0.25">
      <c r="B13" s="1"/>
      <c r="C13" s="11"/>
      <c r="F13"/>
      <c r="G13" s="1"/>
      <c r="H13" s="1"/>
      <c r="I13" s="1"/>
      <c r="J13" s="236"/>
      <c r="L13" s="141"/>
    </row>
    <row r="14" spans="2:12" x14ac:dyDescent="0.25">
      <c r="B14" s="1"/>
      <c r="C14" s="11"/>
      <c r="F14"/>
      <c r="G14" s="1"/>
      <c r="H14" s="1"/>
      <c r="I14" s="1"/>
      <c r="J14" s="236"/>
      <c r="L14" s="141"/>
    </row>
    <row r="15" spans="2:12" x14ac:dyDescent="0.25">
      <c r="B15" s="1"/>
      <c r="C15" s="11"/>
      <c r="F15"/>
      <c r="G15" s="1"/>
      <c r="H15" s="1"/>
      <c r="I15" s="1"/>
      <c r="J15" s="236"/>
      <c r="L15" s="141"/>
    </row>
    <row r="16" spans="2:12" x14ac:dyDescent="0.25">
      <c r="B16" s="1"/>
      <c r="C16" s="11"/>
      <c r="F16"/>
      <c r="G16" s="1"/>
      <c r="H16" s="1"/>
      <c r="I16" s="1"/>
      <c r="J16" s="236"/>
      <c r="L16" s="141"/>
    </row>
    <row r="17" spans="2:12" x14ac:dyDescent="0.25">
      <c r="B17" s="1"/>
      <c r="C17" s="11"/>
      <c r="F17"/>
      <c r="G17" s="1"/>
      <c r="H17" s="1"/>
      <c r="I17" s="1"/>
      <c r="J17" s="236"/>
      <c r="L17" s="141"/>
    </row>
    <row r="18" spans="2:12" x14ac:dyDescent="0.25">
      <c r="B18" s="1"/>
      <c r="C18" s="11"/>
      <c r="F18"/>
      <c r="G18" s="1"/>
      <c r="H18" s="1"/>
      <c r="I18" s="1"/>
      <c r="J18" s="236"/>
      <c r="L18" s="141"/>
    </row>
    <row r="19" spans="2:12" x14ac:dyDescent="0.25">
      <c r="B19" s="1"/>
      <c r="C19" s="11"/>
      <c r="F19"/>
      <c r="G19" s="1"/>
      <c r="H19" s="1"/>
      <c r="I19" s="1"/>
      <c r="J19" s="236"/>
      <c r="L19" s="141"/>
    </row>
    <row r="20" spans="2:12" x14ac:dyDescent="0.25">
      <c r="B20" s="1"/>
      <c r="C20" s="11"/>
      <c r="F20"/>
      <c r="G20" s="1"/>
      <c r="H20" s="1"/>
      <c r="I20" s="1"/>
      <c r="J20" s="236"/>
      <c r="L20" s="141"/>
    </row>
    <row r="21" spans="2:12" x14ac:dyDescent="0.25">
      <c r="B21" s="1"/>
      <c r="C21" s="11"/>
      <c r="F21"/>
      <c r="G21" s="1"/>
      <c r="H21" s="1"/>
      <c r="I21" s="1"/>
      <c r="J21" s="236"/>
      <c r="L21" s="141"/>
    </row>
    <row r="22" spans="2:12" x14ac:dyDescent="0.25">
      <c r="B22" s="1"/>
      <c r="C22" s="11"/>
      <c r="F22"/>
      <c r="G22" s="1"/>
      <c r="H22" s="1"/>
      <c r="I22" s="1"/>
      <c r="J22" s="236"/>
      <c r="L22" s="141"/>
    </row>
    <row r="23" spans="2:12" x14ac:dyDescent="0.25">
      <c r="B23" s="1"/>
      <c r="C23" s="11"/>
      <c r="F23"/>
      <c r="G23" s="1"/>
      <c r="H23" s="1"/>
      <c r="I23" s="1"/>
      <c r="J23" s="236"/>
      <c r="L23" s="141"/>
    </row>
    <row r="24" spans="2:12" x14ac:dyDescent="0.25">
      <c r="B24" s="1"/>
      <c r="C24" s="11"/>
      <c r="F24"/>
      <c r="G24" s="1"/>
      <c r="H24" s="1"/>
      <c r="I24" s="1"/>
      <c r="J24" s="236"/>
      <c r="L24" s="141"/>
    </row>
    <row r="25" spans="2:12" x14ac:dyDescent="0.25">
      <c r="B25" s="1"/>
      <c r="C25" s="11"/>
      <c r="F25"/>
      <c r="G25" s="1"/>
      <c r="H25" s="1"/>
      <c r="I25" s="1"/>
      <c r="J25" s="236"/>
      <c r="L25" s="141"/>
    </row>
    <row r="26" spans="2:12" x14ac:dyDescent="0.25">
      <c r="B26" s="1"/>
      <c r="C26" s="11"/>
      <c r="F26"/>
      <c r="G26" s="1"/>
      <c r="H26" s="1"/>
      <c r="I26" s="1"/>
      <c r="J26" s="236"/>
      <c r="L26" s="141"/>
    </row>
    <row r="27" spans="2:12" x14ac:dyDescent="0.25">
      <c r="B27" s="1"/>
      <c r="C27" s="11"/>
      <c r="F27"/>
      <c r="G27" s="1"/>
      <c r="H27" s="1"/>
      <c r="I27" s="1"/>
      <c r="J27" s="236"/>
      <c r="L27" s="141"/>
    </row>
    <row r="28" spans="2:12" x14ac:dyDescent="0.25">
      <c r="B28" s="1"/>
      <c r="C28" s="11"/>
      <c r="F28"/>
      <c r="G28" s="1"/>
      <c r="H28" s="1"/>
      <c r="I28" s="1"/>
      <c r="J28" s="236"/>
      <c r="L28" s="141"/>
    </row>
    <row r="29" spans="2:12" x14ac:dyDescent="0.25">
      <c r="B29" s="1"/>
      <c r="C29" s="11"/>
      <c r="H29" s="1"/>
      <c r="I29" s="1"/>
      <c r="J29" s="236"/>
    </row>
    <row r="30" spans="2:12" x14ac:dyDescent="0.25">
      <c r="B30" s="1"/>
      <c r="C30" s="11"/>
      <c r="F30" s="24"/>
      <c r="G30" s="1"/>
      <c r="H30" s="1"/>
      <c r="I30" s="1"/>
      <c r="J30" s="236"/>
    </row>
    <row r="31" spans="2:12" x14ac:dyDescent="0.25">
      <c r="B31" s="1"/>
      <c r="C31" s="11"/>
      <c r="F31" s="24"/>
      <c r="G31" s="1"/>
      <c r="H31" s="1"/>
      <c r="I31" s="1"/>
      <c r="J31" s="236"/>
    </row>
    <row r="32" spans="2:12" x14ac:dyDescent="0.25">
      <c r="B32" s="1"/>
      <c r="C32" s="11"/>
      <c r="F32" s="25"/>
      <c r="G32" s="1"/>
      <c r="H32" s="1"/>
      <c r="I32" s="1"/>
      <c r="J32" s="236"/>
    </row>
    <row r="33" spans="2:11" x14ac:dyDescent="0.25">
      <c r="B33" s="1"/>
      <c r="C33" s="1"/>
      <c r="E33"/>
      <c r="F33"/>
      <c r="G33" s="1"/>
      <c r="H33" s="1"/>
      <c r="I33" s="1"/>
      <c r="J33" s="238"/>
    </row>
    <row r="34" spans="2:11" ht="19.5" thickBot="1" x14ac:dyDescent="0.3">
      <c r="C34" s="186" t="s">
        <v>769</v>
      </c>
      <c r="D34" s="187"/>
      <c r="E34" s="188"/>
      <c r="F34" s="188"/>
      <c r="G34" s="187"/>
      <c r="H34" s="187"/>
      <c r="I34" s="187"/>
      <c r="J34" s="188"/>
      <c r="K34" s="190">
        <f>SUM(K8:K33)</f>
        <v>0</v>
      </c>
    </row>
    <row r="35" spans="2:11" ht="15.75" thickTop="1" x14ac:dyDescent="0.25">
      <c r="K35" s="233" t="str">
        <f>IF(K34='CIP Details'!M370,"","OUT OF BALANCE")</f>
        <v>OUT OF BALANCE</v>
      </c>
    </row>
    <row r="36" spans="2:11" ht="15.75" x14ac:dyDescent="0.25">
      <c r="C36" s="185" t="s">
        <v>755</v>
      </c>
    </row>
    <row r="37" spans="2:11" x14ac:dyDescent="0.25">
      <c r="B37" s="1"/>
      <c r="C37" s="1"/>
      <c r="E37"/>
      <c r="F37"/>
      <c r="G37" s="1"/>
      <c r="H37" s="1"/>
      <c r="I37" s="1"/>
      <c r="J37"/>
    </row>
    <row r="38" spans="2:11" x14ac:dyDescent="0.25">
      <c r="B38" s="1"/>
      <c r="C38" s="1"/>
      <c r="E38"/>
      <c r="F38"/>
      <c r="G38" s="1"/>
      <c r="H38" s="1"/>
      <c r="I38" s="1"/>
      <c r="J38"/>
    </row>
    <row r="39" spans="2:11" x14ac:dyDescent="0.25">
      <c r="B39" s="1"/>
      <c r="C39" s="1"/>
      <c r="E39"/>
      <c r="F39"/>
      <c r="G39" s="1"/>
      <c r="H39" s="1"/>
      <c r="I39" s="1"/>
      <c r="J39"/>
    </row>
    <row r="40" spans="2:11" x14ac:dyDescent="0.25">
      <c r="B40" s="1"/>
      <c r="C40" s="1"/>
      <c r="E40"/>
      <c r="F40"/>
      <c r="G40" s="1"/>
      <c r="H40" s="1"/>
      <c r="I40" s="1"/>
      <c r="J40"/>
    </row>
    <row r="41" spans="2:11" x14ac:dyDescent="0.25">
      <c r="B41" s="1"/>
      <c r="C41" s="1"/>
      <c r="E41"/>
      <c r="F41"/>
      <c r="G41" s="1"/>
      <c r="H41" s="1"/>
      <c r="I41" s="1"/>
      <c r="J41"/>
    </row>
    <row r="42" spans="2:11" x14ac:dyDescent="0.25">
      <c r="B42" s="1"/>
      <c r="C42" s="1"/>
      <c r="E42"/>
      <c r="F42"/>
      <c r="G42" s="1"/>
      <c r="H42" s="1"/>
      <c r="I42" s="1"/>
      <c r="J42"/>
    </row>
    <row r="43" spans="2:11" x14ac:dyDescent="0.25">
      <c r="B43" s="1"/>
      <c r="C43" s="1"/>
      <c r="E43"/>
      <c r="F43"/>
      <c r="G43" s="1"/>
      <c r="H43" s="1"/>
      <c r="I43" s="1"/>
      <c r="J43"/>
    </row>
    <row r="44" spans="2:11" x14ac:dyDescent="0.25">
      <c r="B44" s="1"/>
      <c r="C44" s="1"/>
      <c r="E44"/>
      <c r="F44"/>
      <c r="G44" s="1"/>
      <c r="H44" s="1"/>
      <c r="I44" s="1"/>
      <c r="J44"/>
    </row>
    <row r="45" spans="2:11" x14ac:dyDescent="0.25">
      <c r="B45" s="1"/>
      <c r="C45" s="1"/>
      <c r="E45"/>
      <c r="F45"/>
      <c r="G45" s="1"/>
      <c r="H45" s="1"/>
      <c r="I45" s="1"/>
      <c r="J45"/>
    </row>
    <row r="46" spans="2:11" x14ac:dyDescent="0.25">
      <c r="B46" s="1"/>
      <c r="C46" s="31"/>
      <c r="E46" s="26"/>
      <c r="F46" s="201"/>
      <c r="G46" s="31"/>
      <c r="H46" s="1"/>
      <c r="I46" s="1"/>
      <c r="J46"/>
    </row>
    <row r="47" spans="2:11" x14ac:dyDescent="0.25">
      <c r="B47" s="1"/>
      <c r="C47" s="11"/>
      <c r="F47"/>
      <c r="G47" s="1"/>
      <c r="H47" s="1"/>
      <c r="I47" s="1"/>
    </row>
    <row r="48" spans="2:11" x14ac:dyDescent="0.25">
      <c r="B48" s="1"/>
      <c r="C48" s="11"/>
      <c r="F48"/>
      <c r="G48" s="31"/>
      <c r="H48" s="1"/>
      <c r="I48" s="1"/>
      <c r="J48"/>
    </row>
    <row r="49" spans="2:11" x14ac:dyDescent="0.25">
      <c r="B49" s="1"/>
      <c r="C49" s="1"/>
      <c r="E49"/>
      <c r="F49"/>
      <c r="G49" s="1"/>
      <c r="H49" s="1"/>
      <c r="I49" s="1"/>
      <c r="J49"/>
    </row>
    <row r="50" spans="2:11" x14ac:dyDescent="0.25">
      <c r="B50" s="1"/>
      <c r="C50" s="1"/>
      <c r="E50"/>
      <c r="F50"/>
      <c r="G50" s="1"/>
      <c r="H50" s="1"/>
      <c r="I50" s="1"/>
      <c r="J50"/>
    </row>
    <row r="51" spans="2:11" x14ac:dyDescent="0.25">
      <c r="B51" s="1"/>
      <c r="C51" s="1"/>
      <c r="E51"/>
      <c r="F51"/>
      <c r="G51" s="1"/>
      <c r="H51" s="1"/>
      <c r="I51" s="1"/>
      <c r="J51"/>
    </row>
    <row r="52" spans="2:11" x14ac:dyDescent="0.25">
      <c r="B52" s="1"/>
      <c r="C52" s="1"/>
      <c r="F52"/>
      <c r="G52" s="1"/>
      <c r="H52" s="1"/>
      <c r="I52" s="1"/>
      <c r="J52"/>
    </row>
    <row r="53" spans="2:11" x14ac:dyDescent="0.25">
      <c r="B53" s="1"/>
      <c r="C53" s="11"/>
      <c r="F53" s="26"/>
      <c r="G53" s="31"/>
      <c r="H53" s="1"/>
      <c r="I53" s="125"/>
    </row>
    <row r="54" spans="2:11" x14ac:dyDescent="0.25">
      <c r="B54" s="1"/>
      <c r="C54" s="11"/>
      <c r="F54" s="26"/>
      <c r="G54" s="31"/>
      <c r="H54" s="235" t="s">
        <v>818</v>
      </c>
      <c r="I54" s="125"/>
      <c r="K54" s="234">
        <f>SUM(K37:K53)</f>
        <v>0</v>
      </c>
    </row>
    <row r="55" spans="2:11" x14ac:dyDescent="0.25">
      <c r="B55" s="1"/>
      <c r="C55" s="11"/>
      <c r="F55" s="26"/>
      <c r="G55" s="31"/>
      <c r="H55" s="1"/>
      <c r="I55" s="125"/>
    </row>
    <row r="56" spans="2:11" x14ac:dyDescent="0.25">
      <c r="B56" s="1"/>
      <c r="C56" s="1"/>
      <c r="E56"/>
      <c r="F56"/>
      <c r="G56" s="1"/>
      <c r="H56" s="1"/>
      <c r="I56" s="1"/>
      <c r="J56"/>
    </row>
    <row r="57" spans="2:11" x14ac:dyDescent="0.25">
      <c r="B57" s="1"/>
      <c r="C57" s="1"/>
      <c r="E57"/>
      <c r="F57"/>
      <c r="G57" s="1"/>
      <c r="H57" s="1"/>
      <c r="I57" s="1"/>
      <c r="J57"/>
    </row>
    <row r="58" spans="2:11" x14ac:dyDescent="0.25">
      <c r="B58" s="1"/>
      <c r="C58" s="1"/>
      <c r="E58" s="26"/>
      <c r="F58" s="26"/>
      <c r="G58" s="31"/>
      <c r="H58" s="1"/>
      <c r="I58" s="1"/>
      <c r="J58"/>
    </row>
    <row r="59" spans="2:11" x14ac:dyDescent="0.25">
      <c r="B59" s="1"/>
      <c r="C59" s="31"/>
      <c r="E59" s="26"/>
      <c r="F59" s="26"/>
      <c r="G59" s="31"/>
      <c r="H59" s="1"/>
      <c r="I59" s="1"/>
      <c r="J59"/>
    </row>
    <row r="60" spans="2:11" x14ac:dyDescent="0.25">
      <c r="B60" s="1"/>
      <c r="C60" s="31"/>
      <c r="E60" s="26"/>
      <c r="F60" s="26"/>
      <c r="G60" s="31"/>
      <c r="H60" s="1"/>
      <c r="I60" s="1"/>
      <c r="J60" s="237"/>
    </row>
    <row r="61" spans="2:11" x14ac:dyDescent="0.25">
      <c r="B61" s="1"/>
      <c r="C61" s="11"/>
      <c r="E61" s="26"/>
      <c r="F61"/>
      <c r="G61" s="31"/>
      <c r="H61" s="1"/>
      <c r="I61" s="1"/>
      <c r="J61"/>
    </row>
    <row r="62" spans="2:11" x14ac:dyDescent="0.25">
      <c r="B62" s="1"/>
      <c r="C62" s="11"/>
      <c r="F62"/>
      <c r="G62" s="1"/>
      <c r="H62" s="1"/>
      <c r="I62" s="1"/>
      <c r="J62"/>
    </row>
    <row r="63" spans="2:11" x14ac:dyDescent="0.25">
      <c r="B63" s="1"/>
      <c r="C63" s="11"/>
      <c r="F63"/>
      <c r="G63" s="1"/>
      <c r="H63" s="1"/>
      <c r="I63" s="1"/>
      <c r="J63" s="236"/>
    </row>
    <row r="64" spans="2:11" x14ac:dyDescent="0.25">
      <c r="B64" s="1"/>
      <c r="C64" s="1"/>
      <c r="E64"/>
      <c r="F64"/>
      <c r="G64" s="1"/>
      <c r="H64" s="1"/>
      <c r="I64" s="1"/>
      <c r="J64"/>
    </row>
    <row r="65" spans="2:12" x14ac:dyDescent="0.25">
      <c r="B65" s="1"/>
      <c r="C65" s="1"/>
      <c r="E65"/>
      <c r="F65"/>
      <c r="G65" s="1"/>
      <c r="H65" s="1"/>
      <c r="I65" s="1"/>
      <c r="J65" s="238"/>
    </row>
    <row r="66" spans="2:12" x14ac:dyDescent="0.25">
      <c r="B66" s="1"/>
      <c r="C66" s="11"/>
      <c r="H66" s="1"/>
      <c r="I66" s="1"/>
    </row>
    <row r="67" spans="2:12" x14ac:dyDescent="0.25">
      <c r="B67" s="1"/>
      <c r="C67" s="1"/>
      <c r="E67"/>
      <c r="F67"/>
      <c r="G67" s="1"/>
      <c r="H67" s="1"/>
      <c r="I67" s="1"/>
      <c r="J67" s="238"/>
    </row>
    <row r="68" spans="2:12" x14ac:dyDescent="0.25">
      <c r="B68" s="1"/>
      <c r="C68" s="11"/>
      <c r="F68" s="24"/>
      <c r="G68" s="1"/>
      <c r="H68" s="1"/>
      <c r="I68" s="1"/>
    </row>
    <row r="69" spans="2:12" x14ac:dyDescent="0.25">
      <c r="B69" s="1"/>
      <c r="C69" s="11"/>
      <c r="F69" s="26"/>
      <c r="G69" s="31"/>
      <c r="H69" s="1"/>
      <c r="I69" s="1"/>
    </row>
    <row r="70" spans="2:12" x14ac:dyDescent="0.25">
      <c r="B70" s="1"/>
      <c r="C70" s="11"/>
      <c r="F70" s="24"/>
      <c r="G70" s="1"/>
      <c r="H70" s="1"/>
      <c r="I70" s="1"/>
      <c r="J70" s="236"/>
    </row>
    <row r="71" spans="2:12" x14ac:dyDescent="0.25">
      <c r="B71" s="1"/>
      <c r="C71" s="11"/>
      <c r="F71" s="26"/>
      <c r="G71" s="31"/>
      <c r="H71" s="1"/>
      <c r="I71" s="1"/>
    </row>
    <row r="72" spans="2:12" x14ac:dyDescent="0.25">
      <c r="B72" s="1"/>
      <c r="C72" s="11"/>
      <c r="F72"/>
      <c r="G72" s="1"/>
      <c r="H72" s="1"/>
      <c r="I72" s="1"/>
      <c r="J72"/>
    </row>
    <row r="73" spans="2:12" x14ac:dyDescent="0.25">
      <c r="B73" s="1"/>
      <c r="C73" s="11"/>
      <c r="F73"/>
      <c r="G73" s="1"/>
      <c r="H73" s="1"/>
      <c r="I73" s="1"/>
      <c r="J73"/>
    </row>
    <row r="74" spans="2:12" x14ac:dyDescent="0.25">
      <c r="B74" s="1"/>
      <c r="C74" s="11"/>
      <c r="F74"/>
      <c r="G74" s="1"/>
      <c r="H74" s="1"/>
      <c r="I74" s="1"/>
      <c r="J74" s="236"/>
      <c r="L74" s="257"/>
    </row>
    <row r="75" spans="2:12" x14ac:dyDescent="0.25">
      <c r="B75" s="1"/>
      <c r="C75" s="11"/>
      <c r="F75"/>
      <c r="G75" s="1"/>
      <c r="H75" s="1"/>
      <c r="I75" s="1"/>
      <c r="J75" s="236"/>
    </row>
    <row r="76" spans="2:12" x14ac:dyDescent="0.25">
      <c r="C76" s="123"/>
      <c r="F76"/>
      <c r="G76" s="1"/>
      <c r="H76" s="1"/>
      <c r="I76" s="1"/>
      <c r="J76" s="236"/>
    </row>
    <row r="77" spans="2:12" x14ac:dyDescent="0.25">
      <c r="B77" s="1"/>
      <c r="C77" s="11"/>
      <c r="F77"/>
      <c r="G77" s="1"/>
      <c r="H77" s="1"/>
      <c r="I77" s="1"/>
      <c r="J77" s="236"/>
    </row>
    <row r="78" spans="2:12" x14ac:dyDescent="0.25">
      <c r="B78" s="1"/>
      <c r="C78" s="11"/>
      <c r="F78" s="26"/>
      <c r="G78" s="31"/>
      <c r="H78" s="1"/>
      <c r="I78" s="1"/>
      <c r="J78" s="236"/>
    </row>
    <row r="79" spans="2:12" x14ac:dyDescent="0.25">
      <c r="B79" s="1"/>
      <c r="C79" s="11"/>
      <c r="D79" s="1"/>
      <c r="F79"/>
      <c r="G79" s="1"/>
      <c r="H79" s="1"/>
      <c r="I79" s="1"/>
      <c r="J79"/>
    </row>
    <row r="80" spans="2:12" x14ac:dyDescent="0.25">
      <c r="B80" s="1"/>
      <c r="C80" s="11"/>
      <c r="D80" s="1"/>
      <c r="F80"/>
      <c r="G80" s="1"/>
      <c r="H80" s="1"/>
      <c r="I80" s="1"/>
      <c r="J80"/>
    </row>
    <row r="81" spans="2:12" x14ac:dyDescent="0.25">
      <c r="B81" s="1"/>
      <c r="C81" s="11"/>
      <c r="F81" s="26"/>
      <c r="G81" s="31"/>
      <c r="H81" s="1"/>
      <c r="I81" s="1"/>
      <c r="J81"/>
    </row>
    <row r="82" spans="2:12" x14ac:dyDescent="0.25">
      <c r="B82" s="1"/>
      <c r="C82" s="11"/>
      <c r="F82" s="26"/>
      <c r="G82" s="31"/>
      <c r="H82" s="235" t="s">
        <v>817</v>
      </c>
      <c r="I82" s="1"/>
      <c r="J82"/>
      <c r="K82" s="234">
        <f>SUM(K56:K81)</f>
        <v>0</v>
      </c>
    </row>
    <row r="83" spans="2:12" x14ac:dyDescent="0.25">
      <c r="B83" s="1"/>
      <c r="C83" s="11"/>
      <c r="F83" s="26"/>
      <c r="G83" s="31"/>
      <c r="H83" s="1"/>
      <c r="I83" s="1"/>
      <c r="J83"/>
    </row>
    <row r="84" spans="2:12" x14ac:dyDescent="0.25">
      <c r="B84" s="1"/>
      <c r="C84" s="11"/>
      <c r="F84"/>
      <c r="G84" s="1"/>
      <c r="H84" s="1"/>
      <c r="I84" s="1"/>
      <c r="J84" s="236"/>
    </row>
    <row r="85" spans="2:12" x14ac:dyDescent="0.25">
      <c r="B85" s="1"/>
      <c r="C85" s="11"/>
      <c r="F85"/>
      <c r="G85" s="1"/>
      <c r="H85" s="1"/>
      <c r="I85" s="1"/>
      <c r="J85" s="236"/>
      <c r="L85" s="141"/>
    </row>
    <row r="86" spans="2:12" x14ac:dyDescent="0.25">
      <c r="B86" s="1"/>
      <c r="C86" s="11"/>
      <c r="F86"/>
      <c r="G86" s="1"/>
      <c r="H86" s="1"/>
      <c r="I86" s="31"/>
      <c r="J86" s="236"/>
      <c r="L86" s="141"/>
    </row>
    <row r="87" spans="2:12" x14ac:dyDescent="0.25">
      <c r="B87" s="1"/>
      <c r="C87" s="11"/>
      <c r="F87"/>
      <c r="G87" s="1"/>
      <c r="H87" s="1"/>
      <c r="I87" s="1"/>
      <c r="J87" s="236"/>
    </row>
    <row r="88" spans="2:12" x14ac:dyDescent="0.25">
      <c r="B88" s="1"/>
      <c r="C88" s="11"/>
      <c r="F88"/>
      <c r="G88" s="1"/>
      <c r="H88" s="1"/>
      <c r="I88" s="1"/>
      <c r="J88" s="236"/>
    </row>
    <row r="89" spans="2:12" x14ac:dyDescent="0.25">
      <c r="B89" s="1"/>
      <c r="C89" s="11"/>
      <c r="F89" s="24"/>
      <c r="G89" s="1"/>
      <c r="H89" s="1"/>
      <c r="I89" s="1"/>
      <c r="J89" s="236"/>
    </row>
    <row r="90" spans="2:12" x14ac:dyDescent="0.25">
      <c r="B90" s="1"/>
      <c r="C90" s="11"/>
      <c r="F90" s="24"/>
      <c r="G90" s="1"/>
      <c r="H90" s="1"/>
      <c r="I90" s="1"/>
      <c r="J90" s="236"/>
      <c r="L90" s="163"/>
    </row>
    <row r="91" spans="2:12" x14ac:dyDescent="0.25">
      <c r="B91" s="1"/>
      <c r="C91" s="11"/>
      <c r="F91"/>
      <c r="G91" s="1"/>
      <c r="H91" s="1"/>
      <c r="I91" s="1"/>
      <c r="J91" s="236"/>
    </row>
    <row r="92" spans="2:12" x14ac:dyDescent="0.25">
      <c r="B92" s="1"/>
      <c r="C92" s="1"/>
      <c r="E92"/>
      <c r="F92" s="261"/>
      <c r="G92" s="1"/>
      <c r="H92" s="1"/>
      <c r="I92" s="1"/>
      <c r="J92" s="238"/>
      <c r="L92" s="163"/>
    </row>
    <row r="93" spans="2:12" x14ac:dyDescent="0.25">
      <c r="B93" s="1"/>
      <c r="C93" s="11"/>
      <c r="F93"/>
      <c r="G93" s="1"/>
      <c r="H93" s="1"/>
      <c r="I93" s="1"/>
      <c r="J93" s="236"/>
    </row>
    <row r="94" spans="2:12" x14ac:dyDescent="0.25">
      <c r="B94" s="1"/>
      <c r="C94" s="11"/>
      <c r="F94"/>
      <c r="G94" s="1"/>
      <c r="H94" s="1"/>
      <c r="I94" s="1"/>
      <c r="J94" s="236"/>
    </row>
    <row r="95" spans="2:12" x14ac:dyDescent="0.25">
      <c r="B95" s="1"/>
      <c r="C95" s="11"/>
      <c r="F95"/>
      <c r="G95" s="1"/>
      <c r="H95" s="1"/>
      <c r="I95" s="1"/>
      <c r="J95" s="236"/>
    </row>
    <row r="96" spans="2:12" x14ac:dyDescent="0.25">
      <c r="B96" s="1"/>
      <c r="C96" s="11"/>
      <c r="F96" s="26"/>
      <c r="G96" s="31"/>
      <c r="H96" s="1"/>
      <c r="I96" s="1"/>
      <c r="J96" s="236"/>
      <c r="L96" s="163"/>
    </row>
    <row r="97" spans="2:12" x14ac:dyDescent="0.25">
      <c r="B97" s="1"/>
      <c r="C97" s="11"/>
      <c r="F97" s="26"/>
      <c r="G97" s="31"/>
      <c r="H97" s="1" t="s">
        <v>864</v>
      </c>
      <c r="I97" s="1"/>
      <c r="J97"/>
      <c r="K97" s="234">
        <f>SUM(K84:K96)</f>
        <v>0</v>
      </c>
    </row>
    <row r="98" spans="2:12" x14ac:dyDescent="0.25">
      <c r="B98" s="1"/>
      <c r="C98" s="11"/>
      <c r="F98" s="26"/>
      <c r="G98" s="31"/>
      <c r="H98" s="1"/>
      <c r="I98" s="1"/>
      <c r="J98"/>
    </row>
    <row r="99" spans="2:12" ht="15.75" thickBot="1" x14ac:dyDescent="0.3">
      <c r="H99" s="114" t="s">
        <v>819</v>
      </c>
      <c r="K99" s="134">
        <f>K82+K54+K97</f>
        <v>0</v>
      </c>
    </row>
    <row r="100" spans="2:12" ht="15.75" thickTop="1" x14ac:dyDescent="0.25"/>
    <row r="101" spans="2:12" ht="16.5" thickBot="1" x14ac:dyDescent="0.3">
      <c r="C101" s="193" t="s">
        <v>756</v>
      </c>
      <c r="D101" s="194"/>
      <c r="E101" s="195"/>
      <c r="F101" s="195"/>
      <c r="G101" s="194"/>
      <c r="H101" s="194"/>
      <c r="I101" s="194"/>
      <c r="J101" s="195"/>
      <c r="K101" s="196">
        <f>K34-K99</f>
        <v>0</v>
      </c>
    </row>
    <row r="102" spans="2:12" ht="16.5" thickTop="1" x14ac:dyDescent="0.25">
      <c r="C102" s="193"/>
      <c r="D102" s="194"/>
      <c r="E102" s="195"/>
      <c r="F102" s="195"/>
      <c r="G102" s="194"/>
      <c r="H102" s="194"/>
      <c r="I102" s="194"/>
      <c r="J102" s="195"/>
      <c r="K102" s="245"/>
    </row>
    <row r="103" spans="2:12" x14ac:dyDescent="0.25">
      <c r="C103" s="242"/>
      <c r="D103" s="243"/>
      <c r="E103" s="242"/>
      <c r="F103" s="242"/>
      <c r="G103" s="243"/>
      <c r="H103" s="243"/>
      <c r="I103" s="243"/>
      <c r="J103" s="242"/>
      <c r="K103" s="244"/>
      <c r="L103" s="242"/>
    </row>
    <row r="105" spans="2:12" ht="18.75" x14ac:dyDescent="0.25">
      <c r="C105" s="184" t="s">
        <v>866</v>
      </c>
    </row>
    <row r="107" spans="2:12" ht="18.75" x14ac:dyDescent="0.25">
      <c r="C107" s="184" t="s">
        <v>759</v>
      </c>
    </row>
    <row r="109" spans="2:12" x14ac:dyDescent="0.25">
      <c r="D109" s="165" t="s">
        <v>757</v>
      </c>
    </row>
    <row r="110" spans="2:12" x14ac:dyDescent="0.25">
      <c r="D110" s="11" t="s">
        <v>762</v>
      </c>
      <c r="F110" s="114" t="s">
        <v>764</v>
      </c>
      <c r="K110" s="141">
        <v>1200000</v>
      </c>
    </row>
    <row r="111" spans="2:12" x14ac:dyDescent="0.25">
      <c r="D111" s="11" t="s">
        <v>763</v>
      </c>
      <c r="F111" s="114" t="s">
        <v>765</v>
      </c>
      <c r="K111" s="141">
        <v>700000</v>
      </c>
    </row>
    <row r="112" spans="2:12" x14ac:dyDescent="0.25">
      <c r="D112" s="11" t="s">
        <v>763</v>
      </c>
      <c r="F112" s="114" t="s">
        <v>766</v>
      </c>
      <c r="K112" s="141">
        <v>800000</v>
      </c>
    </row>
    <row r="113" spans="3:11" x14ac:dyDescent="0.25">
      <c r="D113" s="11" t="s">
        <v>760</v>
      </c>
      <c r="F113" s="114" t="s">
        <v>761</v>
      </c>
      <c r="K113" s="141">
        <v>1250000</v>
      </c>
    </row>
    <row r="115" spans="3:11" ht="15.75" thickBot="1" x14ac:dyDescent="0.3">
      <c r="G115" s="114" t="s">
        <v>873</v>
      </c>
      <c r="K115" s="134">
        <f>SUM(K110:K114)</f>
        <v>3950000</v>
      </c>
    </row>
    <row r="116" spans="3:11" ht="15.75" thickTop="1" x14ac:dyDescent="0.25"/>
    <row r="118" spans="3:11" x14ac:dyDescent="0.25">
      <c r="D118" s="165" t="s">
        <v>758</v>
      </c>
    </row>
    <row r="125" spans="3:11" ht="15.75" thickBot="1" x14ac:dyDescent="0.3">
      <c r="K125" s="134">
        <f>SUM(K119:K124)</f>
        <v>0</v>
      </c>
    </row>
    <row r="126" spans="3:11" ht="15.75" thickTop="1" x14ac:dyDescent="0.25"/>
    <row r="128" spans="3:11" ht="18.75" x14ac:dyDescent="0.25">
      <c r="C128" s="184" t="s">
        <v>874</v>
      </c>
    </row>
    <row r="131" spans="2:12" ht="18.75" x14ac:dyDescent="0.25">
      <c r="C131" s="184" t="s">
        <v>759</v>
      </c>
    </row>
    <row r="133" spans="2:12" x14ac:dyDescent="0.25">
      <c r="D133" s="165" t="s">
        <v>757</v>
      </c>
    </row>
    <row r="134" spans="2:12" x14ac:dyDescent="0.25">
      <c r="D134" s="114"/>
      <c r="G134" s="114"/>
      <c r="H134" s="114"/>
      <c r="I134" s="114"/>
      <c r="K134" s="114"/>
    </row>
    <row r="135" spans="2:12" x14ac:dyDescent="0.25">
      <c r="D135" s="114"/>
      <c r="G135" s="114"/>
      <c r="H135" s="114"/>
      <c r="I135" s="114"/>
      <c r="K135" s="114"/>
    </row>
    <row r="136" spans="2:12" x14ac:dyDescent="0.25">
      <c r="D136" s="114"/>
      <c r="G136" s="114"/>
      <c r="H136" s="114"/>
      <c r="I136" s="114"/>
      <c r="K136" s="114"/>
    </row>
    <row r="137" spans="2:12" x14ac:dyDescent="0.25">
      <c r="D137" s="114"/>
      <c r="G137" s="114"/>
      <c r="H137" s="114"/>
      <c r="I137" s="114"/>
      <c r="K137" s="114"/>
    </row>
    <row r="138" spans="2:12" ht="15.75" thickBot="1" x14ac:dyDescent="0.3">
      <c r="G138" s="114" t="s">
        <v>873</v>
      </c>
      <c r="K138" s="134">
        <f>SUM(K134:K137)</f>
        <v>0</v>
      </c>
    </row>
    <row r="139" spans="2:12" ht="15.75" thickTop="1" x14ac:dyDescent="0.25"/>
    <row r="142" spans="2:12" x14ac:dyDescent="0.25">
      <c r="C142" s="242"/>
      <c r="D142" s="243"/>
      <c r="E142" s="242"/>
      <c r="F142" s="242"/>
      <c r="G142" s="243"/>
      <c r="H142" s="243"/>
      <c r="I142" s="243"/>
      <c r="J142" s="242"/>
      <c r="K142" s="244"/>
      <c r="L142" s="242"/>
    </row>
    <row r="143" spans="2:12" s="124" customFormat="1" x14ac:dyDescent="0.25">
      <c r="B143" s="123"/>
      <c r="D143" s="123"/>
      <c r="G143" s="123"/>
      <c r="H143" s="123"/>
      <c r="I143" s="123"/>
      <c r="K143" s="246"/>
    </row>
    <row r="144" spans="2:12" ht="18.75" x14ac:dyDescent="0.25">
      <c r="C144" s="184" t="s">
        <v>875</v>
      </c>
    </row>
    <row r="145" spans="4:13" x14ac:dyDescent="0.25">
      <c r="D145" s="241" t="s">
        <v>806</v>
      </c>
      <c r="G145" s="241" t="s">
        <v>831</v>
      </c>
      <c r="H145" s="241" t="s">
        <v>271</v>
      </c>
      <c r="I145" s="241" t="s">
        <v>285</v>
      </c>
      <c r="K145" s="240" t="s">
        <v>820</v>
      </c>
      <c r="L145" s="114" t="s">
        <v>826</v>
      </c>
    </row>
    <row r="146" spans="4:13" x14ac:dyDescent="0.25">
      <c r="D146" s="11" t="s">
        <v>822</v>
      </c>
      <c r="F146" s="114" t="s">
        <v>633</v>
      </c>
      <c r="G146" s="11" t="s">
        <v>285</v>
      </c>
      <c r="H146" s="141">
        <f>'CIP Details'!M97</f>
        <v>0</v>
      </c>
      <c r="I146" s="141" t="e">
        <f>'CIP Details'!#REF!</f>
        <v>#REF!</v>
      </c>
      <c r="J146" s="141"/>
      <c r="K146" s="141" t="e">
        <f>H146+I146</f>
        <v>#REF!</v>
      </c>
    </row>
    <row r="147" spans="4:13" x14ac:dyDescent="0.25">
      <c r="D147" s="11" t="s">
        <v>822</v>
      </c>
      <c r="F147" s="114" t="s">
        <v>857</v>
      </c>
      <c r="G147" s="11" t="s">
        <v>805</v>
      </c>
      <c r="H147" s="141" t="e">
        <f>'CIP Details'!#REF!+'CIP Details'!M98</f>
        <v>#REF!</v>
      </c>
      <c r="I147" s="141">
        <f>'CIP Details'!M98*0</f>
        <v>0</v>
      </c>
      <c r="J147" s="141"/>
      <c r="K147" s="141" t="e">
        <f>H147+I147</f>
        <v>#REF!</v>
      </c>
    </row>
    <row r="148" spans="4:13" x14ac:dyDescent="0.25">
      <c r="D148" s="11" t="s">
        <v>823</v>
      </c>
      <c r="F148" s="231" t="s">
        <v>813</v>
      </c>
      <c r="G148" s="11" t="s">
        <v>834</v>
      </c>
      <c r="H148" s="141">
        <f>'CIP Details'!M12</f>
        <v>0</v>
      </c>
      <c r="I148" s="141">
        <f>'CIP Details'!M11</f>
        <v>200000</v>
      </c>
      <c r="J148" s="141"/>
      <c r="K148" s="141">
        <f>H148+I148</f>
        <v>200000</v>
      </c>
    </row>
    <row r="149" spans="4:13" x14ac:dyDescent="0.25">
      <c r="D149" s="11" t="s">
        <v>824</v>
      </c>
      <c r="F149" s="231" t="s">
        <v>838</v>
      </c>
      <c r="G149" s="11" t="s">
        <v>285</v>
      </c>
      <c r="H149" s="141">
        <v>0</v>
      </c>
      <c r="I149" s="141">
        <f>'CIP Details'!M13</f>
        <v>985967</v>
      </c>
      <c r="J149" s="141"/>
      <c r="K149" s="141">
        <f>H149+I149</f>
        <v>985967</v>
      </c>
    </row>
    <row r="150" spans="4:13" x14ac:dyDescent="0.25">
      <c r="D150" s="11" t="s">
        <v>823</v>
      </c>
      <c r="F150" s="239" t="s">
        <v>814</v>
      </c>
      <c r="G150" s="11" t="s">
        <v>285</v>
      </c>
      <c r="H150" s="141">
        <v>0</v>
      </c>
      <c r="I150" s="141">
        <f>'CIP Details'!M16</f>
        <v>500000</v>
      </c>
      <c r="J150" s="141"/>
      <c r="K150" s="141">
        <f t="shared" ref="K150:K152" si="0">H150+I150</f>
        <v>500000</v>
      </c>
    </row>
    <row r="151" spans="4:13" x14ac:dyDescent="0.25">
      <c r="D151" s="11" t="s">
        <v>823</v>
      </c>
      <c r="F151" s="231" t="s">
        <v>815</v>
      </c>
      <c r="G151" s="11" t="s">
        <v>285</v>
      </c>
      <c r="H151" s="141">
        <v>0</v>
      </c>
      <c r="I151" s="141">
        <f>'CIP Details'!M101</f>
        <v>0</v>
      </c>
      <c r="J151" s="141"/>
      <c r="K151" s="141">
        <f t="shared" si="0"/>
        <v>0</v>
      </c>
    </row>
    <row r="152" spans="4:13" x14ac:dyDescent="0.25">
      <c r="D152" s="11" t="s">
        <v>823</v>
      </c>
      <c r="F152" s="231" t="s">
        <v>816</v>
      </c>
      <c r="G152" s="11" t="s">
        <v>285</v>
      </c>
      <c r="H152" s="141">
        <v>0</v>
      </c>
      <c r="I152" s="141">
        <f>'CIP Details'!M102</f>
        <v>387000</v>
      </c>
      <c r="J152" s="141"/>
      <c r="K152" s="141">
        <f t="shared" si="0"/>
        <v>387000</v>
      </c>
    </row>
    <row r="153" spans="4:13" x14ac:dyDescent="0.25">
      <c r="D153" s="11" t="s">
        <v>822</v>
      </c>
      <c r="F153" s="258" t="s">
        <v>490</v>
      </c>
      <c r="G153" s="11" t="s">
        <v>285</v>
      </c>
      <c r="H153" s="141">
        <v>0</v>
      </c>
      <c r="I153" s="141">
        <f>'CIP Details'!M106</f>
        <v>0</v>
      </c>
      <c r="J153" s="141"/>
      <c r="K153" s="141">
        <f t="shared" ref="K153" si="1">H153+I153</f>
        <v>0</v>
      </c>
    </row>
    <row r="154" spans="4:13" x14ac:dyDescent="0.25">
      <c r="D154" s="11" t="s">
        <v>825</v>
      </c>
      <c r="F154" s="114" t="s">
        <v>832</v>
      </c>
      <c r="G154" s="11" t="s">
        <v>833</v>
      </c>
      <c r="H154" s="141">
        <f>250000+167000+236542</f>
        <v>653542</v>
      </c>
      <c r="I154" s="141">
        <v>270088</v>
      </c>
      <c r="J154" s="141"/>
      <c r="K154" s="141">
        <f>H154+I154</f>
        <v>923630</v>
      </c>
      <c r="M154" s="141"/>
    </row>
    <row r="155" spans="4:13" x14ac:dyDescent="0.25">
      <c r="D155" s="11" t="s">
        <v>825</v>
      </c>
      <c r="F155" s="114" t="s">
        <v>837</v>
      </c>
      <c r="G155" s="11" t="s">
        <v>836</v>
      </c>
      <c r="H155" s="141">
        <f>306098+232902</f>
        <v>539000</v>
      </c>
      <c r="I155" s="141">
        <f>232902*0</f>
        <v>0</v>
      </c>
      <c r="J155" s="141"/>
      <c r="K155" s="141">
        <f>H155+I155</f>
        <v>539000</v>
      </c>
    </row>
    <row r="156" spans="4:13" x14ac:dyDescent="0.25">
      <c r="D156" s="117"/>
      <c r="F156" s="248" t="s">
        <v>828</v>
      </c>
      <c r="G156" s="117"/>
      <c r="H156" s="253" t="e">
        <f>SUM(H146:H155)</f>
        <v>#REF!</v>
      </c>
      <c r="I156" s="253" t="e">
        <f>SUM(I146:I155)</f>
        <v>#REF!</v>
      </c>
      <c r="J156" s="250"/>
      <c r="K156" s="253" t="e">
        <f>SUM(K146:K155)</f>
        <v>#REF!</v>
      </c>
    </row>
    <row r="157" spans="4:13" x14ac:dyDescent="0.25">
      <c r="H157" s="141"/>
      <c r="I157" s="141"/>
      <c r="J157" s="141"/>
    </row>
    <row r="158" spans="4:13" x14ac:dyDescent="0.25">
      <c r="D158" s="11" t="s">
        <v>822</v>
      </c>
      <c r="F158" s="114" t="s">
        <v>856</v>
      </c>
      <c r="G158" s="11" t="s">
        <v>285</v>
      </c>
      <c r="H158" s="141">
        <v>0</v>
      </c>
      <c r="I158" s="141">
        <f>'CIP Details'!M96+'CIP Details'!M104+'CIP Details'!M274</f>
        <v>332000</v>
      </c>
      <c r="J158" s="141"/>
      <c r="K158" s="141">
        <f>H158+I158</f>
        <v>332000</v>
      </c>
    </row>
    <row r="159" spans="4:13" x14ac:dyDescent="0.25">
      <c r="D159" s="11" t="s">
        <v>822</v>
      </c>
      <c r="F159" s="114" t="s">
        <v>821</v>
      </c>
      <c r="G159" s="11" t="s">
        <v>285</v>
      </c>
      <c r="H159" s="141">
        <v>0</v>
      </c>
      <c r="I159" s="141">
        <v>786000</v>
      </c>
      <c r="J159" s="141"/>
      <c r="K159" s="141">
        <f>H159+I159</f>
        <v>786000</v>
      </c>
    </row>
    <row r="160" spans="4:13" x14ac:dyDescent="0.25">
      <c r="D160" s="11" t="s">
        <v>822</v>
      </c>
      <c r="F160" s="114" t="s">
        <v>827</v>
      </c>
      <c r="G160" s="11" t="s">
        <v>285</v>
      </c>
      <c r="H160" s="141">
        <v>0</v>
      </c>
      <c r="I160" s="141">
        <v>2900000</v>
      </c>
      <c r="J160" s="141"/>
      <c r="K160" s="141">
        <f>H160+I160</f>
        <v>2900000</v>
      </c>
    </row>
    <row r="161" spans="3:12" x14ac:dyDescent="0.25">
      <c r="F161" s="248" t="s">
        <v>829</v>
      </c>
      <c r="G161" s="117"/>
      <c r="H161" s="253">
        <f t="shared" ref="H161:I161" si="2">SUM(H158:H160)</f>
        <v>0</v>
      </c>
      <c r="I161" s="253">
        <f t="shared" si="2"/>
        <v>4018000</v>
      </c>
      <c r="J161" s="250"/>
      <c r="K161" s="253">
        <f>SUM(K158:K160)</f>
        <v>4018000</v>
      </c>
    </row>
    <row r="162" spans="3:12" x14ac:dyDescent="0.25">
      <c r="F162" s="248"/>
      <c r="G162" s="117"/>
      <c r="H162" s="252"/>
      <c r="I162" s="252"/>
      <c r="J162" s="250"/>
      <c r="K162" s="251"/>
    </row>
    <row r="163" spans="3:12" ht="15.75" thickBot="1" x14ac:dyDescent="0.3">
      <c r="F163" s="248" t="s">
        <v>830</v>
      </c>
      <c r="G163" s="117"/>
      <c r="H163" s="249" t="e">
        <f t="shared" ref="H163:I163" si="3">H161+H156</f>
        <v>#REF!</v>
      </c>
      <c r="I163" s="249" t="e">
        <f t="shared" si="3"/>
        <v>#REF!</v>
      </c>
      <c r="J163" s="250"/>
      <c r="K163" s="249" t="e">
        <f>K161+K156</f>
        <v>#REF!</v>
      </c>
    </row>
    <row r="164" spans="3:12" ht="15.75" thickTop="1" x14ac:dyDescent="0.25">
      <c r="H164" s="141"/>
      <c r="I164" s="233" t="e">
        <f>IF(I163='CIP Details'!M374,"","OUT OF BALANCE")</f>
        <v>#REF!</v>
      </c>
      <c r="J164" s="141"/>
    </row>
    <row r="165" spans="3:12" x14ac:dyDescent="0.25">
      <c r="I165" s="259"/>
    </row>
    <row r="166" spans="3:12" x14ac:dyDescent="0.25">
      <c r="C166" s="242"/>
      <c r="D166" s="243"/>
      <c r="E166" s="242"/>
      <c r="F166" s="242"/>
      <c r="G166" s="243"/>
      <c r="H166" s="243"/>
      <c r="I166" s="243"/>
      <c r="J166" s="242"/>
      <c r="K166" s="244"/>
      <c r="L166" s="242"/>
    </row>
    <row r="168" spans="3:12" ht="18.75" x14ac:dyDescent="0.25">
      <c r="C168" s="184" t="s">
        <v>867</v>
      </c>
    </row>
    <row r="170" spans="3:12" x14ac:dyDescent="0.25">
      <c r="D170" s="114"/>
      <c r="E170" s="114" t="s">
        <v>878</v>
      </c>
      <c r="G170" s="141">
        <v>1300000</v>
      </c>
      <c r="H170" s="163"/>
    </row>
    <row r="171" spans="3:12" x14ac:dyDescent="0.25">
      <c r="D171" s="114"/>
      <c r="E171" s="114" t="s">
        <v>879</v>
      </c>
      <c r="G171" s="141"/>
      <c r="H171" s="163"/>
    </row>
    <row r="172" spans="3:12" x14ac:dyDescent="0.25">
      <c r="D172" s="114"/>
      <c r="E172" s="114" t="s">
        <v>880</v>
      </c>
      <c r="G172" s="141">
        <v>500000</v>
      </c>
      <c r="H172" s="163"/>
    </row>
    <row r="173" spans="3:12" x14ac:dyDescent="0.25">
      <c r="D173" s="114"/>
      <c r="E173" s="114" t="s">
        <v>881</v>
      </c>
      <c r="G173" s="141">
        <f>300000+325000+985000</f>
        <v>1610000</v>
      </c>
    </row>
    <row r="174" spans="3:12" x14ac:dyDescent="0.25">
      <c r="D174" s="114"/>
      <c r="E174" s="114" t="s">
        <v>882</v>
      </c>
      <c r="G174" s="141">
        <v>500000</v>
      </c>
    </row>
    <row r="175" spans="3:12" x14ac:dyDescent="0.25">
      <c r="D175" s="114"/>
      <c r="E175" s="114" t="s">
        <v>883</v>
      </c>
      <c r="G175" s="141">
        <f>387000+30000</f>
        <v>417000</v>
      </c>
    </row>
    <row r="176" spans="3:12" x14ac:dyDescent="0.25">
      <c r="D176" s="114"/>
      <c r="E176" s="247" t="s">
        <v>884</v>
      </c>
      <c r="G176" s="141">
        <v>2900000</v>
      </c>
    </row>
    <row r="177" spans="4:7" x14ac:dyDescent="0.25">
      <c r="D177" s="114"/>
      <c r="E177" s="114" t="s">
        <v>885</v>
      </c>
      <c r="G177" s="141">
        <v>786000</v>
      </c>
    </row>
    <row r="178" spans="4:7" ht="15.75" thickBot="1" x14ac:dyDescent="0.3">
      <c r="D178" s="114"/>
      <c r="G178" s="134">
        <f>SUM(G170:G177)</f>
        <v>8013000</v>
      </c>
    </row>
    <row r="179" spans="4:7" ht="15.75" thickTop="1" x14ac:dyDescent="0.25">
      <c r="G179" s="141"/>
    </row>
    <row r="180" spans="4:7" x14ac:dyDescent="0.25">
      <c r="E180" s="256" t="s">
        <v>849</v>
      </c>
      <c r="G180" s="141"/>
    </row>
    <row r="181" spans="4:7" x14ac:dyDescent="0.25">
      <c r="E181" s="114" t="s">
        <v>851</v>
      </c>
      <c r="G181" s="141"/>
    </row>
    <row r="182" spans="4:7" x14ac:dyDescent="0.25">
      <c r="E182" s="114" t="s">
        <v>850</v>
      </c>
      <c r="G182" s="141"/>
    </row>
    <row r="183" spans="4:7" x14ac:dyDescent="0.25">
      <c r="E183" s="114" t="s">
        <v>852</v>
      </c>
    </row>
    <row r="184" spans="4:7" x14ac:dyDescent="0.25">
      <c r="E184" s="114" t="s">
        <v>853</v>
      </c>
    </row>
    <row r="185" spans="4:7" x14ac:dyDescent="0.25">
      <c r="E185" s="114" t="s">
        <v>876</v>
      </c>
    </row>
    <row r="186" spans="4:7" x14ac:dyDescent="0.25">
      <c r="E186" s="114" t="s">
        <v>630</v>
      </c>
    </row>
    <row r="187" spans="4:7" x14ac:dyDescent="0.25">
      <c r="E187" s="114" t="s">
        <v>877</v>
      </c>
    </row>
    <row r="196" spans="6:7" x14ac:dyDescent="0.25">
      <c r="F196" s="114" t="s">
        <v>840</v>
      </c>
    </row>
    <row r="197" spans="6:7" x14ac:dyDescent="0.25">
      <c r="F197" s="254" t="s">
        <v>842</v>
      </c>
      <c r="G197" s="141">
        <f>I160</f>
        <v>2900000</v>
      </c>
    </row>
    <row r="198" spans="6:7" x14ac:dyDescent="0.25">
      <c r="F198" s="254" t="s">
        <v>844</v>
      </c>
      <c r="G198" s="141">
        <f>I148+I149+I150</f>
        <v>1685967</v>
      </c>
    </row>
    <row r="199" spans="6:7" x14ac:dyDescent="0.25">
      <c r="F199" s="254" t="s">
        <v>841</v>
      </c>
      <c r="G199" s="141" t="e">
        <f>I146+H147*0.9</f>
        <v>#REF!</v>
      </c>
    </row>
    <row r="200" spans="6:7" x14ac:dyDescent="0.25">
      <c r="F200" s="254" t="s">
        <v>843</v>
      </c>
      <c r="G200" s="141">
        <f>I154+232900</f>
        <v>502988</v>
      </c>
    </row>
    <row r="201" spans="6:7" x14ac:dyDescent="0.25">
      <c r="F201" s="254" t="s">
        <v>846</v>
      </c>
      <c r="G201" s="141">
        <f>I151</f>
        <v>0</v>
      </c>
    </row>
    <row r="202" spans="6:7" x14ac:dyDescent="0.25">
      <c r="F202" s="254" t="s">
        <v>845</v>
      </c>
      <c r="G202" s="141">
        <f>I152</f>
        <v>387000</v>
      </c>
    </row>
    <row r="203" spans="6:7" ht="15.75" thickBot="1" x14ac:dyDescent="0.3">
      <c r="G203" s="134" t="e">
        <f>SUM(G199:G202)</f>
        <v>#REF!</v>
      </c>
    </row>
    <row r="204" spans="6:7" ht="15.75" thickTop="1" x14ac:dyDescent="0.25"/>
  </sheetData>
  <sortState ref="A27:L51">
    <sortCondition ref="I27:I51"/>
    <sortCondition ref="C27:C51"/>
  </sortState>
  <customSheetViews>
    <customSheetView guid="{BB410D8C-36DE-400F-AB69-DB51CF9CA663}" scale="110" showPageBreaks="1" showGridLines="0" fitToPage="1" printArea="1" hiddenColumns="1" state="hidden" topLeftCell="C1">
      <selection activeCell="A2" sqref="A2"/>
      <rowBreaks count="2" manualBreakCount="2">
        <brk id="103" max="16383" man="1"/>
        <brk id="166" max="16383" man="1"/>
      </rowBreaks>
      <pageMargins left="0.3" right="0.3" top="0.3" bottom="0.3" header="0" footer="0"/>
      <pageSetup scale="44" fitToHeight="0" orientation="landscape" r:id="rId1"/>
      <headerFooter>
        <oddFooter>&amp;R&amp;D</oddFooter>
      </headerFooter>
    </customSheetView>
  </customSheetViews>
  <pageMargins left="0.3" right="0.3" top="0.3" bottom="0.3" header="0" footer="0"/>
  <pageSetup scale="44" fitToHeight="0" orientation="landscape" r:id="rId2"/>
  <headerFooter>
    <oddFooter>&amp;R&amp;D</oddFooter>
  </headerFooter>
  <rowBreaks count="2" manualBreakCount="2">
    <brk id="103" max="16383" man="1"/>
    <brk id="16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37"/>
  <sheetViews>
    <sheetView workbookViewId="0">
      <selection activeCell="A2" sqref="A2"/>
    </sheetView>
  </sheetViews>
  <sheetFormatPr defaultColWidth="9.140625" defaultRowHeight="15" x14ac:dyDescent="0.25"/>
  <cols>
    <col min="1" max="1" width="68.140625" customWidth="1"/>
    <col min="2" max="2" width="2.7109375" customWidth="1"/>
    <col min="3" max="3" width="15" bestFit="1" customWidth="1"/>
    <col min="4" max="4" width="2.7109375" customWidth="1"/>
    <col min="5" max="8" width="11.7109375" style="6" customWidth="1"/>
    <col min="9" max="9" width="2.7109375" style="6" customWidth="1"/>
    <col min="10" max="14" width="11.7109375" style="6" customWidth="1"/>
    <col min="15" max="15" width="2.7109375" style="6" customWidth="1"/>
    <col min="16" max="19" width="11.7109375" style="6" customWidth="1"/>
    <col min="20" max="20" width="2.7109375" style="6" customWidth="1"/>
    <col min="21" max="24" width="11.7109375" style="6" customWidth="1"/>
    <col min="25" max="16384" width="9.140625" style="6"/>
  </cols>
  <sheetData>
    <row r="1" spans="1:24" ht="21" x14ac:dyDescent="0.25">
      <c r="A1" s="191" t="s">
        <v>62</v>
      </c>
    </row>
    <row r="2" spans="1:24" ht="21" x14ac:dyDescent="0.25">
      <c r="A2" s="191" t="s">
        <v>767</v>
      </c>
    </row>
    <row r="3" spans="1:24" ht="21" x14ac:dyDescent="0.25">
      <c r="A3" s="191" t="s">
        <v>804</v>
      </c>
    </row>
    <row r="5" spans="1:24" customFormat="1" x14ac:dyDescent="0.25"/>
    <row r="6" spans="1:24" customFormat="1" x14ac:dyDescent="0.25">
      <c r="E6" s="403">
        <v>2019</v>
      </c>
      <c r="F6" s="403"/>
      <c r="G6" s="403"/>
      <c r="H6" s="403"/>
      <c r="J6" s="403">
        <v>2020</v>
      </c>
      <c r="K6" s="403"/>
      <c r="L6" s="403"/>
      <c r="M6" s="403"/>
      <c r="N6" s="403"/>
      <c r="P6" s="403">
        <v>2021</v>
      </c>
      <c r="Q6" s="403"/>
      <c r="R6" s="403"/>
      <c r="S6" s="403"/>
      <c r="U6" s="403">
        <v>2022</v>
      </c>
      <c r="V6" s="403"/>
      <c r="W6" s="403"/>
      <c r="X6" s="403"/>
    </row>
    <row r="7" spans="1:24" customFormat="1" x14ac:dyDescent="0.25">
      <c r="E7" s="3" t="s">
        <v>805</v>
      </c>
      <c r="F7" s="3" t="s">
        <v>807</v>
      </c>
      <c r="G7" s="3" t="s">
        <v>774</v>
      </c>
      <c r="H7" s="3" t="s">
        <v>809</v>
      </c>
      <c r="J7" s="3" t="s">
        <v>805</v>
      </c>
      <c r="K7" s="3" t="s">
        <v>858</v>
      </c>
      <c r="L7" s="3" t="s">
        <v>807</v>
      </c>
      <c r="M7" s="3" t="s">
        <v>774</v>
      </c>
      <c r="N7" s="3" t="s">
        <v>809</v>
      </c>
      <c r="P7" s="3" t="s">
        <v>805</v>
      </c>
      <c r="Q7" s="3" t="s">
        <v>807</v>
      </c>
      <c r="R7" s="3" t="s">
        <v>774</v>
      </c>
      <c r="S7" s="3" t="s">
        <v>809</v>
      </c>
      <c r="U7" s="3" t="s">
        <v>805</v>
      </c>
      <c r="V7" s="3" t="s">
        <v>807</v>
      </c>
      <c r="W7" s="3" t="s">
        <v>774</v>
      </c>
      <c r="X7" s="3" t="s">
        <v>809</v>
      </c>
    </row>
    <row r="8" spans="1:24" customFormat="1" x14ac:dyDescent="0.25">
      <c r="C8" s="2" t="s">
        <v>792</v>
      </c>
      <c r="E8" s="3" t="s">
        <v>270</v>
      </c>
      <c r="F8" s="3" t="s">
        <v>806</v>
      </c>
      <c r="G8" s="3"/>
      <c r="H8" s="3" t="s">
        <v>808</v>
      </c>
      <c r="J8" s="3" t="s">
        <v>270</v>
      </c>
      <c r="K8" s="3" t="s">
        <v>270</v>
      </c>
      <c r="L8" s="3" t="s">
        <v>806</v>
      </c>
      <c r="M8" s="3"/>
      <c r="N8" s="3" t="s">
        <v>808</v>
      </c>
      <c r="P8" s="3" t="s">
        <v>270</v>
      </c>
      <c r="Q8" s="3" t="s">
        <v>806</v>
      </c>
      <c r="R8" s="3"/>
      <c r="S8" s="3" t="s">
        <v>808</v>
      </c>
      <c r="U8" s="3" t="s">
        <v>270</v>
      </c>
      <c r="V8" s="3" t="s">
        <v>806</v>
      </c>
      <c r="W8" s="3"/>
      <c r="X8" s="3" t="s">
        <v>808</v>
      </c>
    </row>
    <row r="9" spans="1:24" customFormat="1" x14ac:dyDescent="0.25">
      <c r="C9" s="3" t="s">
        <v>793</v>
      </c>
      <c r="E9" s="3" t="s">
        <v>777</v>
      </c>
      <c r="F9" s="3" t="s">
        <v>786</v>
      </c>
      <c r="G9" s="3" t="s">
        <v>612</v>
      </c>
      <c r="H9" s="3" t="s">
        <v>776</v>
      </c>
      <c r="J9" s="3" t="s">
        <v>778</v>
      </c>
      <c r="K9" s="3"/>
      <c r="L9" s="3" t="s">
        <v>787</v>
      </c>
      <c r="M9" s="3" t="s">
        <v>613</v>
      </c>
      <c r="N9" s="3" t="s">
        <v>779</v>
      </c>
      <c r="P9" s="3" t="s">
        <v>780</v>
      </c>
      <c r="Q9" s="3" t="s">
        <v>788</v>
      </c>
      <c r="R9" s="3" t="s">
        <v>614</v>
      </c>
      <c r="S9" s="3" t="s">
        <v>781</v>
      </c>
      <c r="U9" s="3" t="s">
        <v>782</v>
      </c>
      <c r="V9" s="3" t="s">
        <v>789</v>
      </c>
      <c r="W9" s="3" t="s">
        <v>615</v>
      </c>
      <c r="X9" s="3" t="s">
        <v>783</v>
      </c>
    </row>
    <row r="10" spans="1:24" customFormat="1" x14ac:dyDescent="0.25"/>
    <row r="11" spans="1:24" x14ac:dyDescent="0.25">
      <c r="A11" t="s">
        <v>860</v>
      </c>
      <c r="C11" s="1">
        <v>2019</v>
      </c>
      <c r="E11" s="6">
        <v>978000</v>
      </c>
      <c r="F11" s="6">
        <v>0</v>
      </c>
      <c r="G11" s="6">
        <v>0</v>
      </c>
      <c r="H11" s="6">
        <f>-E11*0.8</f>
        <v>-782400</v>
      </c>
      <c r="J11" s="21">
        <f>-H11-J19</f>
        <v>682400</v>
      </c>
      <c r="K11" s="260"/>
      <c r="L11" s="6">
        <v>0</v>
      </c>
      <c r="M11" s="6">
        <v>0</v>
      </c>
      <c r="N11" s="6">
        <v>0</v>
      </c>
      <c r="P11" s="6" t="s">
        <v>775</v>
      </c>
      <c r="U11" s="6" t="s">
        <v>775</v>
      </c>
    </row>
    <row r="12" spans="1:24" x14ac:dyDescent="0.25">
      <c r="C12" s="1"/>
    </row>
    <row r="13" spans="1:24" x14ac:dyDescent="0.25">
      <c r="A13" t="s">
        <v>791</v>
      </c>
      <c r="C13" s="1">
        <v>2019</v>
      </c>
      <c r="E13" s="6">
        <v>50000</v>
      </c>
      <c r="F13" s="232" t="s">
        <v>794</v>
      </c>
    </row>
    <row r="14" spans="1:24" x14ac:dyDescent="0.25">
      <c r="C14" s="1"/>
    </row>
    <row r="15" spans="1:24" x14ac:dyDescent="0.25">
      <c r="A15" t="s">
        <v>784</v>
      </c>
      <c r="C15" s="1">
        <v>2019</v>
      </c>
      <c r="E15" s="6">
        <f>250215-25000</f>
        <v>225215</v>
      </c>
      <c r="F15" s="6">
        <v>0</v>
      </c>
      <c r="G15" s="6">
        <v>1000000</v>
      </c>
      <c r="H15" s="6">
        <f>-(E15+G15)*0.47</f>
        <v>-575851.04999999993</v>
      </c>
    </row>
    <row r="16" spans="1:24" x14ac:dyDescent="0.25">
      <c r="C16" s="1"/>
    </row>
    <row r="17" spans="1:24" x14ac:dyDescent="0.25">
      <c r="A17" t="s">
        <v>785</v>
      </c>
      <c r="C17" s="1">
        <v>2020</v>
      </c>
      <c r="J17" s="6">
        <f>(-H15+E13)-J21</f>
        <v>625851.04999999993</v>
      </c>
      <c r="L17" s="6">
        <v>0</v>
      </c>
      <c r="M17" s="6">
        <v>1225000</v>
      </c>
      <c r="N17" s="6">
        <f>-(J17+M17)*0.3</f>
        <v>-555255.31499999994</v>
      </c>
    </row>
    <row r="18" spans="1:24" x14ac:dyDescent="0.25">
      <c r="C18" s="1"/>
    </row>
    <row r="19" spans="1:24" x14ac:dyDescent="0.25">
      <c r="A19" t="s">
        <v>861</v>
      </c>
      <c r="C19" s="1">
        <v>2021</v>
      </c>
      <c r="J19" s="6">
        <v>100000</v>
      </c>
      <c r="K19" s="6">
        <v>100000</v>
      </c>
      <c r="N19" s="6">
        <f>-J19</f>
        <v>-100000</v>
      </c>
      <c r="P19" s="6">
        <f>(-N17-N19-N21)</f>
        <v>655255.31499999994</v>
      </c>
      <c r="Q19" s="6">
        <f>'CIP Details'!P97</f>
        <v>0</v>
      </c>
      <c r="S19" s="6">
        <f>-(P19+Q19)*0.5</f>
        <v>-327627.65749999997</v>
      </c>
    </row>
    <row r="20" spans="1:24" x14ac:dyDescent="0.25">
      <c r="C20" s="1"/>
    </row>
    <row r="21" spans="1:24" x14ac:dyDescent="0.25">
      <c r="A21" t="s">
        <v>795</v>
      </c>
      <c r="C21" s="1">
        <v>2022</v>
      </c>
      <c r="F21" s="6">
        <f>'CIP Details'!M97</f>
        <v>0</v>
      </c>
      <c r="J21" s="6">
        <f>'CIP Details'!M97</f>
        <v>0</v>
      </c>
      <c r="N21" s="6">
        <f>-J21</f>
        <v>0</v>
      </c>
      <c r="U21" s="6">
        <f>-S19</f>
        <v>327627.65749999997</v>
      </c>
      <c r="V21" s="6">
        <f>'CIP Details'!Q95</f>
        <v>0</v>
      </c>
      <c r="X21" s="21">
        <f>(U21+V21)*0.5</f>
        <v>163813.82874999999</v>
      </c>
    </row>
    <row r="22" spans="1:24" x14ac:dyDescent="0.25">
      <c r="C22" s="1"/>
    </row>
    <row r="25" spans="1:24" x14ac:dyDescent="0.25">
      <c r="A25" t="s">
        <v>790</v>
      </c>
    </row>
    <row r="26" spans="1:24" x14ac:dyDescent="0.25">
      <c r="A26" t="s">
        <v>859</v>
      </c>
    </row>
    <row r="28" spans="1:24" x14ac:dyDescent="0.25">
      <c r="A28" s="5" t="s">
        <v>796</v>
      </c>
    </row>
    <row r="30" spans="1:24" x14ac:dyDescent="0.25">
      <c r="A30" t="s">
        <v>797</v>
      </c>
      <c r="C30" s="6">
        <f>J11</f>
        <v>682400</v>
      </c>
      <c r="E30" s="6" t="s">
        <v>798</v>
      </c>
    </row>
    <row r="31" spans="1:24" x14ac:dyDescent="0.25">
      <c r="A31" t="s">
        <v>799</v>
      </c>
      <c r="C31" s="6">
        <f>X21</f>
        <v>163813.82874999999</v>
      </c>
      <c r="E31" s="6" t="s">
        <v>800</v>
      </c>
    </row>
    <row r="34" spans="1:3" x14ac:dyDescent="0.25">
      <c r="A34" s="5" t="s">
        <v>801</v>
      </c>
    </row>
    <row r="36" spans="1:3" x14ac:dyDescent="0.25">
      <c r="A36" t="s">
        <v>802</v>
      </c>
      <c r="C36" s="6">
        <f>G15</f>
        <v>1000000</v>
      </c>
    </row>
    <row r="37" spans="1:3" x14ac:dyDescent="0.25">
      <c r="A37" t="s">
        <v>803</v>
      </c>
      <c r="C37" s="6">
        <f>M17</f>
        <v>1225000</v>
      </c>
    </row>
  </sheetData>
  <customSheetViews>
    <customSheetView guid="{BB410D8C-36DE-400F-AB69-DB51CF9CA663}" fitToPage="1" state="hidden">
      <selection activeCell="A2" sqref="A2"/>
      <pageMargins left="0.4" right="0.4" top="0.4" bottom="0.4" header="0" footer="0"/>
      <pageSetup scale="43" orientation="landscape" r:id="rId1"/>
    </customSheetView>
  </customSheetViews>
  <mergeCells count="4">
    <mergeCell ref="E6:H6"/>
    <mergeCell ref="J6:N6"/>
    <mergeCell ref="P6:S6"/>
    <mergeCell ref="U6:X6"/>
  </mergeCells>
  <pageMargins left="0.4" right="0.4" top="0.4" bottom="0.4" header="0" footer="0"/>
  <pageSetup scale="4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84"/>
  <sheetViews>
    <sheetView zoomScaleNormal="100" workbookViewId="0">
      <selection activeCell="E98" sqref="E98"/>
    </sheetView>
  </sheetViews>
  <sheetFormatPr defaultRowHeight="15" x14ac:dyDescent="0.25"/>
  <cols>
    <col min="1" max="1" width="26.7109375" bestFit="1" customWidth="1"/>
    <col min="2" max="2" width="6.42578125" style="1" customWidth="1"/>
    <col min="3" max="3" width="76.7109375" bestFit="1" customWidth="1"/>
    <col min="4" max="4" width="12.7109375" style="100" customWidth="1"/>
    <col min="5" max="5" width="13.28515625" bestFit="1" customWidth="1"/>
    <col min="6" max="7" width="11.7109375" customWidth="1"/>
    <col min="8" max="8" width="9.140625" style="1"/>
  </cols>
  <sheetData>
    <row r="1" spans="1:8" ht="21" x14ac:dyDescent="0.35">
      <c r="A1" s="17" t="s">
        <v>62</v>
      </c>
      <c r="D1"/>
    </row>
    <row r="2" spans="1:8" ht="21" x14ac:dyDescent="0.35">
      <c r="A2" s="17" t="s">
        <v>63</v>
      </c>
      <c r="D2"/>
    </row>
    <row r="3" spans="1:8" ht="21" x14ac:dyDescent="0.35">
      <c r="A3" s="17" t="s">
        <v>399</v>
      </c>
      <c r="D3"/>
    </row>
    <row r="4" spans="1:8" x14ac:dyDescent="0.25">
      <c r="D4"/>
    </row>
    <row r="5" spans="1:8" x14ac:dyDescent="0.25">
      <c r="D5" s="6"/>
      <c r="F5" s="2" t="s">
        <v>408</v>
      </c>
      <c r="H5" s="2" t="s">
        <v>411</v>
      </c>
    </row>
    <row r="6" spans="1:8" x14ac:dyDescent="0.25">
      <c r="A6" s="99" t="s">
        <v>408</v>
      </c>
      <c r="B6" s="80" t="s">
        <v>206</v>
      </c>
      <c r="C6" s="99" t="s">
        <v>274</v>
      </c>
      <c r="D6" s="80" t="s">
        <v>270</v>
      </c>
      <c r="E6" s="3" t="s">
        <v>3</v>
      </c>
      <c r="F6" s="3" t="s">
        <v>409</v>
      </c>
      <c r="H6" s="3" t="s">
        <v>412</v>
      </c>
    </row>
    <row r="7" spans="1:8" x14ac:dyDescent="0.25">
      <c r="A7" t="s">
        <v>316</v>
      </c>
      <c r="B7" s="1">
        <v>14</v>
      </c>
      <c r="C7" t="s">
        <v>145</v>
      </c>
      <c r="D7" s="1" t="s">
        <v>16</v>
      </c>
      <c r="E7" s="6">
        <v>25000</v>
      </c>
      <c r="F7" s="6">
        <f>E7</f>
        <v>25000</v>
      </c>
    </row>
    <row r="8" spans="1:8" x14ac:dyDescent="0.25">
      <c r="A8" t="s">
        <v>315</v>
      </c>
      <c r="B8" s="1">
        <v>31</v>
      </c>
      <c r="C8" t="s">
        <v>153</v>
      </c>
      <c r="D8" s="1" t="s">
        <v>243</v>
      </c>
      <c r="E8" s="6">
        <v>32000</v>
      </c>
    </row>
    <row r="9" spans="1:8" x14ac:dyDescent="0.25">
      <c r="A9" t="s">
        <v>315</v>
      </c>
      <c r="B9" s="1">
        <v>31</v>
      </c>
      <c r="C9" t="s">
        <v>155</v>
      </c>
      <c r="D9" s="1" t="s">
        <v>16</v>
      </c>
      <c r="E9" s="30">
        <v>7500</v>
      </c>
    </row>
    <row r="10" spans="1:8" x14ac:dyDescent="0.25">
      <c r="A10" t="s">
        <v>315</v>
      </c>
      <c r="B10" s="1">
        <v>31</v>
      </c>
      <c r="C10" t="s">
        <v>156</v>
      </c>
      <c r="D10" s="1" t="s">
        <v>243</v>
      </c>
      <c r="E10" s="30">
        <v>29000</v>
      </c>
    </row>
    <row r="11" spans="1:8" x14ac:dyDescent="0.25">
      <c r="A11" t="s">
        <v>315</v>
      </c>
      <c r="B11" s="31">
        <v>32</v>
      </c>
      <c r="C11" s="26" t="s">
        <v>165</v>
      </c>
      <c r="D11" s="31" t="s">
        <v>16</v>
      </c>
      <c r="E11" s="30">
        <v>3500</v>
      </c>
    </row>
    <row r="12" spans="1:8" x14ac:dyDescent="0.25">
      <c r="A12" t="s">
        <v>315</v>
      </c>
      <c r="B12" s="31">
        <v>32</v>
      </c>
      <c r="C12" s="26" t="s">
        <v>167</v>
      </c>
      <c r="D12" s="31" t="s">
        <v>16</v>
      </c>
      <c r="E12" s="30">
        <v>900</v>
      </c>
    </row>
    <row r="13" spans="1:8" x14ac:dyDescent="0.25">
      <c r="A13" t="s">
        <v>315</v>
      </c>
      <c r="B13" s="31">
        <v>32</v>
      </c>
      <c r="C13" s="26" t="s">
        <v>168</v>
      </c>
      <c r="D13" s="31" t="s">
        <v>16</v>
      </c>
      <c r="E13" s="30">
        <v>8000</v>
      </c>
    </row>
    <row r="14" spans="1:8" x14ac:dyDescent="0.25">
      <c r="A14" t="s">
        <v>315</v>
      </c>
      <c r="B14" s="31">
        <v>32</v>
      </c>
      <c r="C14" s="26" t="s">
        <v>169</v>
      </c>
      <c r="D14" s="31" t="s">
        <v>16</v>
      </c>
      <c r="E14" s="30">
        <v>500</v>
      </c>
    </row>
    <row r="15" spans="1:8" x14ac:dyDescent="0.25">
      <c r="A15" t="s">
        <v>315</v>
      </c>
      <c r="B15" s="31">
        <v>32</v>
      </c>
      <c r="C15" s="26" t="s">
        <v>175</v>
      </c>
      <c r="D15" s="31" t="s">
        <v>16</v>
      </c>
      <c r="E15" s="30">
        <v>10000</v>
      </c>
      <c r="F15" s="6">
        <f>SUM(E8:E15)</f>
        <v>91400</v>
      </c>
    </row>
    <row r="16" spans="1:8" x14ac:dyDescent="0.25">
      <c r="A16" t="s">
        <v>365</v>
      </c>
      <c r="B16" s="1">
        <v>36</v>
      </c>
      <c r="C16" t="s">
        <v>177</v>
      </c>
      <c r="D16" s="1" t="s">
        <v>16</v>
      </c>
      <c r="E16" s="30">
        <v>40000</v>
      </c>
    </row>
    <row r="17" spans="1:8" x14ac:dyDescent="0.25">
      <c r="A17" t="s">
        <v>365</v>
      </c>
      <c r="B17" s="1">
        <v>36</v>
      </c>
      <c r="C17" t="s">
        <v>322</v>
      </c>
      <c r="D17" s="1" t="s">
        <v>16</v>
      </c>
      <c r="E17" s="30">
        <v>30000</v>
      </c>
      <c r="F17" s="6">
        <f>SUM(E16:E17)</f>
        <v>70000</v>
      </c>
    </row>
    <row r="18" spans="1:8" x14ac:dyDescent="0.25">
      <c r="A18" t="s">
        <v>366</v>
      </c>
      <c r="B18" s="1">
        <v>42</v>
      </c>
      <c r="C18" t="s">
        <v>182</v>
      </c>
      <c r="D18" s="1" t="s">
        <v>16</v>
      </c>
      <c r="E18" s="30">
        <v>7000</v>
      </c>
    </row>
    <row r="19" spans="1:8" x14ac:dyDescent="0.25">
      <c r="A19" t="s">
        <v>366</v>
      </c>
      <c r="B19" s="1">
        <v>42</v>
      </c>
      <c r="C19" t="s">
        <v>183</v>
      </c>
      <c r="D19" s="1" t="s">
        <v>16</v>
      </c>
      <c r="E19" s="30">
        <v>8300</v>
      </c>
    </row>
    <row r="20" spans="1:8" x14ac:dyDescent="0.25">
      <c r="A20" t="s">
        <v>366</v>
      </c>
      <c r="B20" s="1">
        <v>55</v>
      </c>
      <c r="C20" t="s">
        <v>356</v>
      </c>
      <c r="D20" s="1" t="s">
        <v>16</v>
      </c>
      <c r="E20" s="30">
        <v>15000</v>
      </c>
    </row>
    <row r="21" spans="1:8" x14ac:dyDescent="0.25">
      <c r="A21" t="s">
        <v>366</v>
      </c>
      <c r="B21" s="1">
        <v>43</v>
      </c>
      <c r="C21" t="s">
        <v>185</v>
      </c>
      <c r="D21" s="1" t="s">
        <v>16</v>
      </c>
      <c r="E21" s="30">
        <v>19662</v>
      </c>
    </row>
    <row r="22" spans="1:8" x14ac:dyDescent="0.25">
      <c r="A22" t="s">
        <v>366</v>
      </c>
      <c r="B22" s="1">
        <v>43</v>
      </c>
      <c r="C22" t="s">
        <v>307</v>
      </c>
      <c r="D22" s="1" t="s">
        <v>16</v>
      </c>
      <c r="E22" s="30">
        <v>6419</v>
      </c>
      <c r="F22" s="6">
        <f>SUM(E18:E22)</f>
        <v>56381</v>
      </c>
    </row>
    <row r="23" spans="1:8" x14ac:dyDescent="0.25">
      <c r="A23" t="s">
        <v>367</v>
      </c>
      <c r="B23" s="1">
        <v>53</v>
      </c>
      <c r="C23" t="s">
        <v>190</v>
      </c>
      <c r="D23" s="1" t="s">
        <v>16</v>
      </c>
      <c r="E23" s="30">
        <v>6587</v>
      </c>
      <c r="F23" s="6">
        <f>E23</f>
        <v>6587</v>
      </c>
    </row>
    <row r="24" spans="1:8" x14ac:dyDescent="0.25">
      <c r="A24" t="s">
        <v>314</v>
      </c>
      <c r="B24" s="20" t="s">
        <v>210</v>
      </c>
      <c r="C24" t="s">
        <v>204</v>
      </c>
      <c r="D24" s="1" t="s">
        <v>16</v>
      </c>
      <c r="E24" s="6">
        <v>100179</v>
      </c>
      <c r="H24" s="1" t="s">
        <v>410</v>
      </c>
    </row>
    <row r="25" spans="1:8" x14ac:dyDescent="0.25">
      <c r="A25" t="s">
        <v>314</v>
      </c>
      <c r="B25" s="20" t="s">
        <v>210</v>
      </c>
      <c r="C25" t="s">
        <v>359</v>
      </c>
      <c r="D25" s="1" t="s">
        <v>16</v>
      </c>
      <c r="E25" s="6">
        <f>215000*0.25</f>
        <v>53750</v>
      </c>
      <c r="H25" s="1" t="s">
        <v>410</v>
      </c>
    </row>
    <row r="26" spans="1:8" x14ac:dyDescent="0.25">
      <c r="A26" t="s">
        <v>314</v>
      </c>
      <c r="B26" s="20" t="s">
        <v>209</v>
      </c>
      <c r="C26" t="s">
        <v>107</v>
      </c>
      <c r="D26" s="1" t="s">
        <v>16</v>
      </c>
      <c r="E26" s="6">
        <v>50000</v>
      </c>
      <c r="F26" s="6">
        <f>SUM(E24:E26)</f>
        <v>203929</v>
      </c>
      <c r="H26" s="1" t="s">
        <v>410</v>
      </c>
    </row>
    <row r="27" spans="1:8" x14ac:dyDescent="0.25">
      <c r="A27" t="s">
        <v>315</v>
      </c>
      <c r="B27" s="1">
        <v>31</v>
      </c>
      <c r="C27" t="s">
        <v>369</v>
      </c>
      <c r="D27" s="1" t="s">
        <v>16</v>
      </c>
      <c r="E27" s="30">
        <v>68000</v>
      </c>
      <c r="H27" s="1" t="s">
        <v>410</v>
      </c>
    </row>
    <row r="28" spans="1:8" x14ac:dyDescent="0.25">
      <c r="A28" t="s">
        <v>315</v>
      </c>
      <c r="B28" s="31">
        <v>32</v>
      </c>
      <c r="C28" s="26" t="s">
        <v>173</v>
      </c>
      <c r="D28" s="31" t="s">
        <v>16</v>
      </c>
      <c r="E28" s="30">
        <v>138000</v>
      </c>
      <c r="F28" s="6">
        <f>SUM(E27:E28)</f>
        <v>206000</v>
      </c>
      <c r="H28" s="1" t="s">
        <v>410</v>
      </c>
    </row>
    <row r="29" spans="1:8" x14ac:dyDescent="0.25">
      <c r="A29" t="s">
        <v>365</v>
      </c>
      <c r="B29" s="31">
        <v>35</v>
      </c>
      <c r="C29" s="26" t="s">
        <v>318</v>
      </c>
      <c r="D29" s="31" t="s">
        <v>16</v>
      </c>
      <c r="E29" s="30">
        <v>100000</v>
      </c>
      <c r="H29" s="1" t="s">
        <v>410</v>
      </c>
    </row>
    <row r="30" spans="1:8" x14ac:dyDescent="0.25">
      <c r="A30" t="s">
        <v>365</v>
      </c>
      <c r="B30" s="1">
        <v>36</v>
      </c>
      <c r="C30" t="s">
        <v>178</v>
      </c>
      <c r="D30" s="1" t="s">
        <v>38</v>
      </c>
      <c r="E30" s="6">
        <v>50000</v>
      </c>
      <c r="H30" s="1" t="s">
        <v>410</v>
      </c>
    </row>
    <row r="31" spans="1:8" x14ac:dyDescent="0.25">
      <c r="A31" t="s">
        <v>365</v>
      </c>
      <c r="B31" s="1">
        <v>36</v>
      </c>
      <c r="C31" t="s">
        <v>179</v>
      </c>
      <c r="D31" s="1" t="s">
        <v>38</v>
      </c>
      <c r="E31" s="6">
        <v>120000</v>
      </c>
      <c r="H31" s="1" t="s">
        <v>410</v>
      </c>
    </row>
    <row r="32" spans="1:8" x14ac:dyDescent="0.25">
      <c r="A32" t="s">
        <v>365</v>
      </c>
      <c r="B32" s="31">
        <v>36</v>
      </c>
      <c r="C32" s="26" t="s">
        <v>110</v>
      </c>
      <c r="D32" s="31" t="s">
        <v>19</v>
      </c>
      <c r="E32" s="30">
        <v>1400000</v>
      </c>
      <c r="F32" s="6">
        <f>SUM(E29:E32)</f>
        <v>1670000</v>
      </c>
      <c r="H32" s="1" t="s">
        <v>410</v>
      </c>
    </row>
    <row r="33" spans="1:8" x14ac:dyDescent="0.25">
      <c r="A33" t="s">
        <v>1</v>
      </c>
      <c r="B33" s="1">
        <v>61</v>
      </c>
      <c r="C33" t="s">
        <v>359</v>
      </c>
      <c r="D33" s="1" t="s">
        <v>16</v>
      </c>
      <c r="E33" s="30">
        <f>215000*0.75</f>
        <v>161250</v>
      </c>
      <c r="F33" s="6">
        <f>E33</f>
        <v>161250</v>
      </c>
      <c r="G33" s="6">
        <f>SUM(F7:F33)</f>
        <v>2490547</v>
      </c>
      <c r="H33" s="1" t="s">
        <v>410</v>
      </c>
    </row>
    <row r="34" spans="1:8" x14ac:dyDescent="0.25">
      <c r="D34" s="1"/>
      <c r="E34" s="6"/>
    </row>
    <row r="35" spans="1:8" x14ac:dyDescent="0.25">
      <c r="A35" t="s">
        <v>46</v>
      </c>
      <c r="C35" t="s">
        <v>354</v>
      </c>
      <c r="D35" s="1" t="s">
        <v>16</v>
      </c>
      <c r="E35" s="6">
        <v>25000</v>
      </c>
    </row>
    <row r="36" spans="1:8" x14ac:dyDescent="0.25">
      <c r="A36" t="s">
        <v>46</v>
      </c>
      <c r="C36" t="s">
        <v>355</v>
      </c>
      <c r="D36" s="1" t="s">
        <v>16</v>
      </c>
      <c r="E36" s="6">
        <v>20000</v>
      </c>
    </row>
    <row r="37" spans="1:8" x14ac:dyDescent="0.25">
      <c r="A37" t="s">
        <v>46</v>
      </c>
      <c r="C37" t="s">
        <v>22</v>
      </c>
      <c r="D37" s="1" t="s">
        <v>16</v>
      </c>
      <c r="E37" s="6">
        <v>10000</v>
      </c>
    </row>
    <row r="38" spans="1:8" x14ac:dyDescent="0.25">
      <c r="A38" t="s">
        <v>46</v>
      </c>
      <c r="C38" t="s">
        <v>23</v>
      </c>
      <c r="D38" s="1" t="s">
        <v>16</v>
      </c>
      <c r="E38" s="6">
        <v>15000</v>
      </c>
    </row>
    <row r="39" spans="1:8" x14ac:dyDescent="0.25">
      <c r="A39" t="s">
        <v>46</v>
      </c>
      <c r="C39" t="s">
        <v>20</v>
      </c>
      <c r="D39" s="1" t="s">
        <v>16</v>
      </c>
      <c r="E39" s="6">
        <v>105000</v>
      </c>
      <c r="H39" s="1" t="s">
        <v>410</v>
      </c>
    </row>
    <row r="40" spans="1:8" x14ac:dyDescent="0.25">
      <c r="A40" t="s">
        <v>46</v>
      </c>
      <c r="C40" t="s">
        <v>12</v>
      </c>
      <c r="D40" s="1" t="s">
        <v>16</v>
      </c>
      <c r="E40" s="21">
        <v>892000</v>
      </c>
      <c r="H40" s="1" t="s">
        <v>410</v>
      </c>
    </row>
    <row r="41" spans="1:8" x14ac:dyDescent="0.25">
      <c r="A41" t="s">
        <v>46</v>
      </c>
      <c r="C41" t="s">
        <v>397</v>
      </c>
      <c r="D41" s="1" t="s">
        <v>37</v>
      </c>
      <c r="E41" s="21">
        <v>186750</v>
      </c>
      <c r="F41" s="6">
        <f>SUM(E35:E41)</f>
        <v>1253750</v>
      </c>
      <c r="G41" s="6">
        <f>F41</f>
        <v>1253750</v>
      </c>
      <c r="H41" s="1" t="s">
        <v>410</v>
      </c>
    </row>
    <row r="42" spans="1:8" x14ac:dyDescent="0.25">
      <c r="D42" s="1"/>
    </row>
    <row r="43" spans="1:8" x14ac:dyDescent="0.25">
      <c r="A43" t="s">
        <v>47</v>
      </c>
      <c r="C43" s="26" t="s">
        <v>224</v>
      </c>
      <c r="D43" s="31" t="s">
        <v>16</v>
      </c>
      <c r="E43" s="30">
        <v>45000</v>
      </c>
    </row>
    <row r="44" spans="1:8" x14ac:dyDescent="0.25">
      <c r="A44" t="s">
        <v>47</v>
      </c>
      <c r="C44" s="26" t="s">
        <v>340</v>
      </c>
      <c r="D44" s="31" t="s">
        <v>16</v>
      </c>
      <c r="E44" s="30">
        <v>10000</v>
      </c>
    </row>
    <row r="45" spans="1:8" x14ac:dyDescent="0.25">
      <c r="A45" t="s">
        <v>47</v>
      </c>
      <c r="C45" s="26" t="s">
        <v>347</v>
      </c>
      <c r="D45" s="31" t="s">
        <v>16</v>
      </c>
      <c r="E45" s="30">
        <v>5000</v>
      </c>
    </row>
    <row r="46" spans="1:8" x14ac:dyDescent="0.25">
      <c r="A46" t="s">
        <v>47</v>
      </c>
      <c r="C46" s="24" t="s">
        <v>400</v>
      </c>
      <c r="D46" s="1" t="s">
        <v>16</v>
      </c>
      <c r="E46" s="6">
        <v>25000</v>
      </c>
    </row>
    <row r="47" spans="1:8" x14ac:dyDescent="0.25">
      <c r="A47" t="s">
        <v>47</v>
      </c>
      <c r="C47" s="25" t="s">
        <v>401</v>
      </c>
      <c r="D47" s="1" t="s">
        <v>16</v>
      </c>
      <c r="E47" s="30">
        <v>30000</v>
      </c>
    </row>
    <row r="48" spans="1:8" x14ac:dyDescent="0.25">
      <c r="A48" t="s">
        <v>47</v>
      </c>
      <c r="C48" s="24" t="s">
        <v>402</v>
      </c>
      <c r="D48" s="1" t="s">
        <v>16</v>
      </c>
      <c r="E48" s="30">
        <v>8000</v>
      </c>
    </row>
    <row r="49" spans="1:8" x14ac:dyDescent="0.25">
      <c r="A49" t="s">
        <v>47</v>
      </c>
      <c r="C49" s="24" t="s">
        <v>403</v>
      </c>
      <c r="D49" s="1" t="s">
        <v>16</v>
      </c>
      <c r="E49" s="30">
        <v>35000</v>
      </c>
    </row>
    <row r="50" spans="1:8" x14ac:dyDescent="0.25">
      <c r="A50" t="s">
        <v>47</v>
      </c>
      <c r="C50" t="s">
        <v>225</v>
      </c>
      <c r="D50" s="1" t="s">
        <v>16</v>
      </c>
      <c r="E50" s="6">
        <v>25000</v>
      </c>
      <c r="F50" s="6"/>
    </row>
    <row r="51" spans="1:8" x14ac:dyDescent="0.25">
      <c r="A51" t="s">
        <v>47</v>
      </c>
      <c r="C51" s="26" t="s">
        <v>404</v>
      </c>
      <c r="D51" s="31" t="s">
        <v>16</v>
      </c>
      <c r="E51" s="30">
        <v>325000</v>
      </c>
      <c r="H51" s="1" t="s">
        <v>410</v>
      </c>
    </row>
    <row r="52" spans="1:8" x14ac:dyDescent="0.25">
      <c r="A52" t="s">
        <v>47</v>
      </c>
      <c r="C52" s="24" t="s">
        <v>405</v>
      </c>
      <c r="D52" s="1" t="s">
        <v>16</v>
      </c>
      <c r="E52" s="6">
        <v>50000</v>
      </c>
      <c r="H52" s="1" t="s">
        <v>410</v>
      </c>
    </row>
    <row r="53" spans="1:8" x14ac:dyDescent="0.25">
      <c r="A53" t="s">
        <v>47</v>
      </c>
      <c r="C53" s="24" t="s">
        <v>406</v>
      </c>
      <c r="D53" s="1" t="s">
        <v>16</v>
      </c>
      <c r="E53" s="6">
        <v>150000</v>
      </c>
      <c r="H53" s="1" t="s">
        <v>410</v>
      </c>
    </row>
    <row r="54" spans="1:8" x14ac:dyDescent="0.25">
      <c r="A54" t="s">
        <v>47</v>
      </c>
      <c r="C54" s="26" t="s">
        <v>360</v>
      </c>
      <c r="D54" s="31" t="s">
        <v>16</v>
      </c>
      <c r="E54" s="30">
        <v>5000</v>
      </c>
    </row>
    <row r="55" spans="1:8" x14ac:dyDescent="0.25">
      <c r="A55" t="s">
        <v>47</v>
      </c>
      <c r="C55" s="26" t="s">
        <v>191</v>
      </c>
      <c r="D55" s="31" t="s">
        <v>16</v>
      </c>
      <c r="E55" s="30">
        <v>10000</v>
      </c>
    </row>
    <row r="56" spans="1:8" x14ac:dyDescent="0.25">
      <c r="A56" t="s">
        <v>47</v>
      </c>
      <c r="C56" s="26" t="s">
        <v>192</v>
      </c>
      <c r="D56" s="31" t="s">
        <v>16</v>
      </c>
      <c r="E56" s="30">
        <v>25000</v>
      </c>
    </row>
    <row r="57" spans="1:8" x14ac:dyDescent="0.25">
      <c r="A57" t="s">
        <v>47</v>
      </c>
      <c r="C57" s="26" t="s">
        <v>193</v>
      </c>
      <c r="D57" s="31" t="s">
        <v>16</v>
      </c>
      <c r="E57" s="30">
        <v>10000</v>
      </c>
    </row>
    <row r="58" spans="1:8" x14ac:dyDescent="0.25">
      <c r="A58" t="s">
        <v>47</v>
      </c>
      <c r="C58" s="26" t="s">
        <v>357</v>
      </c>
      <c r="D58" s="31" t="s">
        <v>16</v>
      </c>
      <c r="E58" s="30">
        <v>125000</v>
      </c>
      <c r="H58" s="1" t="s">
        <v>410</v>
      </c>
    </row>
    <row r="59" spans="1:8" x14ac:dyDescent="0.25">
      <c r="A59" t="s">
        <v>47</v>
      </c>
      <c r="C59" s="26" t="s">
        <v>358</v>
      </c>
      <c r="D59" s="31" t="s">
        <v>16</v>
      </c>
      <c r="E59" s="30">
        <v>75000</v>
      </c>
      <c r="H59" s="1" t="s">
        <v>410</v>
      </c>
    </row>
    <row r="60" spans="1:8" x14ac:dyDescent="0.25">
      <c r="A60" t="s">
        <v>47</v>
      </c>
      <c r="C60" s="26" t="s">
        <v>240</v>
      </c>
      <c r="D60" s="31" t="s">
        <v>19</v>
      </c>
      <c r="E60" s="30">
        <v>1100000</v>
      </c>
      <c r="H60" s="1" t="s">
        <v>410</v>
      </c>
    </row>
    <row r="61" spans="1:8" x14ac:dyDescent="0.25">
      <c r="A61" t="s">
        <v>47</v>
      </c>
      <c r="C61" s="26" t="s">
        <v>200</v>
      </c>
      <c r="D61" s="31" t="s">
        <v>16</v>
      </c>
      <c r="E61" s="30">
        <v>50000</v>
      </c>
      <c r="F61" s="6">
        <f>SUM(E43:E61)</f>
        <v>2108000</v>
      </c>
      <c r="G61" s="6">
        <f>F61</f>
        <v>2108000</v>
      </c>
      <c r="H61" s="1" t="s">
        <v>410</v>
      </c>
    </row>
    <row r="63" spans="1:8" x14ac:dyDescent="0.25">
      <c r="A63" t="s">
        <v>52</v>
      </c>
      <c r="D63" s="1" t="s">
        <v>19</v>
      </c>
      <c r="E63" s="30">
        <v>1000000</v>
      </c>
      <c r="F63" s="6">
        <f>E63</f>
        <v>1000000</v>
      </c>
      <c r="G63" s="6">
        <f>F63</f>
        <v>1000000</v>
      </c>
    </row>
    <row r="65" spans="1:8" x14ac:dyDescent="0.25">
      <c r="A65" t="s">
        <v>48</v>
      </c>
      <c r="C65" t="s">
        <v>301</v>
      </c>
      <c r="D65" s="1" t="s">
        <v>19</v>
      </c>
      <c r="E65" s="6">
        <v>907800</v>
      </c>
      <c r="H65" s="1" t="s">
        <v>410</v>
      </c>
    </row>
    <row r="66" spans="1:8" x14ac:dyDescent="0.25">
      <c r="A66" t="s">
        <v>48</v>
      </c>
      <c r="C66" t="s">
        <v>300</v>
      </c>
      <c r="D66" s="1" t="s">
        <v>19</v>
      </c>
      <c r="E66" s="6">
        <v>425000</v>
      </c>
      <c r="H66" s="1" t="s">
        <v>410</v>
      </c>
    </row>
    <row r="67" spans="1:8" x14ac:dyDescent="0.25">
      <c r="A67" t="s">
        <v>48</v>
      </c>
      <c r="C67" t="s">
        <v>287</v>
      </c>
      <c r="D67" s="1" t="s">
        <v>16</v>
      </c>
      <c r="E67" s="6">
        <v>194950</v>
      </c>
      <c r="F67" s="6">
        <f>SUM(E65:E67)</f>
        <v>1527750</v>
      </c>
      <c r="G67" s="6">
        <f>F67</f>
        <v>1527750</v>
      </c>
      <c r="H67" s="1" t="s">
        <v>410</v>
      </c>
    </row>
    <row r="69" spans="1:8" x14ac:dyDescent="0.25">
      <c r="A69" t="s">
        <v>398</v>
      </c>
      <c r="C69" t="s">
        <v>88</v>
      </c>
      <c r="D69" s="1" t="s">
        <v>16</v>
      </c>
      <c r="E69" s="6">
        <v>210000</v>
      </c>
      <c r="F69" s="6">
        <f>E69</f>
        <v>210000</v>
      </c>
      <c r="G69" s="6">
        <f>F69</f>
        <v>210000</v>
      </c>
      <c r="H69" s="1" t="s">
        <v>410</v>
      </c>
    </row>
    <row r="71" spans="1:8" x14ac:dyDescent="0.25">
      <c r="A71" t="s">
        <v>49</v>
      </c>
      <c r="C71" t="s">
        <v>124</v>
      </c>
      <c r="D71" s="1" t="s">
        <v>16</v>
      </c>
      <c r="E71" s="6">
        <v>145000</v>
      </c>
      <c r="H71" s="1" t="s">
        <v>410</v>
      </c>
    </row>
    <row r="72" spans="1:8" x14ac:dyDescent="0.25">
      <c r="A72" t="s">
        <v>49</v>
      </c>
      <c r="C72" t="s">
        <v>127</v>
      </c>
      <c r="D72" s="1" t="s">
        <v>16</v>
      </c>
      <c r="E72" s="6">
        <v>33000</v>
      </c>
    </row>
    <row r="73" spans="1:8" x14ac:dyDescent="0.25">
      <c r="A73" t="s">
        <v>49</v>
      </c>
      <c r="C73" t="s">
        <v>128</v>
      </c>
      <c r="D73" s="1" t="s">
        <v>16</v>
      </c>
      <c r="E73" s="6">
        <v>28000</v>
      </c>
    </row>
    <row r="74" spans="1:8" x14ac:dyDescent="0.25">
      <c r="A74" t="s">
        <v>49</v>
      </c>
      <c r="C74" t="s">
        <v>308</v>
      </c>
      <c r="D74" s="1" t="s">
        <v>16</v>
      </c>
      <c r="E74" s="6">
        <v>60000</v>
      </c>
      <c r="H74" s="1" t="s">
        <v>410</v>
      </c>
    </row>
    <row r="75" spans="1:8" x14ac:dyDescent="0.25">
      <c r="A75" t="s">
        <v>49</v>
      </c>
      <c r="C75" t="s">
        <v>120</v>
      </c>
      <c r="D75" s="1" t="s">
        <v>16</v>
      </c>
      <c r="E75" s="21">
        <v>200000</v>
      </c>
      <c r="H75" s="1" t="s">
        <v>410</v>
      </c>
    </row>
    <row r="76" spans="1:8" x14ac:dyDescent="0.25">
      <c r="A76" t="s">
        <v>49</v>
      </c>
      <c r="C76" t="s">
        <v>121</v>
      </c>
      <c r="D76" s="1" t="s">
        <v>16</v>
      </c>
      <c r="E76" s="6">
        <v>81949</v>
      </c>
      <c r="H76" s="1" t="s">
        <v>410</v>
      </c>
    </row>
    <row r="77" spans="1:8" x14ac:dyDescent="0.25">
      <c r="A77" t="s">
        <v>49</v>
      </c>
      <c r="C77" t="s">
        <v>118</v>
      </c>
      <c r="D77" s="1" t="s">
        <v>16</v>
      </c>
      <c r="E77" s="6">
        <v>35000</v>
      </c>
    </row>
    <row r="78" spans="1:8" x14ac:dyDescent="0.25">
      <c r="A78" t="s">
        <v>49</v>
      </c>
      <c r="C78" t="s">
        <v>348</v>
      </c>
      <c r="D78" s="1" t="s">
        <v>16</v>
      </c>
      <c r="E78" s="6">
        <v>20000</v>
      </c>
    </row>
    <row r="79" spans="1:8" x14ac:dyDescent="0.25">
      <c r="A79" t="s">
        <v>49</v>
      </c>
      <c r="C79" t="s">
        <v>132</v>
      </c>
      <c r="D79" s="1" t="s">
        <v>16</v>
      </c>
      <c r="E79" s="6">
        <v>7500</v>
      </c>
    </row>
    <row r="80" spans="1:8" x14ac:dyDescent="0.25">
      <c r="A80" t="s">
        <v>49</v>
      </c>
      <c r="C80" t="s">
        <v>317</v>
      </c>
      <c r="D80" s="1" t="s">
        <v>16</v>
      </c>
      <c r="E80" s="6">
        <v>18000</v>
      </c>
    </row>
    <row r="81" spans="1:8" x14ac:dyDescent="0.25">
      <c r="A81" t="s">
        <v>49</v>
      </c>
      <c r="C81" t="s">
        <v>407</v>
      </c>
      <c r="D81" s="1" t="s">
        <v>16</v>
      </c>
      <c r="E81" s="6">
        <v>98000</v>
      </c>
      <c r="F81" s="6">
        <f>SUM(E71:E81)</f>
        <v>726449</v>
      </c>
      <c r="G81" s="6">
        <f>F81</f>
        <v>726449</v>
      </c>
      <c r="H81" s="1" t="s">
        <v>410</v>
      </c>
    </row>
    <row r="83" spans="1:8" x14ac:dyDescent="0.25">
      <c r="E83" s="6">
        <f>SUM(E7:E81)</f>
        <v>9316496</v>
      </c>
      <c r="F83" s="6">
        <f>SUM(F7:F81)</f>
        <v>9316496</v>
      </c>
      <c r="G83" s="6">
        <f>SUM(G7:G81)</f>
        <v>9316496</v>
      </c>
    </row>
    <row r="84" spans="1:8" x14ac:dyDescent="0.25">
      <c r="E84" s="6"/>
    </row>
  </sheetData>
  <customSheetViews>
    <customSheetView guid="{BB410D8C-36DE-400F-AB69-DB51CF9CA663}" fitToPage="1" state="hidden">
      <selection activeCell="E98" sqref="E98"/>
      <pageMargins left="0.4" right="0.4" top="0.4" bottom="0.4" header="0" footer="0"/>
      <pageSetup scale="58" orientation="portrait" r:id="rId1"/>
      <headerFooter>
        <oddFooter>&amp;C&amp;Z&amp;F&amp;R&amp;D</oddFooter>
      </headerFooter>
    </customSheetView>
  </customSheetViews>
  <pageMargins left="0.4" right="0.4" top="0.4" bottom="0.4" header="0" footer="0"/>
  <pageSetup scale="58" orientation="portrait" r:id="rId2"/>
  <headerFooter>
    <oddFooter>&amp;C&amp;Z&amp;F&amp;R&amp;D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51"/>
  <sheetViews>
    <sheetView topLeftCell="A130" zoomScaleNormal="100" workbookViewId="0">
      <selection activeCell="A145" sqref="A145:A150"/>
    </sheetView>
  </sheetViews>
  <sheetFormatPr defaultRowHeight="15" outlineLevelRow="1" x14ac:dyDescent="0.25"/>
  <cols>
    <col min="1" max="1" width="70.85546875" customWidth="1"/>
    <col min="2" max="2" width="13.5703125" style="1" bestFit="1" customWidth="1"/>
    <col min="3" max="3" width="2.85546875" customWidth="1"/>
    <col min="4" max="4" width="11.140625" style="6" customWidth="1"/>
    <col min="5" max="5" width="12.7109375" style="6" customWidth="1"/>
    <col min="6" max="8" width="11.140625" style="6" bestFit="1" customWidth="1"/>
    <col min="9" max="11" width="10.140625" style="6" customWidth="1"/>
    <col min="12" max="12" width="10.140625" style="6" bestFit="1" customWidth="1"/>
    <col min="13" max="14" width="10.140625" style="6" customWidth="1"/>
    <col min="15" max="15" width="11.140625" bestFit="1" customWidth="1"/>
    <col min="17" max="17" width="13.28515625" bestFit="1" customWidth="1"/>
  </cols>
  <sheetData>
    <row r="1" spans="1:14" ht="21" x14ac:dyDescent="0.35">
      <c r="A1" s="17" t="s">
        <v>62</v>
      </c>
      <c r="D1"/>
      <c r="E1"/>
      <c r="F1"/>
      <c r="G1"/>
      <c r="H1"/>
      <c r="I1"/>
      <c r="J1"/>
      <c r="K1"/>
      <c r="L1"/>
      <c r="M1"/>
      <c r="N1"/>
    </row>
    <row r="2" spans="1:14" ht="21" x14ac:dyDescent="0.35">
      <c r="A2" s="17" t="s">
        <v>71</v>
      </c>
      <c r="D2"/>
      <c r="E2"/>
      <c r="F2"/>
      <c r="G2"/>
      <c r="H2"/>
      <c r="I2"/>
      <c r="J2"/>
      <c r="K2"/>
      <c r="L2"/>
      <c r="M2"/>
      <c r="N2"/>
    </row>
    <row r="3" spans="1:14" ht="21" x14ac:dyDescent="0.35">
      <c r="A3" s="17" t="s">
        <v>64</v>
      </c>
      <c r="D3"/>
      <c r="E3"/>
      <c r="F3"/>
      <c r="G3"/>
      <c r="H3"/>
      <c r="I3"/>
      <c r="J3"/>
      <c r="K3"/>
      <c r="L3"/>
      <c r="M3"/>
      <c r="N3"/>
    </row>
    <row r="4" spans="1:14" x14ac:dyDescent="0.25">
      <c r="D4"/>
      <c r="E4"/>
      <c r="F4"/>
      <c r="G4"/>
      <c r="H4"/>
      <c r="I4"/>
      <c r="J4"/>
      <c r="K4"/>
      <c r="L4"/>
      <c r="M4"/>
      <c r="N4"/>
    </row>
    <row r="5" spans="1:14" x14ac:dyDescent="0.25">
      <c r="D5" s="3" t="s">
        <v>2</v>
      </c>
      <c r="E5" s="3" t="s">
        <v>3</v>
      </c>
      <c r="F5" s="3" t="s">
        <v>4</v>
      </c>
      <c r="G5" s="3" t="s">
        <v>5</v>
      </c>
      <c r="H5" s="3" t="s">
        <v>6</v>
      </c>
      <c r="I5" s="3" t="s">
        <v>7</v>
      </c>
      <c r="J5" s="3" t="s">
        <v>8</v>
      </c>
      <c r="K5" s="3" t="s">
        <v>9</v>
      </c>
      <c r="L5" s="3" t="s">
        <v>10</v>
      </c>
      <c r="M5" s="3" t="s">
        <v>11</v>
      </c>
      <c r="N5" s="3" t="s">
        <v>45</v>
      </c>
    </row>
    <row r="6" spans="1:14" x14ac:dyDescent="0.25">
      <c r="D6"/>
      <c r="E6"/>
      <c r="F6"/>
      <c r="G6"/>
      <c r="H6"/>
      <c r="I6"/>
      <c r="J6"/>
      <c r="K6"/>
      <c r="L6"/>
      <c r="M6"/>
      <c r="N6"/>
    </row>
    <row r="7" spans="1:14" x14ac:dyDescent="0.25">
      <c r="A7" s="5"/>
      <c r="D7"/>
      <c r="E7"/>
      <c r="F7"/>
      <c r="G7"/>
      <c r="H7"/>
      <c r="I7"/>
      <c r="J7"/>
      <c r="K7"/>
      <c r="L7"/>
      <c r="M7"/>
      <c r="N7"/>
    </row>
    <row r="8" spans="1:14" hidden="1" outlineLevel="1" x14ac:dyDescent="0.25">
      <c r="A8" s="5" t="s">
        <v>46</v>
      </c>
      <c r="B8" s="11" t="s">
        <v>16</v>
      </c>
      <c r="D8" s="6">
        <f>'Public Grounds'!D57</f>
        <v>0</v>
      </c>
      <c r="E8" s="6">
        <f>'Public Grounds'!E57</f>
        <v>1067000</v>
      </c>
      <c r="F8" s="6">
        <f>'Public Grounds'!F57</f>
        <v>481500</v>
      </c>
      <c r="G8" s="6">
        <f>'Public Grounds'!G57</f>
        <v>114500</v>
      </c>
      <c r="H8" s="6">
        <f>'Public Grounds'!H57</f>
        <v>187000</v>
      </c>
      <c r="I8" s="6">
        <f>'Public Grounds'!I57</f>
        <v>105000</v>
      </c>
      <c r="J8" s="6">
        <f>'Public Grounds'!J57</f>
        <v>120000</v>
      </c>
      <c r="K8" s="6">
        <f>'Public Grounds'!K57</f>
        <v>45000</v>
      </c>
      <c r="L8" s="6">
        <f>'Public Grounds'!L57</f>
        <v>45000</v>
      </c>
      <c r="M8" s="6">
        <f>'Public Grounds'!M57</f>
        <v>60000</v>
      </c>
      <c r="N8" s="6">
        <f>'Public Grounds'!N57</f>
        <v>545000</v>
      </c>
    </row>
    <row r="9" spans="1:14" hidden="1" outlineLevel="1" x14ac:dyDescent="0.25">
      <c r="B9" s="11" t="s">
        <v>37</v>
      </c>
      <c r="D9" s="6">
        <f>'Public Grounds'!D58</f>
        <v>0</v>
      </c>
      <c r="E9" s="6">
        <f>'Public Grounds'!E58</f>
        <v>186750</v>
      </c>
      <c r="F9" s="6">
        <f>'Public Grounds'!F58</f>
        <v>0</v>
      </c>
      <c r="G9" s="6">
        <f>'Public Grounds'!G58</f>
        <v>0</v>
      </c>
      <c r="H9" s="6">
        <f>'Public Grounds'!H58</f>
        <v>0</v>
      </c>
      <c r="I9" s="6">
        <f>'Public Grounds'!I58</f>
        <v>0</v>
      </c>
      <c r="J9" s="6">
        <f>'Public Grounds'!J58</f>
        <v>205425.00000000003</v>
      </c>
      <c r="K9" s="6">
        <f>'Public Grounds'!K58</f>
        <v>0</v>
      </c>
      <c r="L9" s="6">
        <f>'Public Grounds'!L58</f>
        <v>0</v>
      </c>
      <c r="M9" s="6">
        <f>'Public Grounds'!M58</f>
        <v>0</v>
      </c>
      <c r="N9" s="6">
        <f>'Public Grounds'!N58</f>
        <v>0</v>
      </c>
    </row>
    <row r="10" spans="1:14" hidden="1" outlineLevel="1" x14ac:dyDescent="0.25">
      <c r="B10" s="11" t="s">
        <v>38</v>
      </c>
      <c r="D10" s="6">
        <f>'Public Grounds'!D59</f>
        <v>0</v>
      </c>
      <c r="E10" s="6">
        <f>'Public Grounds'!E59</f>
        <v>0</v>
      </c>
      <c r="F10" s="6">
        <f>'Public Grounds'!F59</f>
        <v>0</v>
      </c>
      <c r="G10" s="6">
        <f>'Public Grounds'!G59</f>
        <v>0</v>
      </c>
      <c r="H10" s="6">
        <f>'Public Grounds'!H59</f>
        <v>0</v>
      </c>
      <c r="I10" s="6">
        <f>'Public Grounds'!I59</f>
        <v>0</v>
      </c>
      <c r="J10" s="6">
        <f>'Public Grounds'!J59</f>
        <v>0</v>
      </c>
      <c r="K10" s="6">
        <f>'Public Grounds'!K59</f>
        <v>0</v>
      </c>
      <c r="L10" s="6">
        <f>'Public Grounds'!L59</f>
        <v>0</v>
      </c>
      <c r="M10" s="6">
        <f>'Public Grounds'!M59</f>
        <v>0</v>
      </c>
      <c r="N10" s="6">
        <f>'Public Grounds'!N59</f>
        <v>0</v>
      </c>
    </row>
    <row r="11" spans="1:14" hidden="1" outlineLevel="1" x14ac:dyDescent="0.25">
      <c r="B11" s="11" t="s">
        <v>19</v>
      </c>
      <c r="D11" s="6">
        <f>'Public Grounds'!D60</f>
        <v>0</v>
      </c>
      <c r="E11" s="6">
        <f>'Public Grounds'!E60</f>
        <v>0</v>
      </c>
      <c r="F11" s="6">
        <f>'Public Grounds'!F60</f>
        <v>0</v>
      </c>
      <c r="G11" s="6">
        <f>'Public Grounds'!G60</f>
        <v>0</v>
      </c>
      <c r="H11" s="6">
        <f>'Public Grounds'!H60</f>
        <v>0</v>
      </c>
      <c r="I11" s="6">
        <f>'Public Grounds'!I60</f>
        <v>1500000</v>
      </c>
      <c r="J11" s="6">
        <f>'Public Grounds'!J60</f>
        <v>0</v>
      </c>
      <c r="K11" s="6">
        <f>'Public Grounds'!K60</f>
        <v>0</v>
      </c>
      <c r="L11" s="6">
        <f>'Public Grounds'!L60</f>
        <v>0</v>
      </c>
      <c r="M11" s="6">
        <f>'Public Grounds'!M60</f>
        <v>0</v>
      </c>
      <c r="N11" s="6">
        <f>'Public Grounds'!N60</f>
        <v>0</v>
      </c>
    </row>
    <row r="12" spans="1:14" hidden="1" outlineLevel="1" x14ac:dyDescent="0.25">
      <c r="B12" s="11" t="s">
        <v>243</v>
      </c>
      <c r="D12" s="6">
        <f>'Public Grounds'!D61</f>
        <v>85000</v>
      </c>
      <c r="E12" s="6">
        <f>'Public Grounds'!E61</f>
        <v>0</v>
      </c>
      <c r="F12" s="6">
        <f>'Public Grounds'!F61</f>
        <v>0</v>
      </c>
      <c r="G12" s="6">
        <f>'Public Grounds'!G61</f>
        <v>0</v>
      </c>
      <c r="H12" s="6">
        <f>'Public Grounds'!H61</f>
        <v>0</v>
      </c>
      <c r="I12" s="6">
        <f>'Public Grounds'!I61</f>
        <v>0</v>
      </c>
      <c r="J12" s="6">
        <f>'Public Grounds'!J61</f>
        <v>0</v>
      </c>
      <c r="K12" s="6">
        <f>'Public Grounds'!K61</f>
        <v>0</v>
      </c>
      <c r="L12" s="6">
        <f>'Public Grounds'!L61</f>
        <v>0</v>
      </c>
      <c r="M12" s="6">
        <f>'Public Grounds'!M61</f>
        <v>0</v>
      </c>
      <c r="N12" s="6">
        <f>'Public Grounds'!N61</f>
        <v>0</v>
      </c>
    </row>
    <row r="13" spans="1:14" hidden="1" outlineLevel="1" x14ac:dyDescent="0.25">
      <c r="B13" s="11" t="s">
        <v>13</v>
      </c>
      <c r="D13" s="6">
        <f>'Public Grounds'!D62</f>
        <v>0</v>
      </c>
      <c r="E13" s="6">
        <f>'Public Grounds'!E62</f>
        <v>0</v>
      </c>
      <c r="F13" s="6">
        <f>'Public Grounds'!F62</f>
        <v>0</v>
      </c>
      <c r="G13" s="6">
        <f>'Public Grounds'!G62</f>
        <v>0</v>
      </c>
      <c r="H13" s="6">
        <f>'Public Grounds'!H62</f>
        <v>0</v>
      </c>
      <c r="I13" s="6">
        <f>'Public Grounds'!I62</f>
        <v>0</v>
      </c>
      <c r="J13" s="6">
        <f>'Public Grounds'!J62</f>
        <v>0</v>
      </c>
      <c r="K13" s="6">
        <f>'Public Grounds'!K62</f>
        <v>0</v>
      </c>
      <c r="L13" s="6">
        <f>'Public Grounds'!L62</f>
        <v>0</v>
      </c>
      <c r="M13" s="6">
        <f>'Public Grounds'!M62</f>
        <v>0</v>
      </c>
      <c r="N13" s="6">
        <f>'Public Grounds'!N62</f>
        <v>0</v>
      </c>
    </row>
    <row r="14" spans="1:14" hidden="1" outlineLevel="1" x14ac:dyDescent="0.25">
      <c r="B14" s="11" t="s">
        <v>50</v>
      </c>
      <c r="D14" s="6">
        <f>'Public Grounds'!D63</f>
        <v>0</v>
      </c>
      <c r="E14" s="6">
        <f>'Public Grounds'!E63</f>
        <v>0</v>
      </c>
      <c r="F14" s="6">
        <f>'Public Grounds'!F63</f>
        <v>0</v>
      </c>
      <c r="G14" s="6">
        <f>'Public Grounds'!G63</f>
        <v>0</v>
      </c>
      <c r="H14" s="6">
        <f>'Public Grounds'!H63</f>
        <v>0</v>
      </c>
      <c r="I14" s="6">
        <f>'Public Grounds'!I63</f>
        <v>0</v>
      </c>
      <c r="J14" s="6">
        <f>'Public Grounds'!J63</f>
        <v>0</v>
      </c>
      <c r="K14" s="6">
        <f>'Public Grounds'!K63</f>
        <v>0</v>
      </c>
      <c r="L14" s="6">
        <f>'Public Grounds'!L63</f>
        <v>0</v>
      </c>
      <c r="M14" s="6">
        <f>'Public Grounds'!M63</f>
        <v>0</v>
      </c>
      <c r="N14" s="6">
        <f>'Public Grounds'!N63</f>
        <v>0</v>
      </c>
    </row>
    <row r="15" spans="1:14" ht="15.75" collapsed="1" thickBot="1" x14ac:dyDescent="0.3">
      <c r="A15" t="s">
        <v>377</v>
      </c>
      <c r="D15" s="7">
        <f>SUM(D8:D14)</f>
        <v>85000</v>
      </c>
      <c r="E15" s="7">
        <f t="shared" ref="E15:N15" si="0">SUM(E8:E14)</f>
        <v>1253750</v>
      </c>
      <c r="F15" s="7">
        <f t="shared" si="0"/>
        <v>481500</v>
      </c>
      <c r="G15" s="7">
        <f t="shared" si="0"/>
        <v>114500</v>
      </c>
      <c r="H15" s="7">
        <f t="shared" si="0"/>
        <v>187000</v>
      </c>
      <c r="I15" s="7">
        <f t="shared" si="0"/>
        <v>1605000</v>
      </c>
      <c r="J15" s="7">
        <f t="shared" si="0"/>
        <v>325425</v>
      </c>
      <c r="K15" s="7">
        <f t="shared" si="0"/>
        <v>45000</v>
      </c>
      <c r="L15" s="7">
        <f t="shared" si="0"/>
        <v>45000</v>
      </c>
      <c r="M15" s="7">
        <f t="shared" si="0"/>
        <v>60000</v>
      </c>
      <c r="N15" s="7">
        <f t="shared" si="0"/>
        <v>545000</v>
      </c>
    </row>
    <row r="16" spans="1:14" ht="15.75" thickTop="1" x14ac:dyDescent="0.25">
      <c r="D16" s="8">
        <f>D15-'Public Grounds'!D51</f>
        <v>0</v>
      </c>
      <c r="E16" s="8">
        <f>E15-'Public Grounds'!E51</f>
        <v>0</v>
      </c>
      <c r="F16" s="8">
        <f>F15-'Public Grounds'!F51</f>
        <v>0</v>
      </c>
      <c r="G16" s="8">
        <f>G15-'Public Grounds'!G51</f>
        <v>0</v>
      </c>
      <c r="H16" s="8">
        <f>H15-'Public Grounds'!H51</f>
        <v>0</v>
      </c>
      <c r="I16" s="8">
        <f>I15-'Public Grounds'!I51</f>
        <v>0</v>
      </c>
      <c r="J16" s="8">
        <f>J15-'Public Grounds'!J51</f>
        <v>0</v>
      </c>
      <c r="K16" s="8">
        <f>K15-'Public Grounds'!K51</f>
        <v>0</v>
      </c>
      <c r="L16" s="8">
        <f>L15-'Public Grounds'!L51</f>
        <v>0</v>
      </c>
      <c r="M16" s="8">
        <f>M15-'Public Grounds'!M51</f>
        <v>0</v>
      </c>
      <c r="N16" s="8">
        <f>N15-'Public Grounds'!N51</f>
        <v>0</v>
      </c>
    </row>
    <row r="18" spans="1:14" hidden="1" outlineLevel="1" x14ac:dyDescent="0.25">
      <c r="A18" s="5" t="s">
        <v>47</v>
      </c>
      <c r="B18" s="11" t="s">
        <v>16</v>
      </c>
      <c r="D18" s="6">
        <f>'Public Buildings'!D105</f>
        <v>35000</v>
      </c>
      <c r="E18" s="6">
        <f>'Public Buildings'!E105</f>
        <v>1173000</v>
      </c>
      <c r="F18" s="6">
        <f>'Public Buildings'!F105</f>
        <v>1335000</v>
      </c>
      <c r="G18" s="6">
        <f>'Public Buildings'!G105</f>
        <v>1278333</v>
      </c>
      <c r="H18" s="6">
        <f>'Public Buildings'!H105</f>
        <v>1306333</v>
      </c>
      <c r="I18" s="6">
        <f>'Public Buildings'!I105</f>
        <v>998333</v>
      </c>
      <c r="J18" s="6">
        <f>'Public Buildings'!J105</f>
        <v>155000</v>
      </c>
      <c r="K18" s="6">
        <f>'Public Buildings'!K105</f>
        <v>155000</v>
      </c>
      <c r="L18" s="6">
        <f>'Public Buildings'!L105</f>
        <v>155000</v>
      </c>
      <c r="M18" s="6">
        <f>'Public Buildings'!M105</f>
        <v>155000</v>
      </c>
      <c r="N18" s="6">
        <f>'Public Buildings'!N105</f>
        <v>155000</v>
      </c>
    </row>
    <row r="19" spans="1:14" hidden="1" outlineLevel="1" x14ac:dyDescent="0.25">
      <c r="B19" s="11" t="s">
        <v>37</v>
      </c>
      <c r="D19" s="6">
        <f>'Public Buildings'!D106</f>
        <v>0</v>
      </c>
      <c r="E19" s="6">
        <f>'Public Buildings'!E106</f>
        <v>0</v>
      </c>
      <c r="F19" s="6">
        <f>'Public Buildings'!F106</f>
        <v>0</v>
      </c>
      <c r="G19" s="6">
        <f>'Public Buildings'!G106</f>
        <v>0</v>
      </c>
      <c r="H19" s="6">
        <f>'Public Buildings'!H106</f>
        <v>0</v>
      </c>
      <c r="I19" s="6">
        <f>'Public Buildings'!I106</f>
        <v>0</v>
      </c>
      <c r="J19" s="6">
        <f>'Public Buildings'!J106</f>
        <v>0</v>
      </c>
      <c r="K19" s="6">
        <f>'Public Buildings'!K106</f>
        <v>0</v>
      </c>
      <c r="L19" s="6">
        <f>'Public Buildings'!L106</f>
        <v>0</v>
      </c>
      <c r="M19" s="6">
        <f>'Public Buildings'!M106</f>
        <v>0</v>
      </c>
      <c r="N19" s="6">
        <f>'Public Buildings'!N106</f>
        <v>0</v>
      </c>
    </row>
    <row r="20" spans="1:14" hidden="1" outlineLevel="1" x14ac:dyDescent="0.25">
      <c r="B20" s="11" t="s">
        <v>38</v>
      </c>
      <c r="D20" s="6">
        <f>'Public Buildings'!D107</f>
        <v>0</v>
      </c>
      <c r="E20" s="6">
        <f>'Public Buildings'!E107</f>
        <v>0</v>
      </c>
      <c r="F20" s="6">
        <f>'Public Buildings'!F107</f>
        <v>0</v>
      </c>
      <c r="G20" s="6">
        <f>'Public Buildings'!G107</f>
        <v>0</v>
      </c>
      <c r="H20" s="6">
        <f>'Public Buildings'!H107</f>
        <v>0</v>
      </c>
      <c r="I20" s="6">
        <f>'Public Buildings'!I107</f>
        <v>0</v>
      </c>
      <c r="J20" s="6">
        <f>'Public Buildings'!J107</f>
        <v>0</v>
      </c>
      <c r="K20" s="6">
        <f>'Public Buildings'!K107</f>
        <v>0</v>
      </c>
      <c r="L20" s="6">
        <f>'Public Buildings'!L107</f>
        <v>0</v>
      </c>
      <c r="M20" s="6">
        <f>'Public Buildings'!M107</f>
        <v>0</v>
      </c>
      <c r="N20" s="6">
        <f>'Public Buildings'!N107</f>
        <v>0</v>
      </c>
    </row>
    <row r="21" spans="1:14" hidden="1" outlineLevel="1" x14ac:dyDescent="0.25">
      <c r="B21" s="11" t="s">
        <v>19</v>
      </c>
      <c r="D21" s="6">
        <f>'Public Buildings'!D108</f>
        <v>515000</v>
      </c>
      <c r="E21" s="6">
        <f>'Public Buildings'!E108</f>
        <v>0</v>
      </c>
      <c r="F21" s="6">
        <f>'Public Buildings'!F108</f>
        <v>0</v>
      </c>
      <c r="G21" s="6">
        <f>'Public Buildings'!G108</f>
        <v>3000000</v>
      </c>
      <c r="H21" s="6">
        <f>'Public Buildings'!H108</f>
        <v>2775000</v>
      </c>
      <c r="I21" s="6">
        <f>'Public Buildings'!I108</f>
        <v>1100000</v>
      </c>
      <c r="J21" s="6">
        <f>'Public Buildings'!J108</f>
        <v>0</v>
      </c>
      <c r="K21" s="6">
        <f>'Public Buildings'!K108</f>
        <v>1100000</v>
      </c>
      <c r="L21" s="6">
        <f>'Public Buildings'!L108</f>
        <v>0</v>
      </c>
      <c r="M21" s="6">
        <f>'Public Buildings'!M108</f>
        <v>0</v>
      </c>
      <c r="N21" s="6">
        <f>'Public Buildings'!N108</f>
        <v>0</v>
      </c>
    </row>
    <row r="22" spans="1:14" hidden="1" outlineLevel="1" x14ac:dyDescent="0.25">
      <c r="B22" s="11" t="s">
        <v>243</v>
      </c>
      <c r="D22" s="6">
        <f>'Public Buildings'!D109</f>
        <v>185000</v>
      </c>
      <c r="E22" s="6">
        <f>'Public Buildings'!E109</f>
        <v>0</v>
      </c>
      <c r="F22" s="6">
        <f>'Public Buildings'!F109</f>
        <v>0</v>
      </c>
      <c r="G22" s="6">
        <f>'Public Buildings'!G109</f>
        <v>0</v>
      </c>
      <c r="H22" s="6">
        <f>'Public Buildings'!H109</f>
        <v>0</v>
      </c>
      <c r="I22" s="6">
        <f>'Public Buildings'!I109</f>
        <v>0</v>
      </c>
      <c r="J22" s="6">
        <f>'Public Buildings'!J109</f>
        <v>0</v>
      </c>
      <c r="K22" s="6">
        <f>'Public Buildings'!K109</f>
        <v>0</v>
      </c>
      <c r="L22" s="6">
        <f>'Public Buildings'!L109</f>
        <v>0</v>
      </c>
      <c r="M22" s="6">
        <f>'Public Buildings'!M109</f>
        <v>0</v>
      </c>
      <c r="N22" s="6">
        <f>'Public Buildings'!N109</f>
        <v>0</v>
      </c>
    </row>
    <row r="23" spans="1:14" hidden="1" outlineLevel="1" x14ac:dyDescent="0.25">
      <c r="B23" s="11" t="s">
        <v>13</v>
      </c>
      <c r="D23" s="6">
        <f>'Public Buildings'!D110</f>
        <v>0</v>
      </c>
      <c r="E23" s="6">
        <f>'Public Buildings'!E110</f>
        <v>0</v>
      </c>
      <c r="F23" s="6">
        <f>'Public Buildings'!F110</f>
        <v>0</v>
      </c>
      <c r="G23" s="6">
        <f>'Public Buildings'!G110</f>
        <v>800000</v>
      </c>
      <c r="H23" s="6">
        <f>'Public Buildings'!H110</f>
        <v>0</v>
      </c>
      <c r="I23" s="6">
        <f>'Public Buildings'!I110</f>
        <v>0</v>
      </c>
      <c r="J23" s="6">
        <f>'Public Buildings'!J110</f>
        <v>0</v>
      </c>
      <c r="K23" s="6">
        <f>'Public Buildings'!K110</f>
        <v>0</v>
      </c>
      <c r="L23" s="6">
        <f>'Public Buildings'!L110</f>
        <v>0</v>
      </c>
      <c r="M23" s="6">
        <f>'Public Buildings'!M110</f>
        <v>0</v>
      </c>
      <c r="N23" s="6">
        <f>'Public Buildings'!N110</f>
        <v>0</v>
      </c>
    </row>
    <row r="24" spans="1:14" hidden="1" outlineLevel="1" x14ac:dyDescent="0.25">
      <c r="B24" s="11" t="s">
        <v>50</v>
      </c>
      <c r="D24" s="6">
        <v>0</v>
      </c>
      <c r="E24" s="6">
        <v>0</v>
      </c>
      <c r="F24" s="6">
        <v>0</v>
      </c>
      <c r="G24" s="6">
        <v>0</v>
      </c>
      <c r="H24" s="6">
        <v>0</v>
      </c>
      <c r="I24" s="6">
        <v>0</v>
      </c>
      <c r="J24" s="6">
        <v>0</v>
      </c>
      <c r="K24" s="6">
        <v>0</v>
      </c>
      <c r="L24" s="6">
        <v>0</v>
      </c>
      <c r="M24" s="6">
        <v>0</v>
      </c>
      <c r="N24" s="6">
        <v>0</v>
      </c>
    </row>
    <row r="25" spans="1:14" ht="15.75" collapsed="1" thickBot="1" x14ac:dyDescent="0.3">
      <c r="A25" t="s">
        <v>378</v>
      </c>
      <c r="D25" s="7">
        <f>SUM(D18:D24)</f>
        <v>735000</v>
      </c>
      <c r="E25" s="7">
        <f t="shared" ref="E25" si="1">SUM(E18:E24)</f>
        <v>1173000</v>
      </c>
      <c r="F25" s="7">
        <f t="shared" ref="F25" si="2">SUM(F18:F24)</f>
        <v>1335000</v>
      </c>
      <c r="G25" s="7">
        <f t="shared" ref="G25" si="3">SUM(G18:G24)</f>
        <v>5078333</v>
      </c>
      <c r="H25" s="7">
        <f t="shared" ref="H25" si="4">SUM(H18:H24)</f>
        <v>4081333</v>
      </c>
      <c r="I25" s="7">
        <f t="shared" ref="I25" si="5">SUM(I18:I24)</f>
        <v>2098333</v>
      </c>
      <c r="J25" s="7">
        <f t="shared" ref="J25" si="6">SUM(J18:J24)</f>
        <v>155000</v>
      </c>
      <c r="K25" s="7">
        <f t="shared" ref="K25" si="7">SUM(K18:K24)</f>
        <v>1255000</v>
      </c>
      <c r="L25" s="7">
        <f t="shared" ref="L25" si="8">SUM(L18:L24)</f>
        <v>155000</v>
      </c>
      <c r="M25" s="7">
        <f t="shared" ref="M25" si="9">SUM(M18:M24)</f>
        <v>155000</v>
      </c>
      <c r="N25" s="7">
        <f t="shared" ref="N25" si="10">SUM(N18:N24)</f>
        <v>155000</v>
      </c>
    </row>
    <row r="26" spans="1:14" ht="15.75" thickTop="1" x14ac:dyDescent="0.25">
      <c r="D26" s="8">
        <f>D25-'Public Buildings'!D98</f>
        <v>0</v>
      </c>
      <c r="E26" s="8">
        <f>E25-'Public Buildings'!E98</f>
        <v>0</v>
      </c>
      <c r="F26" s="8">
        <f>F25-'Public Buildings'!F98</f>
        <v>0</v>
      </c>
      <c r="G26" s="8">
        <f>G25-'Public Buildings'!G98</f>
        <v>0</v>
      </c>
      <c r="H26" s="8">
        <f>H25-'Public Buildings'!H98</f>
        <v>0</v>
      </c>
      <c r="I26" s="8">
        <f>I25-'Public Buildings'!I98</f>
        <v>0</v>
      </c>
      <c r="J26" s="8">
        <f>J25-'Public Buildings'!J98</f>
        <v>0</v>
      </c>
      <c r="K26" s="8">
        <f>K25-'Public Buildings'!K98</f>
        <v>0</v>
      </c>
      <c r="L26" s="8">
        <f>L25-'Public Buildings'!L98</f>
        <v>0</v>
      </c>
      <c r="M26" s="8">
        <f>M25-'Public Buildings'!M98</f>
        <v>0</v>
      </c>
      <c r="N26" s="8">
        <f>N25-'Public Buildings'!N98</f>
        <v>0</v>
      </c>
    </row>
    <row r="28" spans="1:14" hidden="1" outlineLevel="1" x14ac:dyDescent="0.25">
      <c r="A28" s="5" t="s">
        <v>48</v>
      </c>
      <c r="B28" s="11" t="s">
        <v>16</v>
      </c>
      <c r="D28" s="6">
        <f>Bridges!D31</f>
        <v>0</v>
      </c>
      <c r="E28" s="6">
        <f>Bridges!E31</f>
        <v>195600</v>
      </c>
      <c r="F28" s="6">
        <f>Bridges!F31</f>
        <v>500000</v>
      </c>
      <c r="G28" s="6">
        <f>Bridges!G31</f>
        <v>500000</v>
      </c>
      <c r="H28" s="6">
        <f>Bridges!H31</f>
        <v>250000</v>
      </c>
      <c r="I28" s="6">
        <f>Bridges!I31</f>
        <v>250000</v>
      </c>
      <c r="J28" s="6">
        <f>Bridges!J31</f>
        <v>250000</v>
      </c>
      <c r="K28" s="6">
        <f>Bridges!K31</f>
        <v>250000</v>
      </c>
      <c r="L28" s="6">
        <f>Bridges!L31</f>
        <v>250000</v>
      </c>
      <c r="M28" s="6">
        <f>Bridges!M31</f>
        <v>250000</v>
      </c>
      <c r="N28" s="6">
        <f>Bridges!N31</f>
        <v>250000</v>
      </c>
    </row>
    <row r="29" spans="1:14" hidden="1" outlineLevel="1" x14ac:dyDescent="0.25">
      <c r="A29" s="16" t="s">
        <v>267</v>
      </c>
      <c r="B29" s="11" t="s">
        <v>37</v>
      </c>
      <c r="D29" s="6">
        <f>Bridges!D32</f>
        <v>0</v>
      </c>
      <c r="E29" s="6">
        <f>Bridges!E32</f>
        <v>0</v>
      </c>
      <c r="F29" s="6">
        <f>Bridges!F32</f>
        <v>0</v>
      </c>
      <c r="G29" s="6">
        <f>Bridges!G32</f>
        <v>0</v>
      </c>
      <c r="H29" s="6">
        <f>Bridges!H32</f>
        <v>0</v>
      </c>
      <c r="I29" s="6">
        <f>Bridges!I32</f>
        <v>0</v>
      </c>
      <c r="J29" s="6">
        <f>Bridges!J32</f>
        <v>0</v>
      </c>
      <c r="K29" s="6">
        <f>Bridges!K32</f>
        <v>0</v>
      </c>
      <c r="L29" s="6">
        <f>Bridges!L32</f>
        <v>0</v>
      </c>
      <c r="M29" s="6">
        <f>Bridges!M32</f>
        <v>0</v>
      </c>
      <c r="N29" s="6">
        <f>Bridges!N32</f>
        <v>0</v>
      </c>
    </row>
    <row r="30" spans="1:14" hidden="1" outlineLevel="1" x14ac:dyDescent="0.25">
      <c r="B30" s="11" t="s">
        <v>38</v>
      </c>
      <c r="D30" s="6">
        <f>Bridges!D33</f>
        <v>0</v>
      </c>
      <c r="E30" s="6">
        <f>Bridges!E33</f>
        <v>782400</v>
      </c>
      <c r="F30" s="6">
        <f>Bridges!F33</f>
        <v>0</v>
      </c>
      <c r="G30" s="6">
        <f>Bridges!G33</f>
        <v>0</v>
      </c>
      <c r="H30" s="6">
        <f>Bridges!H33</f>
        <v>0</v>
      </c>
      <c r="I30" s="6">
        <f>Bridges!I33</f>
        <v>0</v>
      </c>
      <c r="J30" s="6">
        <f>Bridges!J33</f>
        <v>0</v>
      </c>
      <c r="K30" s="6">
        <f>Bridges!K33</f>
        <v>0</v>
      </c>
      <c r="L30" s="6">
        <f>Bridges!L33</f>
        <v>0</v>
      </c>
      <c r="M30" s="6">
        <f>Bridges!M33</f>
        <v>0</v>
      </c>
      <c r="N30" s="6">
        <f>Bridges!N33</f>
        <v>0</v>
      </c>
    </row>
    <row r="31" spans="1:14" hidden="1" outlineLevel="1" x14ac:dyDescent="0.25">
      <c r="B31" s="11" t="s">
        <v>19</v>
      </c>
      <c r="D31" s="6">
        <f>Bridges!D34</f>
        <v>1000000</v>
      </c>
      <c r="E31" s="6">
        <f>Bridges!E34</f>
        <v>1332800</v>
      </c>
      <c r="F31" s="6">
        <f>Bridges!F34</f>
        <v>1000000</v>
      </c>
      <c r="G31" s="6">
        <f>Bridges!G34</f>
        <v>0</v>
      </c>
      <c r="H31" s="6">
        <f>Bridges!H34</f>
        <v>0</v>
      </c>
      <c r="I31" s="6">
        <f>Bridges!I34</f>
        <v>0</v>
      </c>
      <c r="J31" s="6">
        <f>Bridges!J34</f>
        <v>0</v>
      </c>
      <c r="K31" s="6">
        <f>Bridges!K34</f>
        <v>0</v>
      </c>
      <c r="L31" s="6">
        <f>Bridges!L34</f>
        <v>0</v>
      </c>
      <c r="M31" s="6">
        <f>Bridges!M34</f>
        <v>0</v>
      </c>
      <c r="N31" s="6">
        <f>Bridges!N34</f>
        <v>0</v>
      </c>
    </row>
    <row r="32" spans="1:14" hidden="1" outlineLevel="1" x14ac:dyDescent="0.25">
      <c r="B32" s="11" t="s">
        <v>243</v>
      </c>
      <c r="D32" s="6">
        <f>Bridges!D35</f>
        <v>0</v>
      </c>
      <c r="E32" s="6">
        <f>Bridges!E35</f>
        <v>0</v>
      </c>
      <c r="F32" s="6">
        <f>Bridges!F35</f>
        <v>0</v>
      </c>
      <c r="G32" s="6">
        <f>Bridges!G35</f>
        <v>0</v>
      </c>
      <c r="H32" s="6">
        <f>Bridges!H35</f>
        <v>0</v>
      </c>
      <c r="I32" s="6">
        <f>Bridges!I35</f>
        <v>0</v>
      </c>
      <c r="J32" s="6">
        <f>Bridges!J35</f>
        <v>0</v>
      </c>
      <c r="K32" s="6">
        <f>Bridges!K35</f>
        <v>0</v>
      </c>
      <c r="L32" s="6">
        <f>Bridges!L35</f>
        <v>0</v>
      </c>
      <c r="M32" s="6">
        <f>Bridges!M35</f>
        <v>0</v>
      </c>
      <c r="N32" s="6">
        <f>Bridges!N35</f>
        <v>0</v>
      </c>
    </row>
    <row r="33" spans="1:17" hidden="1" outlineLevel="1" x14ac:dyDescent="0.25">
      <c r="B33" s="11" t="s">
        <v>13</v>
      </c>
      <c r="D33" s="6">
        <f>Bridges!D36</f>
        <v>0</v>
      </c>
      <c r="E33" s="6">
        <f>Bridges!E36</f>
        <v>0</v>
      </c>
      <c r="F33" s="6">
        <f>Bridges!F36</f>
        <v>0</v>
      </c>
      <c r="G33" s="6">
        <f>Bridges!G36</f>
        <v>0</v>
      </c>
      <c r="H33" s="6">
        <f>Bridges!H36</f>
        <v>0</v>
      </c>
      <c r="I33" s="6">
        <f>Bridges!I36</f>
        <v>0</v>
      </c>
      <c r="J33" s="6">
        <f>Bridges!J36</f>
        <v>0</v>
      </c>
      <c r="K33" s="6">
        <f>Bridges!K36</f>
        <v>0</v>
      </c>
      <c r="L33" s="6">
        <f>Bridges!L36</f>
        <v>0</v>
      </c>
      <c r="M33" s="6">
        <f>Bridges!M36</f>
        <v>0</v>
      </c>
      <c r="N33" s="6">
        <f>Bridges!N36</f>
        <v>0</v>
      </c>
    </row>
    <row r="34" spans="1:17" hidden="1" outlineLevel="1" x14ac:dyDescent="0.25">
      <c r="B34" s="11" t="s">
        <v>50</v>
      </c>
      <c r="D34" s="6">
        <v>0</v>
      </c>
      <c r="E34" s="6">
        <v>0</v>
      </c>
      <c r="F34" s="6">
        <v>0</v>
      </c>
      <c r="G34" s="6">
        <v>0</v>
      </c>
      <c r="H34" s="6">
        <v>0</v>
      </c>
      <c r="I34" s="6">
        <v>0</v>
      </c>
      <c r="J34" s="6">
        <v>0</v>
      </c>
      <c r="K34" s="6">
        <v>0</v>
      </c>
      <c r="L34" s="6">
        <v>0</v>
      </c>
      <c r="M34" s="6">
        <v>0</v>
      </c>
      <c r="N34" s="6">
        <v>0</v>
      </c>
    </row>
    <row r="35" spans="1:17" ht="15.75" collapsed="1" thickBot="1" x14ac:dyDescent="0.3">
      <c r="A35" t="s">
        <v>379</v>
      </c>
      <c r="D35" s="7">
        <f>SUM(D28:D34)</f>
        <v>1000000</v>
      </c>
      <c r="E35" s="7">
        <f t="shared" ref="E35" si="11">SUM(E28:E34)</f>
        <v>2310800</v>
      </c>
      <c r="F35" s="7">
        <f t="shared" ref="F35" si="12">SUM(F28:F34)</f>
        <v>1500000</v>
      </c>
      <c r="G35" s="7">
        <f t="shared" ref="G35" si="13">SUM(G28:G34)</f>
        <v>500000</v>
      </c>
      <c r="H35" s="7">
        <f t="shared" ref="H35" si="14">SUM(H28:H34)</f>
        <v>250000</v>
      </c>
      <c r="I35" s="7">
        <f t="shared" ref="I35" si="15">SUM(I28:I34)</f>
        <v>250000</v>
      </c>
      <c r="J35" s="7">
        <f t="shared" ref="J35" si="16">SUM(J28:J34)</f>
        <v>250000</v>
      </c>
      <c r="K35" s="7">
        <f t="shared" ref="K35" si="17">SUM(K28:K34)</f>
        <v>250000</v>
      </c>
      <c r="L35" s="7">
        <f t="shared" ref="L35" si="18">SUM(L28:L34)</f>
        <v>250000</v>
      </c>
      <c r="M35" s="7">
        <f t="shared" ref="M35" si="19">SUM(M28:M34)</f>
        <v>250000</v>
      </c>
      <c r="N35" s="7">
        <f t="shared" ref="N35" si="20">SUM(N28:N34)</f>
        <v>250000</v>
      </c>
    </row>
    <row r="36" spans="1:17" ht="15.75" thickTop="1" x14ac:dyDescent="0.25">
      <c r="D36" s="8">
        <f>D35-Bridges!D27</f>
        <v>0</v>
      </c>
      <c r="E36" s="8">
        <f>E35-Bridges!E27</f>
        <v>0</v>
      </c>
      <c r="F36" s="8">
        <f>F35-Bridges!F27</f>
        <v>0</v>
      </c>
      <c r="G36" s="8">
        <f>G35-Bridges!G27</f>
        <v>0</v>
      </c>
      <c r="H36" s="8">
        <f>H35-Bridges!H27</f>
        <v>0</v>
      </c>
      <c r="I36" s="8">
        <f>I35-Bridges!I27</f>
        <v>0</v>
      </c>
      <c r="J36" s="8">
        <f>J35-Bridges!J27</f>
        <v>0</v>
      </c>
      <c r="K36" s="8">
        <f>K35-Bridges!K27</f>
        <v>0</v>
      </c>
      <c r="L36" s="8">
        <f>L35-Bridges!L27</f>
        <v>0</v>
      </c>
      <c r="M36" s="8">
        <f>M35-Bridges!M27</f>
        <v>0</v>
      </c>
      <c r="N36" s="8">
        <f>N35-Bridges!N27</f>
        <v>0</v>
      </c>
    </row>
    <row r="38" spans="1:17" hidden="1" outlineLevel="1" x14ac:dyDescent="0.25">
      <c r="A38" s="5" t="s">
        <v>52</v>
      </c>
      <c r="B38" s="11" t="s">
        <v>16</v>
      </c>
      <c r="D38" s="6">
        <v>0</v>
      </c>
      <c r="E38" s="6">
        <v>0</v>
      </c>
      <c r="F38" s="6">
        <v>0</v>
      </c>
      <c r="G38" s="6">
        <v>1500000</v>
      </c>
      <c r="H38" s="6">
        <v>1500000</v>
      </c>
      <c r="I38" s="6">
        <v>1500000</v>
      </c>
      <c r="J38" s="6">
        <v>1500000</v>
      </c>
      <c r="K38" s="6">
        <v>1500000</v>
      </c>
      <c r="L38" s="6">
        <v>1500000</v>
      </c>
      <c r="M38" s="6">
        <v>1500000</v>
      </c>
      <c r="N38" s="6">
        <v>1500000</v>
      </c>
      <c r="Q38" s="8"/>
    </row>
    <row r="39" spans="1:17" hidden="1" outlineLevel="1" x14ac:dyDescent="0.25">
      <c r="A39" s="16" t="s">
        <v>268</v>
      </c>
      <c r="B39" s="11" t="s">
        <v>37</v>
      </c>
      <c r="D39" s="6">
        <v>0</v>
      </c>
      <c r="E39" s="6">
        <v>0</v>
      </c>
      <c r="F39" s="6">
        <v>0</v>
      </c>
      <c r="G39" s="6">
        <v>0</v>
      </c>
      <c r="H39" s="6">
        <v>0</v>
      </c>
      <c r="I39" s="6">
        <v>0</v>
      </c>
      <c r="J39" s="6">
        <v>0</v>
      </c>
      <c r="K39" s="6">
        <v>0</v>
      </c>
      <c r="L39" s="6">
        <v>0</v>
      </c>
      <c r="M39" s="6">
        <v>0</v>
      </c>
      <c r="N39" s="6">
        <v>0</v>
      </c>
    </row>
    <row r="40" spans="1:17" hidden="1" outlineLevel="1" x14ac:dyDescent="0.25">
      <c r="A40" s="16" t="s">
        <v>54</v>
      </c>
      <c r="B40" s="11" t="s">
        <v>38</v>
      </c>
      <c r="D40" s="6">
        <v>0</v>
      </c>
      <c r="E40" s="6">
        <v>0</v>
      </c>
      <c r="F40" s="6">
        <v>0</v>
      </c>
      <c r="G40" s="6">
        <v>0</v>
      </c>
      <c r="H40" s="6">
        <v>0</v>
      </c>
      <c r="I40" s="6">
        <v>0</v>
      </c>
      <c r="J40" s="6">
        <v>0</v>
      </c>
      <c r="K40" s="6">
        <v>0</v>
      </c>
      <c r="L40" s="6">
        <v>0</v>
      </c>
      <c r="M40" s="6">
        <v>0</v>
      </c>
      <c r="N40" s="6">
        <v>0</v>
      </c>
    </row>
    <row r="41" spans="1:17" hidden="1" outlineLevel="1" x14ac:dyDescent="0.25">
      <c r="A41" s="16" t="s">
        <v>105</v>
      </c>
      <c r="B41" s="11" t="s">
        <v>19</v>
      </c>
      <c r="D41" s="6">
        <v>1050000</v>
      </c>
      <c r="E41" s="6">
        <v>1500000</v>
      </c>
      <c r="F41" s="6">
        <v>1500000</v>
      </c>
      <c r="G41" s="6">
        <v>0</v>
      </c>
      <c r="H41" s="6">
        <v>0</v>
      </c>
      <c r="I41" s="6">
        <v>0</v>
      </c>
      <c r="J41" s="6">
        <v>0</v>
      </c>
      <c r="K41" s="6">
        <v>0</v>
      </c>
      <c r="L41" s="6">
        <v>0</v>
      </c>
      <c r="M41" s="6">
        <v>0</v>
      </c>
      <c r="N41" s="6">
        <v>0</v>
      </c>
    </row>
    <row r="42" spans="1:17" hidden="1" outlineLevel="1" x14ac:dyDescent="0.25">
      <c r="A42" s="16" t="s">
        <v>106</v>
      </c>
      <c r="B42" s="11" t="s">
        <v>243</v>
      </c>
      <c r="D42" s="6">
        <v>0</v>
      </c>
      <c r="E42" s="6">
        <v>0</v>
      </c>
      <c r="F42" s="6">
        <v>0</v>
      </c>
      <c r="G42" s="6">
        <v>0</v>
      </c>
      <c r="H42" s="6">
        <v>0</v>
      </c>
      <c r="I42" s="6">
        <v>0</v>
      </c>
      <c r="J42" s="6">
        <v>0</v>
      </c>
      <c r="K42" s="6">
        <v>0</v>
      </c>
      <c r="L42" s="6">
        <v>0</v>
      </c>
      <c r="M42" s="6">
        <v>0</v>
      </c>
      <c r="N42" s="6">
        <v>0</v>
      </c>
    </row>
    <row r="43" spans="1:17" hidden="1" outlineLevel="1" x14ac:dyDescent="0.25">
      <c r="A43" s="16" t="s">
        <v>269</v>
      </c>
      <c r="B43" s="11" t="s">
        <v>13</v>
      </c>
      <c r="D43" s="6">
        <v>0</v>
      </c>
      <c r="E43" s="6">
        <v>0</v>
      </c>
      <c r="F43" s="6">
        <v>0</v>
      </c>
      <c r="G43" s="6">
        <v>0</v>
      </c>
      <c r="H43" s="6">
        <v>0</v>
      </c>
      <c r="I43" s="6">
        <v>0</v>
      </c>
      <c r="J43" s="6">
        <v>0</v>
      </c>
      <c r="K43" s="6">
        <v>0</v>
      </c>
      <c r="L43" s="6">
        <v>0</v>
      </c>
      <c r="M43" s="6">
        <v>0</v>
      </c>
      <c r="N43" s="6">
        <v>0</v>
      </c>
    </row>
    <row r="44" spans="1:17" hidden="1" outlineLevel="1" x14ac:dyDescent="0.25">
      <c r="B44" s="11" t="s">
        <v>50</v>
      </c>
      <c r="D44" s="6">
        <v>0</v>
      </c>
      <c r="E44" s="6">
        <v>0</v>
      </c>
      <c r="F44" s="6">
        <v>0</v>
      </c>
      <c r="G44" s="6">
        <v>0</v>
      </c>
      <c r="H44" s="6">
        <v>0</v>
      </c>
      <c r="I44" s="6">
        <v>0</v>
      </c>
      <c r="J44" s="6">
        <v>0</v>
      </c>
      <c r="K44" s="6">
        <v>0</v>
      </c>
      <c r="L44" s="6">
        <v>0</v>
      </c>
      <c r="M44" s="6">
        <v>0</v>
      </c>
      <c r="N44" s="6">
        <v>0</v>
      </c>
    </row>
    <row r="45" spans="1:17" ht="15.75" collapsed="1" thickBot="1" x14ac:dyDescent="0.3">
      <c r="A45" s="16" t="s">
        <v>380</v>
      </c>
      <c r="D45" s="7">
        <f>SUM(D38:D44)</f>
        <v>1050000</v>
      </c>
      <c r="E45" s="7">
        <f t="shared" ref="E45" si="21">SUM(E38:E44)</f>
        <v>1500000</v>
      </c>
      <c r="F45" s="7">
        <f t="shared" ref="F45" si="22">SUM(F38:F44)</f>
        <v>1500000</v>
      </c>
      <c r="G45" s="7">
        <f t="shared" ref="G45" si="23">SUM(G38:G44)</f>
        <v>1500000</v>
      </c>
      <c r="H45" s="7">
        <f t="shared" ref="H45" si="24">SUM(H38:H44)</f>
        <v>1500000</v>
      </c>
      <c r="I45" s="7">
        <f t="shared" ref="I45" si="25">SUM(I38:I44)</f>
        <v>1500000</v>
      </c>
      <c r="J45" s="7">
        <f t="shared" ref="J45" si="26">SUM(J38:J44)</f>
        <v>1500000</v>
      </c>
      <c r="K45" s="7">
        <f t="shared" ref="K45" si="27">SUM(K38:K44)</f>
        <v>1500000</v>
      </c>
      <c r="L45" s="7">
        <f t="shared" ref="L45" si="28">SUM(L38:L44)</f>
        <v>1500000</v>
      </c>
      <c r="M45" s="7">
        <f t="shared" ref="M45" si="29">SUM(M38:M44)</f>
        <v>1500000</v>
      </c>
      <c r="N45" s="7">
        <f t="shared" ref="N45" si="30">SUM(N38:N44)</f>
        <v>1500000</v>
      </c>
    </row>
    <row r="46" spans="1:17" ht="15.75" thickTop="1" x14ac:dyDescent="0.25"/>
    <row r="48" spans="1:17" hidden="1" outlineLevel="1" x14ac:dyDescent="0.25">
      <c r="A48" s="5" t="s">
        <v>91</v>
      </c>
      <c r="B48" s="11" t="s">
        <v>16</v>
      </c>
      <c r="D48" s="6">
        <f>'Parking Lots &amp; Playgrounds'!D39</f>
        <v>0</v>
      </c>
      <c r="E48" s="6">
        <f>'Parking Lots &amp; Playgrounds'!E39</f>
        <v>210000</v>
      </c>
      <c r="F48" s="6">
        <f>'Parking Lots &amp; Playgrounds'!F39</f>
        <v>470000</v>
      </c>
      <c r="G48" s="6">
        <f>'Parking Lots &amp; Playgrounds'!G39</f>
        <v>251000</v>
      </c>
      <c r="H48" s="6">
        <f>'Parking Lots &amp; Playgrounds'!H39</f>
        <v>325000</v>
      </c>
      <c r="I48" s="6">
        <f>'Parking Lots &amp; Playgrounds'!I39</f>
        <v>350000</v>
      </c>
      <c r="J48" s="6">
        <f>'Parking Lots &amp; Playgrounds'!J39</f>
        <v>145000</v>
      </c>
      <c r="K48" s="6">
        <f>'Parking Lots &amp; Playgrounds'!K39</f>
        <v>100000</v>
      </c>
      <c r="L48" s="6">
        <f>'Parking Lots &amp; Playgrounds'!L39</f>
        <v>125000</v>
      </c>
      <c r="M48" s="6">
        <f>'Parking Lots &amp; Playgrounds'!M39</f>
        <v>140000</v>
      </c>
      <c r="N48" s="6">
        <f>'Parking Lots &amp; Playgrounds'!N39</f>
        <v>35000</v>
      </c>
      <c r="P48" s="6"/>
      <c r="Q48" s="8"/>
    </row>
    <row r="49" spans="1:17" hidden="1" outlineLevel="1" x14ac:dyDescent="0.25">
      <c r="A49" s="16" t="s">
        <v>266</v>
      </c>
      <c r="B49" s="11" t="s">
        <v>37</v>
      </c>
      <c r="D49" s="6">
        <f>'Parking Lots &amp; Playgrounds'!D40</f>
        <v>0</v>
      </c>
      <c r="E49" s="6">
        <f>'Parking Lots &amp; Playgrounds'!E40</f>
        <v>0</v>
      </c>
      <c r="F49" s="6">
        <f>'Parking Lots &amp; Playgrounds'!F40</f>
        <v>0</v>
      </c>
      <c r="G49" s="6">
        <f>'Parking Lots &amp; Playgrounds'!G40</f>
        <v>0</v>
      </c>
      <c r="H49" s="6">
        <f>'Parking Lots &amp; Playgrounds'!H40</f>
        <v>0</v>
      </c>
      <c r="I49" s="6">
        <f>'Parking Lots &amp; Playgrounds'!I40</f>
        <v>0</v>
      </c>
      <c r="J49" s="6">
        <f>'Parking Lots &amp; Playgrounds'!J40</f>
        <v>0</v>
      </c>
      <c r="K49" s="6">
        <f>'Parking Lots &amp; Playgrounds'!K40</f>
        <v>0</v>
      </c>
      <c r="L49" s="6">
        <f>'Parking Lots &amp; Playgrounds'!L40</f>
        <v>0</v>
      </c>
      <c r="M49" s="6">
        <f>'Parking Lots &amp; Playgrounds'!M40</f>
        <v>0</v>
      </c>
      <c r="N49" s="6">
        <f>'Parking Lots &amp; Playgrounds'!N40</f>
        <v>0</v>
      </c>
      <c r="Q49" s="8"/>
    </row>
    <row r="50" spans="1:17" hidden="1" outlineLevel="1" x14ac:dyDescent="0.25">
      <c r="B50" s="11" t="s">
        <v>38</v>
      </c>
      <c r="D50" s="6">
        <f>'Parking Lots &amp; Playgrounds'!D41</f>
        <v>0</v>
      </c>
      <c r="E50" s="6">
        <f>'Parking Lots &amp; Playgrounds'!E41</f>
        <v>0</v>
      </c>
      <c r="F50" s="6">
        <f>'Parking Lots &amp; Playgrounds'!F41</f>
        <v>55000</v>
      </c>
      <c r="G50" s="6">
        <f>'Parking Lots &amp; Playgrounds'!G41</f>
        <v>0</v>
      </c>
      <c r="H50" s="6">
        <f>'Parking Lots &amp; Playgrounds'!H41</f>
        <v>0</v>
      </c>
      <c r="I50" s="6">
        <f>'Parking Lots &amp; Playgrounds'!I41</f>
        <v>0</v>
      </c>
      <c r="J50" s="6">
        <f>'Parking Lots &amp; Playgrounds'!J41</f>
        <v>0</v>
      </c>
      <c r="K50" s="6">
        <f>'Parking Lots &amp; Playgrounds'!K41</f>
        <v>0</v>
      </c>
      <c r="L50" s="6">
        <f>'Parking Lots &amp; Playgrounds'!L41</f>
        <v>0</v>
      </c>
      <c r="M50" s="6">
        <f>'Parking Lots &amp; Playgrounds'!M41</f>
        <v>0</v>
      </c>
      <c r="N50" s="6">
        <f>'Parking Lots &amp; Playgrounds'!N41</f>
        <v>0</v>
      </c>
      <c r="Q50" s="8"/>
    </row>
    <row r="51" spans="1:17" hidden="1" outlineLevel="1" x14ac:dyDescent="0.25">
      <c r="B51" s="11" t="s">
        <v>19</v>
      </c>
      <c r="D51" s="6">
        <f>'Parking Lots &amp; Playgrounds'!D42</f>
        <v>0</v>
      </c>
      <c r="E51" s="6">
        <f>'Parking Lots &amp; Playgrounds'!E42</f>
        <v>0</v>
      </c>
      <c r="F51" s="6">
        <f>'Parking Lots &amp; Playgrounds'!F42</f>
        <v>0</v>
      </c>
      <c r="G51" s="6">
        <f>'Parking Lots &amp; Playgrounds'!G42</f>
        <v>0</v>
      </c>
      <c r="H51" s="6">
        <f>'Parking Lots &amp; Playgrounds'!H42</f>
        <v>0</v>
      </c>
      <c r="I51" s="6">
        <f>'Parking Lots &amp; Playgrounds'!I42</f>
        <v>0</v>
      </c>
      <c r="J51" s="6">
        <f>'Parking Lots &amp; Playgrounds'!J42</f>
        <v>0</v>
      </c>
      <c r="K51" s="6">
        <f>'Parking Lots &amp; Playgrounds'!K42</f>
        <v>0</v>
      </c>
      <c r="L51" s="6">
        <f>'Parking Lots &amp; Playgrounds'!L42</f>
        <v>0</v>
      </c>
      <c r="M51" s="6">
        <f>'Parking Lots &amp; Playgrounds'!M42</f>
        <v>0</v>
      </c>
      <c r="N51" s="6">
        <f>'Parking Lots &amp; Playgrounds'!N42</f>
        <v>0</v>
      </c>
      <c r="Q51" s="8"/>
    </row>
    <row r="52" spans="1:17" hidden="1" outlineLevel="1" x14ac:dyDescent="0.25">
      <c r="B52" s="11" t="s">
        <v>243</v>
      </c>
      <c r="D52" s="6">
        <f>'Parking Lots &amp; Playgrounds'!D43</f>
        <v>0</v>
      </c>
      <c r="E52" s="6">
        <f>'Parking Lots &amp; Playgrounds'!E43</f>
        <v>0</v>
      </c>
      <c r="F52" s="6">
        <f>'Parking Lots &amp; Playgrounds'!F43</f>
        <v>0</v>
      </c>
      <c r="G52" s="6">
        <f>'Parking Lots &amp; Playgrounds'!G43</f>
        <v>0</v>
      </c>
      <c r="H52" s="6">
        <f>'Parking Lots &amp; Playgrounds'!H43</f>
        <v>0</v>
      </c>
      <c r="I52" s="6">
        <f>'Parking Lots &amp; Playgrounds'!I43</f>
        <v>0</v>
      </c>
      <c r="J52" s="6">
        <f>'Parking Lots &amp; Playgrounds'!J43</f>
        <v>0</v>
      </c>
      <c r="K52" s="6">
        <f>'Parking Lots &amp; Playgrounds'!K43</f>
        <v>0</v>
      </c>
      <c r="L52" s="6">
        <f>'Parking Lots &amp; Playgrounds'!L43</f>
        <v>0</v>
      </c>
      <c r="M52" s="6">
        <f>'Parking Lots &amp; Playgrounds'!M43</f>
        <v>0</v>
      </c>
      <c r="N52" s="6">
        <f>'Parking Lots &amp; Playgrounds'!N43</f>
        <v>0</v>
      </c>
      <c r="Q52" s="8"/>
    </row>
    <row r="53" spans="1:17" hidden="1" outlineLevel="1" x14ac:dyDescent="0.25">
      <c r="B53" s="11" t="s">
        <v>13</v>
      </c>
      <c r="D53" s="6">
        <f>'Parking Lots &amp; Playgrounds'!D44</f>
        <v>0</v>
      </c>
      <c r="E53" s="6">
        <f>'Parking Lots &amp; Playgrounds'!E44</f>
        <v>0</v>
      </c>
      <c r="F53" s="6">
        <f>'Parking Lots &amp; Playgrounds'!F44</f>
        <v>0</v>
      </c>
      <c r="G53" s="6">
        <f>'Parking Lots &amp; Playgrounds'!G44</f>
        <v>0</v>
      </c>
      <c r="H53" s="6">
        <f>'Parking Lots &amp; Playgrounds'!H44</f>
        <v>0</v>
      </c>
      <c r="I53" s="6">
        <f>'Parking Lots &amp; Playgrounds'!I44</f>
        <v>0</v>
      </c>
      <c r="J53" s="6">
        <f>'Parking Lots &amp; Playgrounds'!J44</f>
        <v>0</v>
      </c>
      <c r="K53" s="6">
        <f>'Parking Lots &amp; Playgrounds'!K44</f>
        <v>0</v>
      </c>
      <c r="L53" s="6">
        <f>'Parking Lots &amp; Playgrounds'!L44</f>
        <v>0</v>
      </c>
      <c r="M53" s="6">
        <f>'Parking Lots &amp; Playgrounds'!M44</f>
        <v>0</v>
      </c>
      <c r="N53" s="6">
        <f>'Parking Lots &amp; Playgrounds'!N44</f>
        <v>0</v>
      </c>
      <c r="Q53" s="8"/>
    </row>
    <row r="54" spans="1:17" hidden="1" outlineLevel="1" x14ac:dyDescent="0.25">
      <c r="B54" s="11" t="s">
        <v>50</v>
      </c>
      <c r="D54" s="6">
        <v>0</v>
      </c>
      <c r="E54" s="6">
        <v>0</v>
      </c>
      <c r="F54" s="6">
        <v>0</v>
      </c>
      <c r="G54" s="6">
        <v>0</v>
      </c>
      <c r="H54" s="6">
        <v>0</v>
      </c>
      <c r="I54" s="6">
        <v>0</v>
      </c>
      <c r="J54" s="6">
        <v>0</v>
      </c>
      <c r="K54" s="6">
        <v>0</v>
      </c>
      <c r="L54" s="6">
        <v>0</v>
      </c>
      <c r="M54" s="6">
        <v>0</v>
      </c>
      <c r="N54" s="6">
        <v>0</v>
      </c>
      <c r="Q54" s="8"/>
    </row>
    <row r="55" spans="1:17" ht="15.75" collapsed="1" thickBot="1" x14ac:dyDescent="0.3">
      <c r="A55" t="s">
        <v>381</v>
      </c>
      <c r="D55" s="7">
        <f>SUM(D48:D54)</f>
        <v>0</v>
      </c>
      <c r="E55" s="7">
        <f t="shared" ref="E55" si="31">SUM(E48:E54)</f>
        <v>210000</v>
      </c>
      <c r="F55" s="7">
        <f t="shared" ref="F55" si="32">SUM(F48:F54)</f>
        <v>525000</v>
      </c>
      <c r="G55" s="7">
        <f t="shared" ref="G55" si="33">SUM(G48:G54)</f>
        <v>251000</v>
      </c>
      <c r="H55" s="7">
        <f t="shared" ref="H55" si="34">SUM(H48:H54)</f>
        <v>325000</v>
      </c>
      <c r="I55" s="7">
        <f t="shared" ref="I55" si="35">SUM(I48:I54)</f>
        <v>350000</v>
      </c>
      <c r="J55" s="7">
        <f t="shared" ref="J55" si="36">SUM(J48:J54)</f>
        <v>145000</v>
      </c>
      <c r="K55" s="7">
        <f t="shared" ref="K55" si="37">SUM(K48:K54)</f>
        <v>100000</v>
      </c>
      <c r="L55" s="7">
        <f t="shared" ref="L55" si="38">SUM(L48:L54)</f>
        <v>125000</v>
      </c>
      <c r="M55" s="7">
        <f t="shared" ref="M55" si="39">SUM(M48:M54)</f>
        <v>140000</v>
      </c>
      <c r="N55" s="7">
        <f t="shared" ref="N55" si="40">SUM(N48:N54)</f>
        <v>35000</v>
      </c>
      <c r="Q55" s="8"/>
    </row>
    <row r="56" spans="1:17" ht="15.75" thickTop="1" x14ac:dyDescent="0.25">
      <c r="D56" s="8">
        <f>D55-'Parking Lots &amp; Playgrounds'!D35</f>
        <v>0</v>
      </c>
      <c r="E56" s="8">
        <f>E55-'Parking Lots &amp; Playgrounds'!E35</f>
        <v>0</v>
      </c>
      <c r="F56" s="8">
        <f>F55-'Parking Lots &amp; Playgrounds'!F35</f>
        <v>0</v>
      </c>
      <c r="G56" s="8">
        <f>G55-'Parking Lots &amp; Playgrounds'!G35</f>
        <v>0</v>
      </c>
      <c r="H56" s="8">
        <f>H55-'Parking Lots &amp; Playgrounds'!H35</f>
        <v>0</v>
      </c>
      <c r="I56" s="8">
        <f>I55-'Parking Lots &amp; Playgrounds'!I35</f>
        <v>0</v>
      </c>
      <c r="J56" s="8">
        <f>J55-'Parking Lots &amp; Playgrounds'!J35</f>
        <v>0</v>
      </c>
      <c r="K56" s="8">
        <f>K55-'Parking Lots &amp; Playgrounds'!K35</f>
        <v>0</v>
      </c>
      <c r="L56" s="8">
        <f>L55-'Parking Lots &amp; Playgrounds'!L35</f>
        <v>0</v>
      </c>
      <c r="M56" s="8">
        <f>M55-'Parking Lots &amp; Playgrounds'!M35</f>
        <v>0</v>
      </c>
      <c r="N56" s="8">
        <f>N55-'Parking Lots &amp; Playgrounds'!N35</f>
        <v>0</v>
      </c>
      <c r="Q56" s="8"/>
    </row>
    <row r="57" spans="1:17" x14ac:dyDescent="0.25">
      <c r="Q57" s="8"/>
    </row>
    <row r="58" spans="1:17" hidden="1" outlineLevel="1" x14ac:dyDescent="0.25">
      <c r="A58" s="5" t="s">
        <v>49</v>
      </c>
      <c r="B58" s="11" t="s">
        <v>16</v>
      </c>
      <c r="D58" s="6">
        <f>Vehicles!E57</f>
        <v>46950</v>
      </c>
      <c r="E58" s="6">
        <f>Vehicles!F57</f>
        <v>726449</v>
      </c>
      <c r="F58" s="6">
        <f>Vehicles!G57</f>
        <v>716742</v>
      </c>
      <c r="G58" s="6">
        <f>Vehicles!H57</f>
        <v>1119643</v>
      </c>
      <c r="H58" s="6">
        <f>Vehicles!I57</f>
        <v>925191</v>
      </c>
      <c r="I58" s="6">
        <f>Vehicles!J57</f>
        <v>829738</v>
      </c>
      <c r="J58" s="6">
        <f>Vehicles!K57</f>
        <v>802186</v>
      </c>
      <c r="K58" s="6">
        <f>Vehicles!L57</f>
        <v>651018</v>
      </c>
      <c r="L58" s="6">
        <f>Vehicles!M57</f>
        <v>692799</v>
      </c>
      <c r="M58" s="6">
        <f>Vehicles!N57</f>
        <v>987187</v>
      </c>
      <c r="N58" s="6">
        <f>Vehicles!O57</f>
        <v>627543</v>
      </c>
      <c r="P58" s="6"/>
      <c r="Q58" s="8"/>
    </row>
    <row r="59" spans="1:17" hidden="1" outlineLevel="1" x14ac:dyDescent="0.25">
      <c r="A59" s="16" t="s">
        <v>265</v>
      </c>
      <c r="B59" s="11" t="s">
        <v>37</v>
      </c>
      <c r="D59" s="6">
        <f>Vehicles!E58</f>
        <v>0</v>
      </c>
      <c r="E59" s="6">
        <f>Vehicles!F58</f>
        <v>0</v>
      </c>
      <c r="F59" s="6">
        <f>Vehicles!G58</f>
        <v>0</v>
      </c>
      <c r="G59" s="6">
        <f>Vehicles!H58</f>
        <v>0</v>
      </c>
      <c r="H59" s="6">
        <f>Vehicles!I58</f>
        <v>0</v>
      </c>
      <c r="I59" s="6">
        <f>Vehicles!J58</f>
        <v>0</v>
      </c>
      <c r="J59" s="6">
        <f>Vehicles!K58</f>
        <v>0</v>
      </c>
      <c r="K59" s="6">
        <f>Vehicles!L58</f>
        <v>0</v>
      </c>
      <c r="L59" s="6">
        <f>Vehicles!M58</f>
        <v>0</v>
      </c>
      <c r="M59" s="6">
        <f>Vehicles!N58</f>
        <v>0</v>
      </c>
      <c r="N59" s="6">
        <f>Vehicles!O58</f>
        <v>0</v>
      </c>
    </row>
    <row r="60" spans="1:17" hidden="1" outlineLevel="1" x14ac:dyDescent="0.25">
      <c r="B60" s="11" t="s">
        <v>38</v>
      </c>
      <c r="D60" s="6">
        <f>Vehicles!E59</f>
        <v>0</v>
      </c>
      <c r="E60" s="6">
        <f>Vehicles!F59</f>
        <v>0</v>
      </c>
      <c r="F60" s="6">
        <f>Vehicles!G59</f>
        <v>0</v>
      </c>
      <c r="G60" s="6">
        <f>Vehicles!H59</f>
        <v>0</v>
      </c>
      <c r="H60" s="6">
        <f>Vehicles!I59</f>
        <v>0</v>
      </c>
      <c r="I60" s="6">
        <f>Vehicles!J59</f>
        <v>0</v>
      </c>
      <c r="J60" s="6">
        <f>Vehicles!K59</f>
        <v>0</v>
      </c>
      <c r="K60" s="6">
        <f>Vehicles!L59</f>
        <v>0</v>
      </c>
      <c r="L60" s="6">
        <f>Vehicles!M59</f>
        <v>0</v>
      </c>
      <c r="M60" s="6">
        <f>Vehicles!N59</f>
        <v>0</v>
      </c>
      <c r="N60" s="6">
        <f>Vehicles!O59</f>
        <v>0</v>
      </c>
    </row>
    <row r="61" spans="1:17" hidden="1" outlineLevel="1" x14ac:dyDescent="0.25">
      <c r="B61" s="11" t="s">
        <v>19</v>
      </c>
      <c r="D61" s="6">
        <f>Vehicles!E60</f>
        <v>0</v>
      </c>
      <c r="E61" s="6">
        <f>Vehicles!F60</f>
        <v>0</v>
      </c>
      <c r="F61" s="6">
        <f>Vehicles!G60</f>
        <v>1300000</v>
      </c>
      <c r="G61" s="6">
        <f>Vehicles!H60</f>
        <v>0</v>
      </c>
      <c r="H61" s="6">
        <f>Vehicles!I60</f>
        <v>0</v>
      </c>
      <c r="I61" s="6">
        <f>Vehicles!J60</f>
        <v>0</v>
      </c>
      <c r="J61" s="6">
        <f>Vehicles!K60</f>
        <v>1300000</v>
      </c>
      <c r="K61" s="6">
        <f>Vehicles!L60</f>
        <v>0</v>
      </c>
      <c r="L61" s="6">
        <f>Vehicles!M60</f>
        <v>0</v>
      </c>
      <c r="M61" s="6">
        <f>Vehicles!N60</f>
        <v>0</v>
      </c>
      <c r="N61" s="6">
        <f>Vehicles!O60</f>
        <v>0</v>
      </c>
    </row>
    <row r="62" spans="1:17" hidden="1" outlineLevel="1" x14ac:dyDescent="0.25">
      <c r="B62" s="11" t="s">
        <v>243</v>
      </c>
      <c r="D62" s="6">
        <f>Vehicles!E61</f>
        <v>0</v>
      </c>
      <c r="E62" s="6">
        <f>Vehicles!F61</f>
        <v>0</v>
      </c>
      <c r="F62" s="6">
        <f>Vehicles!G61</f>
        <v>0</v>
      </c>
      <c r="G62" s="6">
        <f>Vehicles!H61</f>
        <v>0</v>
      </c>
      <c r="H62" s="6">
        <f>Vehicles!I61</f>
        <v>0</v>
      </c>
      <c r="I62" s="6">
        <f>Vehicles!J61</f>
        <v>0</v>
      </c>
      <c r="J62" s="6">
        <f>Vehicles!K61</f>
        <v>0</v>
      </c>
      <c r="K62" s="6">
        <f>Vehicles!L61</f>
        <v>0</v>
      </c>
      <c r="L62" s="6">
        <f>Vehicles!M61</f>
        <v>0</v>
      </c>
      <c r="M62" s="6">
        <f>Vehicles!N61</f>
        <v>0</v>
      </c>
      <c r="N62" s="6">
        <f>Vehicles!O61</f>
        <v>0</v>
      </c>
    </row>
    <row r="63" spans="1:17" hidden="1" outlineLevel="1" x14ac:dyDescent="0.25">
      <c r="B63" s="11" t="s">
        <v>13</v>
      </c>
      <c r="D63" s="6">
        <f>Vehicles!E62</f>
        <v>0</v>
      </c>
      <c r="E63" s="6">
        <f>Vehicles!F62</f>
        <v>0</v>
      </c>
      <c r="F63" s="6">
        <f>Vehicles!G62</f>
        <v>0</v>
      </c>
      <c r="G63" s="6">
        <f>Vehicles!H62</f>
        <v>0</v>
      </c>
      <c r="H63" s="6">
        <f>Vehicles!I62</f>
        <v>0</v>
      </c>
      <c r="I63" s="6">
        <f>Vehicles!J62</f>
        <v>0</v>
      </c>
      <c r="J63" s="6">
        <f>Vehicles!K62</f>
        <v>0</v>
      </c>
      <c r="K63" s="6">
        <f>Vehicles!L62</f>
        <v>0</v>
      </c>
      <c r="L63" s="6">
        <f>Vehicles!M62</f>
        <v>0</v>
      </c>
      <c r="M63" s="6">
        <f>Vehicles!N62</f>
        <v>0</v>
      </c>
      <c r="N63" s="6">
        <f>Vehicles!O62</f>
        <v>0</v>
      </c>
    </row>
    <row r="64" spans="1:17" hidden="1" outlineLevel="1" x14ac:dyDescent="0.25">
      <c r="B64" s="11" t="s">
        <v>50</v>
      </c>
      <c r="D64" s="6">
        <v>0</v>
      </c>
      <c r="E64" s="6">
        <v>0</v>
      </c>
      <c r="F64" s="6">
        <v>0</v>
      </c>
      <c r="G64" s="6">
        <v>0</v>
      </c>
      <c r="H64" s="6">
        <v>0</v>
      </c>
      <c r="I64" s="6">
        <v>0</v>
      </c>
      <c r="J64" s="6">
        <v>0</v>
      </c>
      <c r="K64" s="6">
        <v>0</v>
      </c>
      <c r="L64" s="6">
        <v>0</v>
      </c>
      <c r="M64" s="6">
        <v>0</v>
      </c>
      <c r="N64" s="6">
        <v>0</v>
      </c>
    </row>
    <row r="65" spans="1:14" ht="15.75" collapsed="1" thickBot="1" x14ac:dyDescent="0.3">
      <c r="A65" t="s">
        <v>382</v>
      </c>
      <c r="D65" s="7">
        <f>SUM(D58:D64)</f>
        <v>46950</v>
      </c>
      <c r="E65" s="7">
        <f t="shared" ref="E65" si="41">SUM(E58:E64)</f>
        <v>726449</v>
      </c>
      <c r="F65" s="7">
        <f t="shared" ref="F65" si="42">SUM(F58:F64)</f>
        <v>2016742</v>
      </c>
      <c r="G65" s="7">
        <f t="shared" ref="G65" si="43">SUM(G58:G64)</f>
        <v>1119643</v>
      </c>
      <c r="H65" s="7">
        <f t="shared" ref="H65" si="44">SUM(H58:H64)</f>
        <v>925191</v>
      </c>
      <c r="I65" s="7">
        <f t="shared" ref="I65" si="45">SUM(I58:I64)</f>
        <v>829738</v>
      </c>
      <c r="J65" s="7">
        <f t="shared" ref="J65" si="46">SUM(J58:J64)</f>
        <v>2102186</v>
      </c>
      <c r="K65" s="7">
        <f t="shared" ref="K65" si="47">SUM(K58:K64)</f>
        <v>651018</v>
      </c>
      <c r="L65" s="7">
        <f t="shared" ref="L65" si="48">SUM(L58:L64)</f>
        <v>692799</v>
      </c>
      <c r="M65" s="7">
        <f t="shared" ref="M65" si="49">SUM(M58:M64)</f>
        <v>987187</v>
      </c>
      <c r="N65" s="7">
        <f t="shared" ref="N65" si="50">SUM(N58:N64)</f>
        <v>627543</v>
      </c>
    </row>
    <row r="66" spans="1:14" ht="15.75" thickTop="1" x14ac:dyDescent="0.25">
      <c r="D66" s="8">
        <f>D65-Vehicles!E53</f>
        <v>0</v>
      </c>
      <c r="E66" s="8">
        <f>E65-Vehicles!F53</f>
        <v>0</v>
      </c>
      <c r="F66" s="8">
        <f>F65-Vehicles!G53</f>
        <v>0</v>
      </c>
      <c r="G66" s="8">
        <f>G65-Vehicles!H53</f>
        <v>0</v>
      </c>
      <c r="H66" s="8">
        <f>H65-Vehicles!I53</f>
        <v>0</v>
      </c>
      <c r="I66" s="8">
        <f>I65-Vehicles!J53</f>
        <v>0</v>
      </c>
      <c r="J66" s="8">
        <f>J65-Vehicles!K53</f>
        <v>0</v>
      </c>
      <c r="K66" s="8">
        <f>K65-Vehicles!L53</f>
        <v>0</v>
      </c>
      <c r="L66" s="8">
        <f>L65-Vehicles!M53</f>
        <v>0</v>
      </c>
      <c r="M66" s="8">
        <f>M65-Vehicles!N53</f>
        <v>0</v>
      </c>
      <c r="N66" s="8">
        <f>N65-Vehicles!O53</f>
        <v>0</v>
      </c>
    </row>
    <row r="68" spans="1:14" hidden="1" outlineLevel="1" x14ac:dyDescent="0.25">
      <c r="A68" s="5" t="s">
        <v>101</v>
      </c>
      <c r="B68" s="11" t="s">
        <v>16</v>
      </c>
      <c r="D68" s="6">
        <f>'Other Capital Needs'!F104</f>
        <v>15869</v>
      </c>
      <c r="E68" s="6">
        <f>'Other Capital Needs'!G104</f>
        <v>859547</v>
      </c>
      <c r="F68" s="6">
        <f>'Other Capital Needs'!H104</f>
        <v>1411530</v>
      </c>
      <c r="G68" s="6">
        <f>'Other Capital Needs'!I104</f>
        <v>1300678</v>
      </c>
      <c r="H68" s="6">
        <f>'Other Capital Needs'!J104</f>
        <v>734967</v>
      </c>
      <c r="I68" s="6">
        <f>'Other Capital Needs'!K104</f>
        <v>678718</v>
      </c>
      <c r="J68" s="6">
        <f>'Other Capital Needs'!L104</f>
        <v>601814</v>
      </c>
      <c r="K68" s="6">
        <f>'Other Capital Needs'!M104</f>
        <v>572249</v>
      </c>
      <c r="L68" s="6">
        <f>'Other Capital Needs'!N104</f>
        <v>599685</v>
      </c>
      <c r="M68" s="6">
        <f>'Other Capital Needs'!O104</f>
        <v>621185</v>
      </c>
      <c r="N68" s="6">
        <f>'Other Capital Needs'!P104</f>
        <v>849185</v>
      </c>
    </row>
    <row r="69" spans="1:14" hidden="1" outlineLevel="1" x14ac:dyDescent="0.25">
      <c r="B69" s="11" t="s">
        <v>37</v>
      </c>
      <c r="D69" s="6">
        <f>'Other Capital Needs'!F105</f>
        <v>0</v>
      </c>
      <c r="E69" s="6">
        <f>'Other Capital Needs'!G105</f>
        <v>0</v>
      </c>
      <c r="F69" s="6">
        <f>'Other Capital Needs'!H105</f>
        <v>100000</v>
      </c>
      <c r="G69" s="6">
        <f>'Other Capital Needs'!I105</f>
        <v>0</v>
      </c>
      <c r="H69" s="6">
        <f>'Other Capital Needs'!J105</f>
        <v>75000</v>
      </c>
      <c r="I69" s="6">
        <f>'Other Capital Needs'!K105</f>
        <v>75000</v>
      </c>
      <c r="J69" s="6">
        <f>'Other Capital Needs'!L105</f>
        <v>0</v>
      </c>
      <c r="K69" s="6">
        <f>'Other Capital Needs'!M105</f>
        <v>0</v>
      </c>
      <c r="L69" s="6">
        <f>'Other Capital Needs'!N105</f>
        <v>0</v>
      </c>
      <c r="M69" s="6">
        <f>'Other Capital Needs'!O105</f>
        <v>0</v>
      </c>
      <c r="N69" s="6">
        <f>'Other Capital Needs'!P105</f>
        <v>0</v>
      </c>
    </row>
    <row r="70" spans="1:14" hidden="1" outlineLevel="1" x14ac:dyDescent="0.25">
      <c r="B70" s="11" t="s">
        <v>38</v>
      </c>
      <c r="D70" s="6">
        <f>'Other Capital Needs'!F106</f>
        <v>0</v>
      </c>
      <c r="E70" s="6">
        <f>'Other Capital Needs'!G106</f>
        <v>170000</v>
      </c>
      <c r="F70" s="6">
        <f>'Other Capital Needs'!H106</f>
        <v>470000</v>
      </c>
      <c r="G70" s="6">
        <f>'Other Capital Needs'!I106</f>
        <v>270000</v>
      </c>
      <c r="H70" s="6">
        <f>'Other Capital Needs'!J106</f>
        <v>270000</v>
      </c>
      <c r="I70" s="6">
        <f>'Other Capital Needs'!K106</f>
        <v>270000</v>
      </c>
      <c r="J70" s="6">
        <f>'Other Capital Needs'!L106</f>
        <v>270000</v>
      </c>
      <c r="K70" s="6">
        <f>'Other Capital Needs'!M106</f>
        <v>270000</v>
      </c>
      <c r="L70" s="6">
        <f>'Other Capital Needs'!N106</f>
        <v>270000</v>
      </c>
      <c r="M70" s="6">
        <f>'Other Capital Needs'!O106</f>
        <v>270000</v>
      </c>
      <c r="N70" s="6">
        <f>'Other Capital Needs'!P106</f>
        <v>270000</v>
      </c>
    </row>
    <row r="71" spans="1:14" hidden="1" outlineLevel="1" x14ac:dyDescent="0.25">
      <c r="B71" s="11" t="s">
        <v>19</v>
      </c>
      <c r="D71" s="6">
        <f>'Other Capital Needs'!F107</f>
        <v>2100000</v>
      </c>
      <c r="E71" s="6">
        <f>'Other Capital Needs'!G107</f>
        <v>1400000</v>
      </c>
      <c r="F71" s="6">
        <f>'Other Capital Needs'!H107</f>
        <v>0</v>
      </c>
      <c r="G71" s="6">
        <f>'Other Capital Needs'!I107</f>
        <v>1000000</v>
      </c>
      <c r="H71" s="6">
        <f>'Other Capital Needs'!J107</f>
        <v>0</v>
      </c>
      <c r="I71" s="6">
        <f>'Other Capital Needs'!K107</f>
        <v>0</v>
      </c>
      <c r="J71" s="6">
        <f>'Other Capital Needs'!L107</f>
        <v>0</v>
      </c>
      <c r="K71" s="6">
        <f>'Other Capital Needs'!M107</f>
        <v>0</v>
      </c>
      <c r="L71" s="6">
        <f>'Other Capital Needs'!N107</f>
        <v>0</v>
      </c>
      <c r="M71" s="6">
        <f>'Other Capital Needs'!O107</f>
        <v>0</v>
      </c>
      <c r="N71" s="6">
        <f>'Other Capital Needs'!P107</f>
        <v>0</v>
      </c>
    </row>
    <row r="72" spans="1:14" hidden="1" outlineLevel="1" x14ac:dyDescent="0.25">
      <c r="B72" s="11" t="s">
        <v>243</v>
      </c>
      <c r="D72" s="6">
        <f>'Other Capital Needs'!F108</f>
        <v>0</v>
      </c>
      <c r="E72" s="6">
        <f>'Other Capital Needs'!G108</f>
        <v>61000</v>
      </c>
      <c r="F72" s="6">
        <f>'Other Capital Needs'!H108</f>
        <v>0</v>
      </c>
      <c r="G72" s="6">
        <f>'Other Capital Needs'!I108</f>
        <v>0</v>
      </c>
      <c r="H72" s="6">
        <f>'Other Capital Needs'!J108</f>
        <v>16000</v>
      </c>
      <c r="I72" s="6">
        <f>'Other Capital Needs'!K108</f>
        <v>0</v>
      </c>
      <c r="J72" s="6">
        <f>'Other Capital Needs'!L108</f>
        <v>0</v>
      </c>
      <c r="K72" s="6">
        <f>'Other Capital Needs'!M108</f>
        <v>0</v>
      </c>
      <c r="L72" s="6">
        <f>'Other Capital Needs'!N108</f>
        <v>0</v>
      </c>
      <c r="M72" s="6">
        <f>'Other Capital Needs'!O108</f>
        <v>0</v>
      </c>
      <c r="N72" s="6">
        <f>'Other Capital Needs'!P108</f>
        <v>0</v>
      </c>
    </row>
    <row r="73" spans="1:14" hidden="1" outlineLevel="1" x14ac:dyDescent="0.25">
      <c r="B73" s="11" t="s">
        <v>13</v>
      </c>
      <c r="D73" s="6">
        <f>'Other Capital Needs'!F109</f>
        <v>0</v>
      </c>
      <c r="E73" s="6">
        <f>'Other Capital Needs'!G109</f>
        <v>0</v>
      </c>
      <c r="F73" s="6">
        <f>'Other Capital Needs'!H109</f>
        <v>0</v>
      </c>
      <c r="G73" s="6">
        <f>'Other Capital Needs'!I109</f>
        <v>0</v>
      </c>
      <c r="H73" s="6">
        <f>'Other Capital Needs'!J109</f>
        <v>0</v>
      </c>
      <c r="I73" s="6">
        <f>'Other Capital Needs'!K109</f>
        <v>0</v>
      </c>
      <c r="J73" s="6">
        <f>'Other Capital Needs'!L109</f>
        <v>0</v>
      </c>
      <c r="K73" s="6">
        <f>'Other Capital Needs'!M109</f>
        <v>0</v>
      </c>
      <c r="L73" s="6">
        <f>'Other Capital Needs'!N109</f>
        <v>0</v>
      </c>
      <c r="M73" s="6">
        <f>'Other Capital Needs'!O109</f>
        <v>0</v>
      </c>
      <c r="N73" s="6">
        <f>'Other Capital Needs'!P109</f>
        <v>0</v>
      </c>
    </row>
    <row r="74" spans="1:14" hidden="1" outlineLevel="1" x14ac:dyDescent="0.25">
      <c r="B74" s="11" t="s">
        <v>50</v>
      </c>
      <c r="D74" s="6">
        <f>'Other Capital Needs'!F110</f>
        <v>0</v>
      </c>
      <c r="E74" s="6">
        <f>'Other Capital Needs'!G110</f>
        <v>0</v>
      </c>
      <c r="F74" s="6">
        <f>'Other Capital Needs'!H110</f>
        <v>0</v>
      </c>
      <c r="G74" s="6">
        <f>'Other Capital Needs'!I110</f>
        <v>0</v>
      </c>
      <c r="H74" s="6">
        <f>'Other Capital Needs'!J110</f>
        <v>0</v>
      </c>
      <c r="I74" s="6">
        <f>'Other Capital Needs'!K110</f>
        <v>0</v>
      </c>
      <c r="J74" s="6">
        <f>'Other Capital Needs'!L110</f>
        <v>0</v>
      </c>
      <c r="K74" s="6">
        <f>'Other Capital Needs'!M110</f>
        <v>0</v>
      </c>
      <c r="L74" s="6">
        <f>'Other Capital Needs'!N110</f>
        <v>0</v>
      </c>
      <c r="M74" s="6">
        <f>'Other Capital Needs'!O110</f>
        <v>0</v>
      </c>
      <c r="N74" s="6">
        <f>'Other Capital Needs'!P110</f>
        <v>0</v>
      </c>
    </row>
    <row r="75" spans="1:14" ht="15.75" collapsed="1" thickBot="1" x14ac:dyDescent="0.3">
      <c r="A75" t="s">
        <v>383</v>
      </c>
      <c r="D75" s="7">
        <f>SUM(D68:D74)</f>
        <v>2115869</v>
      </c>
      <c r="E75" s="7">
        <f t="shared" ref="E75:N75" si="51">SUM(E68:E74)</f>
        <v>2490547</v>
      </c>
      <c r="F75" s="7">
        <f t="shared" si="51"/>
        <v>1981530</v>
      </c>
      <c r="G75" s="7">
        <f t="shared" si="51"/>
        <v>2570678</v>
      </c>
      <c r="H75" s="7">
        <f t="shared" si="51"/>
        <v>1095967</v>
      </c>
      <c r="I75" s="7">
        <f t="shared" si="51"/>
        <v>1023718</v>
      </c>
      <c r="J75" s="7">
        <f t="shared" si="51"/>
        <v>871814</v>
      </c>
      <c r="K75" s="7">
        <f t="shared" si="51"/>
        <v>842249</v>
      </c>
      <c r="L75" s="7">
        <f t="shared" si="51"/>
        <v>869685</v>
      </c>
      <c r="M75" s="7">
        <f t="shared" si="51"/>
        <v>891185</v>
      </c>
      <c r="N75" s="7">
        <f t="shared" si="51"/>
        <v>1119185</v>
      </c>
    </row>
    <row r="76" spans="1:14" ht="15.75" thickTop="1" x14ac:dyDescent="0.25">
      <c r="D76" s="8">
        <f>D75-'Other Capital Needs'!F97</f>
        <v>0</v>
      </c>
      <c r="E76" s="8">
        <f>E75-'Other Capital Needs'!G97</f>
        <v>0</v>
      </c>
      <c r="F76" s="8">
        <f>F75-'Other Capital Needs'!H97</f>
        <v>0</v>
      </c>
      <c r="G76" s="8">
        <f>G75-'Other Capital Needs'!I97</f>
        <v>0</v>
      </c>
      <c r="H76" s="8">
        <f>H75-'Other Capital Needs'!J97</f>
        <v>0</v>
      </c>
      <c r="I76" s="8">
        <f>I75-'Other Capital Needs'!K97</f>
        <v>0</v>
      </c>
      <c r="J76" s="8">
        <f>J75-'Other Capital Needs'!L97</f>
        <v>0</v>
      </c>
      <c r="K76" s="8">
        <f>K75-'Other Capital Needs'!M97</f>
        <v>0</v>
      </c>
      <c r="L76" s="8">
        <f>L75-'Other Capital Needs'!N97</f>
        <v>0</v>
      </c>
      <c r="M76" s="8">
        <f>M75-'Other Capital Needs'!O97</f>
        <v>0</v>
      </c>
      <c r="N76" s="8">
        <f>N75-'Other Capital Needs'!P97</f>
        <v>0</v>
      </c>
    </row>
    <row r="78" spans="1:14" hidden="1" outlineLevel="1" x14ac:dyDescent="0.25">
      <c r="A78" s="5" t="s">
        <v>50</v>
      </c>
      <c r="B78" s="11" t="s">
        <v>16</v>
      </c>
      <c r="D78" s="6">
        <v>0</v>
      </c>
      <c r="E78" s="6">
        <v>0</v>
      </c>
      <c r="F78" s="6">
        <v>0</v>
      </c>
      <c r="G78" s="6">
        <v>0</v>
      </c>
      <c r="H78" s="6">
        <v>0</v>
      </c>
      <c r="I78" s="6">
        <v>0</v>
      </c>
      <c r="J78" s="6">
        <v>0</v>
      </c>
      <c r="K78" s="6">
        <v>0</v>
      </c>
      <c r="L78" s="6">
        <v>0</v>
      </c>
      <c r="M78" s="6">
        <v>0</v>
      </c>
      <c r="N78" s="6">
        <v>0</v>
      </c>
    </row>
    <row r="79" spans="1:14" hidden="1" outlineLevel="1" x14ac:dyDescent="0.25">
      <c r="B79" s="11" t="s">
        <v>37</v>
      </c>
      <c r="D79" s="6">
        <v>0</v>
      </c>
      <c r="E79" s="6">
        <v>0</v>
      </c>
      <c r="F79" s="6">
        <v>0</v>
      </c>
      <c r="G79" s="6">
        <v>0</v>
      </c>
      <c r="H79" s="6">
        <v>0</v>
      </c>
      <c r="I79" s="6">
        <v>0</v>
      </c>
      <c r="J79" s="6">
        <v>0</v>
      </c>
      <c r="K79" s="6">
        <v>0</v>
      </c>
      <c r="L79" s="6">
        <v>0</v>
      </c>
      <c r="M79" s="6">
        <v>0</v>
      </c>
      <c r="N79" s="6">
        <v>0</v>
      </c>
    </row>
    <row r="80" spans="1:14" hidden="1" outlineLevel="1" x14ac:dyDescent="0.25">
      <c r="B80" s="11" t="s">
        <v>38</v>
      </c>
      <c r="D80" s="6">
        <v>0</v>
      </c>
      <c r="E80" s="6">
        <v>0</v>
      </c>
      <c r="F80" s="6">
        <v>0</v>
      </c>
      <c r="G80" s="6">
        <v>0</v>
      </c>
      <c r="H80" s="6">
        <v>0</v>
      </c>
      <c r="I80" s="6">
        <v>0</v>
      </c>
      <c r="J80" s="6">
        <v>0</v>
      </c>
      <c r="K80" s="6">
        <v>0</v>
      </c>
      <c r="L80" s="6">
        <v>0</v>
      </c>
      <c r="M80" s="6">
        <v>0</v>
      </c>
      <c r="N80" s="6">
        <v>0</v>
      </c>
    </row>
    <row r="81" spans="1:14" hidden="1" outlineLevel="1" x14ac:dyDescent="0.25">
      <c r="B81" s="11" t="s">
        <v>19</v>
      </c>
      <c r="D81" s="6">
        <v>0</v>
      </c>
      <c r="E81" s="6">
        <v>0</v>
      </c>
      <c r="F81" s="6">
        <v>0</v>
      </c>
      <c r="G81" s="6">
        <v>0</v>
      </c>
      <c r="H81" s="6">
        <v>0</v>
      </c>
      <c r="I81" s="6">
        <v>0</v>
      </c>
      <c r="J81" s="6">
        <v>0</v>
      </c>
      <c r="K81" s="6">
        <v>0</v>
      </c>
      <c r="L81" s="6">
        <v>0</v>
      </c>
      <c r="M81" s="6">
        <v>0</v>
      </c>
      <c r="N81" s="6">
        <v>0</v>
      </c>
    </row>
    <row r="82" spans="1:14" hidden="1" outlineLevel="1" x14ac:dyDescent="0.25">
      <c r="B82" s="11" t="s">
        <v>243</v>
      </c>
      <c r="D82" s="6">
        <v>0</v>
      </c>
      <c r="E82" s="6">
        <v>0</v>
      </c>
      <c r="F82" s="6">
        <v>0</v>
      </c>
      <c r="G82" s="6">
        <v>0</v>
      </c>
      <c r="H82" s="6">
        <v>0</v>
      </c>
      <c r="I82" s="6">
        <v>0</v>
      </c>
      <c r="J82" s="6">
        <v>0</v>
      </c>
      <c r="K82" s="6">
        <v>0</v>
      </c>
      <c r="L82" s="6">
        <v>0</v>
      </c>
      <c r="M82" s="6">
        <v>0</v>
      </c>
      <c r="N82" s="6">
        <v>0</v>
      </c>
    </row>
    <row r="83" spans="1:14" hidden="1" outlineLevel="1" x14ac:dyDescent="0.25">
      <c r="B83" s="11" t="s">
        <v>13</v>
      </c>
      <c r="D83" s="6">
        <v>0</v>
      </c>
      <c r="E83" s="6">
        <v>0</v>
      </c>
      <c r="F83" s="6">
        <v>0</v>
      </c>
      <c r="G83" s="6">
        <v>0</v>
      </c>
      <c r="H83" s="6">
        <v>0</v>
      </c>
      <c r="I83" s="6">
        <v>0</v>
      </c>
      <c r="J83" s="6">
        <v>0</v>
      </c>
      <c r="K83" s="6">
        <v>0</v>
      </c>
      <c r="L83" s="6">
        <v>0</v>
      </c>
      <c r="M83" s="6">
        <v>0</v>
      </c>
      <c r="N83" s="6">
        <v>0</v>
      </c>
    </row>
    <row r="84" spans="1:14" hidden="1" outlineLevel="1" x14ac:dyDescent="0.25">
      <c r="B84" s="11" t="s">
        <v>50</v>
      </c>
      <c r="D84" s="6" t="e">
        <f>'Water Control'!#REF!</f>
        <v>#REF!</v>
      </c>
      <c r="E84" s="6" t="e">
        <f>'Water Control'!#REF!</f>
        <v>#REF!</v>
      </c>
      <c r="F84" s="6" t="e">
        <f>'Water Control'!#REF!</f>
        <v>#REF!</v>
      </c>
      <c r="G84" s="6" t="e">
        <f>'Water Control'!#REF!</f>
        <v>#REF!</v>
      </c>
      <c r="H84" s="6" t="e">
        <f>'Water Control'!#REF!</f>
        <v>#REF!</v>
      </c>
      <c r="I84" s="6" t="e">
        <f>'Water Control'!#REF!</f>
        <v>#REF!</v>
      </c>
      <c r="J84" s="6" t="e">
        <f>'Water Control'!#REF!</f>
        <v>#REF!</v>
      </c>
      <c r="K84" s="6" t="e">
        <f>'Water Control'!#REF!</f>
        <v>#REF!</v>
      </c>
      <c r="L84" s="6" t="e">
        <f>'Water Control'!#REF!</f>
        <v>#REF!</v>
      </c>
      <c r="M84" s="6" t="e">
        <f>'Water Control'!#REF!</f>
        <v>#REF!</v>
      </c>
      <c r="N84" s="6" t="e">
        <f>'Water Control'!#REF!</f>
        <v>#REF!</v>
      </c>
    </row>
    <row r="85" spans="1:14" ht="15.75" collapsed="1" thickBot="1" x14ac:dyDescent="0.3">
      <c r="A85" t="s">
        <v>384</v>
      </c>
      <c r="D85" s="7" t="e">
        <f>SUM(D78:D84)</f>
        <v>#REF!</v>
      </c>
      <c r="E85" s="7" t="e">
        <f t="shared" ref="E85" si="52">SUM(E78:E84)</f>
        <v>#REF!</v>
      </c>
      <c r="F85" s="7" t="e">
        <f t="shared" ref="F85" si="53">SUM(F78:F84)</f>
        <v>#REF!</v>
      </c>
      <c r="G85" s="7" t="e">
        <f t="shared" ref="G85" si="54">SUM(G78:G84)</f>
        <v>#REF!</v>
      </c>
      <c r="H85" s="7" t="e">
        <f t="shared" ref="H85" si="55">SUM(H78:H84)</f>
        <v>#REF!</v>
      </c>
      <c r="I85" s="7" t="e">
        <f t="shared" ref="I85" si="56">SUM(I78:I84)</f>
        <v>#REF!</v>
      </c>
      <c r="J85" s="7" t="e">
        <f t="shared" ref="J85" si="57">SUM(J78:J84)</f>
        <v>#REF!</v>
      </c>
      <c r="K85" s="7" t="e">
        <f t="shared" ref="K85" si="58">SUM(K78:K84)</f>
        <v>#REF!</v>
      </c>
      <c r="L85" s="7" t="e">
        <f t="shared" ref="L85" si="59">SUM(L78:L84)</f>
        <v>#REF!</v>
      </c>
      <c r="M85" s="7" t="e">
        <f t="shared" ref="M85" si="60">SUM(M78:M84)</f>
        <v>#REF!</v>
      </c>
      <c r="N85" s="7" t="e">
        <f t="shared" ref="N85" si="61">SUM(N78:N84)</f>
        <v>#REF!</v>
      </c>
    </row>
    <row r="86" spans="1:14" ht="15.75" thickTop="1" x14ac:dyDescent="0.25">
      <c r="D86" s="8" t="e">
        <f>D85-'Water Control'!D38</f>
        <v>#REF!</v>
      </c>
      <c r="E86" s="8" t="e">
        <f>E85-'Water Control'!E38</f>
        <v>#REF!</v>
      </c>
      <c r="F86" s="8" t="e">
        <f>F85-'Water Control'!F38</f>
        <v>#REF!</v>
      </c>
      <c r="G86" s="8" t="e">
        <f>G85-'Water Control'!H38</f>
        <v>#REF!</v>
      </c>
      <c r="H86" s="8" t="e">
        <f>H85-'Water Control'!I38</f>
        <v>#REF!</v>
      </c>
      <c r="I86" s="8" t="e">
        <f>I85-'Water Control'!J38</f>
        <v>#REF!</v>
      </c>
      <c r="J86" s="8" t="e">
        <f>J85-'Water Control'!K38</f>
        <v>#REF!</v>
      </c>
      <c r="K86" s="8" t="e">
        <f>K85-'Water Control'!L38</f>
        <v>#REF!</v>
      </c>
      <c r="L86" s="8" t="e">
        <f>L85-'Water Control'!N38</f>
        <v>#REF!</v>
      </c>
      <c r="M86" s="8" t="e">
        <f>M85-'Water Control'!O38</f>
        <v>#REF!</v>
      </c>
      <c r="N86" s="8" t="e">
        <f>N85-'Water Control'!P38</f>
        <v>#REF!</v>
      </c>
    </row>
    <row r="88" spans="1:14" x14ac:dyDescent="0.25">
      <c r="A88" s="81"/>
      <c r="B88" s="82"/>
      <c r="C88" s="81"/>
      <c r="D88" s="83" t="str">
        <f>D5</f>
        <v>FY18</v>
      </c>
      <c r="E88" s="83" t="str">
        <f t="shared" ref="E88:N88" si="62">E5</f>
        <v>FY19</v>
      </c>
      <c r="F88" s="83" t="str">
        <f t="shared" si="62"/>
        <v>FY20</v>
      </c>
      <c r="G88" s="83" t="str">
        <f t="shared" si="62"/>
        <v>FY21</v>
      </c>
      <c r="H88" s="83" t="str">
        <f t="shared" si="62"/>
        <v>FY22</v>
      </c>
      <c r="I88" s="83" t="str">
        <f t="shared" si="62"/>
        <v>FY23</v>
      </c>
      <c r="J88" s="83" t="str">
        <f t="shared" si="62"/>
        <v>FY24</v>
      </c>
      <c r="K88" s="83" t="str">
        <f t="shared" si="62"/>
        <v>FY25</v>
      </c>
      <c r="L88" s="83" t="str">
        <f t="shared" si="62"/>
        <v>FY26</v>
      </c>
      <c r="M88" s="83" t="str">
        <f t="shared" si="62"/>
        <v>FY27</v>
      </c>
      <c r="N88" s="83" t="str">
        <f t="shared" si="62"/>
        <v>FY28</v>
      </c>
    </row>
    <row r="89" spans="1:14" x14ac:dyDescent="0.25">
      <c r="A89" s="84" t="s">
        <v>51</v>
      </c>
      <c r="B89" s="85" t="s">
        <v>16</v>
      </c>
      <c r="C89" s="81"/>
      <c r="D89" s="86">
        <f t="shared" ref="D89:D95" si="63">D8+D18+D28+D38+D48+D58+D78+D68</f>
        <v>97819</v>
      </c>
      <c r="E89" s="86">
        <f t="shared" ref="E89:N89" si="64">E8+E18+E28+E38+E48+E58+E78+E68</f>
        <v>4231596</v>
      </c>
      <c r="F89" s="86">
        <f t="shared" si="64"/>
        <v>4914772</v>
      </c>
      <c r="G89" s="86">
        <f t="shared" si="64"/>
        <v>6064154</v>
      </c>
      <c r="H89" s="86">
        <f t="shared" si="64"/>
        <v>5228491</v>
      </c>
      <c r="I89" s="86">
        <f t="shared" si="64"/>
        <v>4711789</v>
      </c>
      <c r="J89" s="86">
        <f t="shared" si="64"/>
        <v>3574000</v>
      </c>
      <c r="K89" s="86">
        <f t="shared" si="64"/>
        <v>3273267</v>
      </c>
      <c r="L89" s="86">
        <f t="shared" si="64"/>
        <v>3367484</v>
      </c>
      <c r="M89" s="86">
        <f t="shared" si="64"/>
        <v>3713372</v>
      </c>
      <c r="N89" s="86">
        <f t="shared" si="64"/>
        <v>3961728</v>
      </c>
    </row>
    <row r="90" spans="1:14" x14ac:dyDescent="0.25">
      <c r="A90" s="81"/>
      <c r="B90" s="85" t="s">
        <v>37</v>
      </c>
      <c r="C90" s="81"/>
      <c r="D90" s="86">
        <f t="shared" si="63"/>
        <v>0</v>
      </c>
      <c r="E90" s="86">
        <f t="shared" ref="E90:N90" si="65">E9+E19+E29+E39+E49+E59+E79+E69</f>
        <v>186750</v>
      </c>
      <c r="F90" s="86">
        <f t="shared" si="65"/>
        <v>100000</v>
      </c>
      <c r="G90" s="86">
        <f t="shared" si="65"/>
        <v>0</v>
      </c>
      <c r="H90" s="86">
        <f t="shared" si="65"/>
        <v>75000</v>
      </c>
      <c r="I90" s="86">
        <f t="shared" si="65"/>
        <v>75000</v>
      </c>
      <c r="J90" s="86">
        <f t="shared" si="65"/>
        <v>205425.00000000003</v>
      </c>
      <c r="K90" s="86">
        <f t="shared" si="65"/>
        <v>0</v>
      </c>
      <c r="L90" s="86">
        <f t="shared" si="65"/>
        <v>0</v>
      </c>
      <c r="M90" s="86">
        <f t="shared" si="65"/>
        <v>0</v>
      </c>
      <c r="N90" s="86">
        <f t="shared" si="65"/>
        <v>0</v>
      </c>
    </row>
    <row r="91" spans="1:14" x14ac:dyDescent="0.25">
      <c r="A91" s="81"/>
      <c r="B91" s="85" t="s">
        <v>38</v>
      </c>
      <c r="C91" s="81"/>
      <c r="D91" s="86">
        <f t="shared" si="63"/>
        <v>0</v>
      </c>
      <c r="E91" s="86">
        <f t="shared" ref="E91:N91" si="66">E10+E20+E30+E40+E50+E60+E80+E70</f>
        <v>952400</v>
      </c>
      <c r="F91" s="86">
        <f t="shared" si="66"/>
        <v>525000</v>
      </c>
      <c r="G91" s="86">
        <f t="shared" si="66"/>
        <v>270000</v>
      </c>
      <c r="H91" s="86">
        <f t="shared" si="66"/>
        <v>270000</v>
      </c>
      <c r="I91" s="86">
        <f t="shared" si="66"/>
        <v>270000</v>
      </c>
      <c r="J91" s="86">
        <f t="shared" si="66"/>
        <v>270000</v>
      </c>
      <c r="K91" s="86">
        <f t="shared" si="66"/>
        <v>270000</v>
      </c>
      <c r="L91" s="86">
        <f t="shared" si="66"/>
        <v>270000</v>
      </c>
      <c r="M91" s="86">
        <f t="shared" si="66"/>
        <v>270000</v>
      </c>
      <c r="N91" s="86">
        <f t="shared" si="66"/>
        <v>270000</v>
      </c>
    </row>
    <row r="92" spans="1:14" x14ac:dyDescent="0.25">
      <c r="A92" s="81"/>
      <c r="B92" s="85" t="s">
        <v>19</v>
      </c>
      <c r="C92" s="81"/>
      <c r="D92" s="86">
        <f t="shared" si="63"/>
        <v>4665000</v>
      </c>
      <c r="E92" s="86">
        <f t="shared" ref="E92:N92" si="67">E11+E21+E31+E41+E51+E61+E81+E71</f>
        <v>4232800</v>
      </c>
      <c r="F92" s="86">
        <f t="shared" si="67"/>
        <v>3800000</v>
      </c>
      <c r="G92" s="86">
        <f t="shared" si="67"/>
        <v>4000000</v>
      </c>
      <c r="H92" s="86">
        <f t="shared" si="67"/>
        <v>2775000</v>
      </c>
      <c r="I92" s="86">
        <f t="shared" si="67"/>
        <v>2600000</v>
      </c>
      <c r="J92" s="86">
        <f t="shared" si="67"/>
        <v>1300000</v>
      </c>
      <c r="K92" s="86">
        <f t="shared" si="67"/>
        <v>1100000</v>
      </c>
      <c r="L92" s="86">
        <f t="shared" si="67"/>
        <v>0</v>
      </c>
      <c r="M92" s="86">
        <f t="shared" si="67"/>
        <v>0</v>
      </c>
      <c r="N92" s="86">
        <f t="shared" si="67"/>
        <v>0</v>
      </c>
    </row>
    <row r="93" spans="1:14" x14ac:dyDescent="0.25">
      <c r="A93" s="81"/>
      <c r="B93" s="85" t="s">
        <v>243</v>
      </c>
      <c r="C93" s="81"/>
      <c r="D93" s="86">
        <f t="shared" si="63"/>
        <v>270000</v>
      </c>
      <c r="E93" s="86">
        <f t="shared" ref="E93:N93" si="68">E12+E22+E32+E42+E52+E62+E82+E72</f>
        <v>61000</v>
      </c>
      <c r="F93" s="86">
        <f t="shared" si="68"/>
        <v>0</v>
      </c>
      <c r="G93" s="86">
        <f t="shared" si="68"/>
        <v>0</v>
      </c>
      <c r="H93" s="86">
        <f t="shared" si="68"/>
        <v>16000</v>
      </c>
      <c r="I93" s="86">
        <f t="shared" si="68"/>
        <v>0</v>
      </c>
      <c r="J93" s="86">
        <f t="shared" si="68"/>
        <v>0</v>
      </c>
      <c r="K93" s="86">
        <f t="shared" si="68"/>
        <v>0</v>
      </c>
      <c r="L93" s="86">
        <f t="shared" si="68"/>
        <v>0</v>
      </c>
      <c r="M93" s="86">
        <f t="shared" si="68"/>
        <v>0</v>
      </c>
      <c r="N93" s="86">
        <f t="shared" si="68"/>
        <v>0</v>
      </c>
    </row>
    <row r="94" spans="1:14" x14ac:dyDescent="0.25">
      <c r="A94" s="81"/>
      <c r="B94" s="85" t="s">
        <v>13</v>
      </c>
      <c r="C94" s="81"/>
      <c r="D94" s="86">
        <f t="shared" si="63"/>
        <v>0</v>
      </c>
      <c r="E94" s="86">
        <f t="shared" ref="E94:N94" si="69">E13+E23+E33+E43+E53+E63+E83+E73</f>
        <v>0</v>
      </c>
      <c r="F94" s="86">
        <f t="shared" si="69"/>
        <v>0</v>
      </c>
      <c r="G94" s="86">
        <f t="shared" si="69"/>
        <v>800000</v>
      </c>
      <c r="H94" s="86">
        <f t="shared" si="69"/>
        <v>0</v>
      </c>
      <c r="I94" s="86">
        <f t="shared" si="69"/>
        <v>0</v>
      </c>
      <c r="J94" s="86">
        <f t="shared" si="69"/>
        <v>0</v>
      </c>
      <c r="K94" s="86">
        <f t="shared" si="69"/>
        <v>0</v>
      </c>
      <c r="L94" s="86">
        <f t="shared" si="69"/>
        <v>0</v>
      </c>
      <c r="M94" s="86">
        <f t="shared" si="69"/>
        <v>0</v>
      </c>
      <c r="N94" s="86">
        <f t="shared" si="69"/>
        <v>0</v>
      </c>
    </row>
    <row r="95" spans="1:14" x14ac:dyDescent="0.25">
      <c r="A95" s="81"/>
      <c r="B95" s="85" t="s">
        <v>50</v>
      </c>
      <c r="C95" s="81"/>
      <c r="D95" s="86" t="e">
        <f t="shared" si="63"/>
        <v>#REF!</v>
      </c>
      <c r="E95" s="86" t="e">
        <f t="shared" ref="E95:N95" si="70">E14+E24+E34+E44+E54+E64+E84+E74</f>
        <v>#REF!</v>
      </c>
      <c r="F95" s="86" t="e">
        <f t="shared" si="70"/>
        <v>#REF!</v>
      </c>
      <c r="G95" s="86" t="e">
        <f t="shared" si="70"/>
        <v>#REF!</v>
      </c>
      <c r="H95" s="86" t="e">
        <f t="shared" si="70"/>
        <v>#REF!</v>
      </c>
      <c r="I95" s="86" t="e">
        <f t="shared" si="70"/>
        <v>#REF!</v>
      </c>
      <c r="J95" s="86" t="e">
        <f t="shared" si="70"/>
        <v>#REF!</v>
      </c>
      <c r="K95" s="86" t="e">
        <f t="shared" si="70"/>
        <v>#REF!</v>
      </c>
      <c r="L95" s="86" t="e">
        <f t="shared" si="70"/>
        <v>#REF!</v>
      </c>
      <c r="M95" s="86" t="e">
        <f t="shared" si="70"/>
        <v>#REF!</v>
      </c>
      <c r="N95" s="86" t="e">
        <f t="shared" si="70"/>
        <v>#REF!</v>
      </c>
    </row>
    <row r="96" spans="1:14" ht="15.75" thickBot="1" x14ac:dyDescent="0.3">
      <c r="A96" s="81"/>
      <c r="B96" s="82"/>
      <c r="C96" s="81"/>
      <c r="D96" s="87" t="e">
        <f>SUM(D89:D95)</f>
        <v>#REF!</v>
      </c>
      <c r="E96" s="87" t="e">
        <f t="shared" ref="E96" si="71">SUM(E89:E95)</f>
        <v>#REF!</v>
      </c>
      <c r="F96" s="87" t="e">
        <f t="shared" ref="F96" si="72">SUM(F89:F95)</f>
        <v>#REF!</v>
      </c>
      <c r="G96" s="87" t="e">
        <f t="shared" ref="G96" si="73">SUM(G89:G95)</f>
        <v>#REF!</v>
      </c>
      <c r="H96" s="87" t="e">
        <f t="shared" ref="H96" si="74">SUM(H89:H95)</f>
        <v>#REF!</v>
      </c>
      <c r="I96" s="87" t="e">
        <f t="shared" ref="I96" si="75">SUM(I89:I95)</f>
        <v>#REF!</v>
      </c>
      <c r="J96" s="87" t="e">
        <f t="shared" ref="J96" si="76">SUM(J89:J95)</f>
        <v>#REF!</v>
      </c>
      <c r="K96" s="87" t="e">
        <f t="shared" ref="K96" si="77">SUM(K89:K95)</f>
        <v>#REF!</v>
      </c>
      <c r="L96" s="87" t="e">
        <f t="shared" ref="L96" si="78">SUM(L89:L95)</f>
        <v>#REF!</v>
      </c>
      <c r="M96" s="87" t="e">
        <f t="shared" ref="M96" si="79">SUM(M89:M95)</f>
        <v>#REF!</v>
      </c>
      <c r="N96" s="87" t="e">
        <f t="shared" ref="N96" si="80">SUM(N89:N95)</f>
        <v>#REF!</v>
      </c>
    </row>
    <row r="97" spans="1:14" ht="15.75" thickTop="1" x14ac:dyDescent="0.25">
      <c r="D97" s="8" t="e">
        <f>D96-('Other Capital Needs'!F97+'Public Grounds'!D51+'Public Buildings'!D98+Bridges!D27+'Parking Lots &amp; Playgrounds'!D35+Vehicles!E53+Summary!D45+'Water Control'!#REF!)</f>
        <v>#REF!</v>
      </c>
      <c r="E97" s="8" t="e">
        <f>E96-('Other Capital Needs'!G97+'Public Grounds'!E51+'Public Buildings'!E98+Bridges!E27+'Parking Lots &amp; Playgrounds'!E35+Vehicles!F53+Summary!E45+'Water Control'!#REF!)</f>
        <v>#REF!</v>
      </c>
      <c r="F97" s="8" t="e">
        <f>F96-('Other Capital Needs'!H97+'Public Grounds'!F51+'Public Buildings'!F98+Bridges!F27+'Parking Lots &amp; Playgrounds'!F35+Vehicles!G53+Summary!F45+'Water Control'!#REF!)</f>
        <v>#REF!</v>
      </c>
      <c r="G97" s="8" t="e">
        <f>G96-('Other Capital Needs'!I97+'Public Grounds'!G51+'Public Buildings'!G98+Bridges!G27+'Parking Lots &amp; Playgrounds'!G35+Vehicles!H53+Summary!G45+'Water Control'!#REF!)</f>
        <v>#REF!</v>
      </c>
      <c r="H97" s="8" t="e">
        <f>H96-('Other Capital Needs'!J97+'Public Grounds'!H51+'Public Buildings'!H98+Bridges!H27+'Parking Lots &amp; Playgrounds'!H35+Vehicles!I53+Summary!H45+'Water Control'!#REF!)</f>
        <v>#REF!</v>
      </c>
      <c r="I97" s="8" t="e">
        <f>I96-('Other Capital Needs'!K97+'Public Grounds'!I51+'Public Buildings'!I98+Bridges!I27+'Parking Lots &amp; Playgrounds'!I35+Vehicles!J53+Summary!I45+'Water Control'!#REF!)</f>
        <v>#REF!</v>
      </c>
      <c r="J97" s="8" t="e">
        <f>J96-('Other Capital Needs'!L97+'Public Grounds'!J51+'Public Buildings'!J98+Bridges!J27+'Parking Lots &amp; Playgrounds'!J35+Vehicles!K53+Summary!J45+'Water Control'!#REF!)</f>
        <v>#REF!</v>
      </c>
      <c r="K97" s="8" t="e">
        <f>K96-('Other Capital Needs'!M97+'Public Grounds'!K51+'Public Buildings'!K98+Bridges!K27+'Parking Lots &amp; Playgrounds'!K35+Vehicles!L53+Summary!K45+'Water Control'!#REF!)</f>
        <v>#REF!</v>
      </c>
      <c r="L97" s="8" t="e">
        <f>L96-('Other Capital Needs'!N97+'Public Grounds'!L51+'Public Buildings'!L98+Bridges!L27+'Parking Lots &amp; Playgrounds'!L35+Vehicles!M53+Summary!L45+'Water Control'!#REF!)</f>
        <v>#REF!</v>
      </c>
      <c r="M97" s="8" t="e">
        <f>M96-('Other Capital Needs'!O97+'Public Grounds'!M51+'Public Buildings'!M98+Bridges!M27+'Parking Lots &amp; Playgrounds'!M35+Vehicles!N53+Summary!M45+'Water Control'!#REF!)</f>
        <v>#REF!</v>
      </c>
      <c r="N97" s="8" t="e">
        <f>N96-('Other Capital Needs'!P97+'Public Grounds'!N51+'Public Buildings'!N98+Bridges!N27+'Parking Lots &amp; Playgrounds'!N35+Vehicles!O53+Summary!N45+'Water Control'!#REF!)</f>
        <v>#REF!</v>
      </c>
    </row>
    <row r="99" spans="1:14" x14ac:dyDescent="0.25">
      <c r="D99" s="80" t="str">
        <f>D5</f>
        <v>FY18</v>
      </c>
      <c r="E99" s="80" t="str">
        <f t="shared" ref="E99:N99" si="81">E5</f>
        <v>FY19</v>
      </c>
      <c r="F99" s="80" t="str">
        <f t="shared" si="81"/>
        <v>FY20</v>
      </c>
      <c r="G99" s="80" t="str">
        <f t="shared" si="81"/>
        <v>FY21</v>
      </c>
      <c r="H99" s="80" t="str">
        <f t="shared" si="81"/>
        <v>FY22</v>
      </c>
      <c r="I99" s="80" t="str">
        <f t="shared" si="81"/>
        <v>FY23</v>
      </c>
      <c r="J99" s="80" t="str">
        <f t="shared" si="81"/>
        <v>FY24</v>
      </c>
      <c r="K99" s="80" t="str">
        <f t="shared" si="81"/>
        <v>FY25</v>
      </c>
      <c r="L99" s="80" t="str">
        <f t="shared" si="81"/>
        <v>FY26</v>
      </c>
      <c r="M99" s="80" t="str">
        <f t="shared" si="81"/>
        <v>FY27</v>
      </c>
      <c r="N99" s="80" t="str">
        <f t="shared" si="81"/>
        <v>FY28</v>
      </c>
    </row>
    <row r="100" spans="1:14" x14ac:dyDescent="0.25">
      <c r="A100" s="72" t="s">
        <v>314</v>
      </c>
      <c r="B100" s="73"/>
      <c r="C100" s="74"/>
      <c r="D100" s="75">
        <f>'Other Capital Needs'!F115+'Public Grounds'!D68+'Public Buildings'!D116+Bridges!D49+'Parking Lots &amp; Playgrounds'!D50+Vehicles!E68</f>
        <v>3450</v>
      </c>
      <c r="E100" s="75">
        <f>'Other Capital Needs'!G115+'Public Grounds'!E68+'Public Buildings'!E116+Bridges!E49+'Parking Lots &amp; Playgrounds'!E50+Vehicles!F68</f>
        <v>203929</v>
      </c>
      <c r="F100" s="75">
        <f>'Other Capital Needs'!H115+'Public Grounds'!F68+'Public Buildings'!F116+Bridges!F49+'Parking Lots &amp; Playgrounds'!F50+Vehicles!G68</f>
        <v>231679</v>
      </c>
      <c r="G100" s="75">
        <f>'Other Capital Needs'!I115+'Public Grounds'!G68+'Public Buildings'!G116+Bridges!G49+'Parking Lots &amp; Playgrounds'!G50+Vehicles!H68</f>
        <v>93640</v>
      </c>
      <c r="H100" s="75">
        <f>'Other Capital Needs'!J115+'Public Grounds'!H68+'Public Buildings'!H116+Bridges!H49+'Parking Lots &amp; Playgrounds'!H50+Vehicles!I68</f>
        <v>96500</v>
      </c>
      <c r="I100" s="75">
        <f>'Other Capital Needs'!K115+'Public Grounds'!I68+'Public Buildings'!I116+Bridges!I49+'Parking Lots &amp; Playgrounds'!I50+Vehicles!J68</f>
        <v>146700</v>
      </c>
      <c r="J100" s="75">
        <f>'Other Capital Needs'!L115+'Public Grounds'!J68+'Public Buildings'!J116+Bridges!J49+'Parking Lots &amp; Playgrounds'!J50+Vehicles!K68</f>
        <v>106500</v>
      </c>
      <c r="K100" s="75">
        <f>'Other Capital Needs'!M115+'Public Grounds'!K68+'Public Buildings'!K116+Bridges!K49+'Parking Lots &amp; Playgrounds'!K50+Vehicles!L68</f>
        <v>75200</v>
      </c>
      <c r="L100" s="75">
        <f>'Other Capital Needs'!N115+'Public Grounds'!L68+'Public Buildings'!L116+Bridges!L49+'Parking Lots &amp; Playgrounds'!L50+Vehicles!M68</f>
        <v>105200</v>
      </c>
      <c r="M100" s="75">
        <f>'Other Capital Needs'!O115+'Public Grounds'!M68+'Public Buildings'!M116+Bridges!M49+'Parking Lots &amp; Playgrounds'!M50+Vehicles!N68</f>
        <v>125900</v>
      </c>
      <c r="N100" s="75">
        <f>'Other Capital Needs'!P115+'Public Grounds'!N68+'Public Buildings'!N116+Bridges!N49+'Parking Lots &amp; Playgrounds'!N50+Vehicles!O68</f>
        <v>236900</v>
      </c>
    </row>
    <row r="101" spans="1:14" x14ac:dyDescent="0.25">
      <c r="A101" s="72" t="s">
        <v>316</v>
      </c>
      <c r="B101" s="73"/>
      <c r="C101" s="74"/>
      <c r="D101" s="75">
        <f>'Other Capital Needs'!F116+'Public Grounds'!D69+'Public Buildings'!D117+Bridges!D50+'Parking Lots &amp; Playgrounds'!D51+Vehicles!E69</f>
        <v>0</v>
      </c>
      <c r="E101" s="75">
        <f>'Other Capital Needs'!G116+'Public Grounds'!E69+'Public Buildings'!E117+Bridges!E50+'Parking Lots &amp; Playgrounds'!E51+Vehicles!F69</f>
        <v>25000</v>
      </c>
      <c r="F101" s="75">
        <f>'Other Capital Needs'!H116+'Public Grounds'!F69+'Public Buildings'!F117+Bridges!F50+'Parking Lots &amp; Playgrounds'!F51+Vehicles!G69</f>
        <v>200000</v>
      </c>
      <c r="G101" s="75">
        <f>'Other Capital Needs'!I116+'Public Grounds'!G69+'Public Buildings'!G117+Bridges!G50+'Parking Lots &amp; Playgrounds'!G51+Vehicles!H69</f>
        <v>0</v>
      </c>
      <c r="H101" s="75">
        <f>'Other Capital Needs'!J116+'Public Grounds'!H69+'Public Buildings'!H117+Bridges!H50+'Parking Lots &amp; Playgrounds'!H51+Vehicles!I69</f>
        <v>0</v>
      </c>
      <c r="I101" s="75">
        <f>'Other Capital Needs'!K116+'Public Grounds'!I69+'Public Buildings'!I117+Bridges!I50+'Parking Lots &amp; Playgrounds'!I51+Vehicles!J69</f>
        <v>0</v>
      </c>
      <c r="J101" s="75">
        <f>'Other Capital Needs'!L116+'Public Grounds'!J69+'Public Buildings'!J117+Bridges!J50+'Parking Lots &amp; Playgrounds'!J51+Vehicles!K69</f>
        <v>0</v>
      </c>
      <c r="K101" s="75">
        <f>'Other Capital Needs'!M116+'Public Grounds'!K69+'Public Buildings'!K117+Bridges!K50+'Parking Lots &amp; Playgrounds'!K51+Vehicles!L69</f>
        <v>0</v>
      </c>
      <c r="L101" s="75">
        <f>'Other Capital Needs'!N116+'Public Grounds'!L69+'Public Buildings'!L117+Bridges!L50+'Parking Lots &amp; Playgrounds'!L51+Vehicles!M69</f>
        <v>0</v>
      </c>
      <c r="M101" s="75">
        <f>'Other Capital Needs'!O116+'Public Grounds'!M69+'Public Buildings'!M117+Bridges!M50+'Parking Lots &amp; Playgrounds'!M51+Vehicles!N69</f>
        <v>0</v>
      </c>
      <c r="N101" s="75">
        <f>'Other Capital Needs'!P116+'Public Grounds'!N69+'Public Buildings'!N117+Bridges!N50+'Parking Lots &amp; Playgrounds'!N51+Vehicles!O69</f>
        <v>0</v>
      </c>
    </row>
    <row r="102" spans="1:14" x14ac:dyDescent="0.25">
      <c r="A102" s="72" t="s">
        <v>315</v>
      </c>
      <c r="B102" s="73"/>
      <c r="C102" s="74"/>
      <c r="D102" s="75">
        <f>'Other Capital Needs'!F117+'Public Grounds'!D70+'Public Buildings'!D118+Bridges!D51+'Parking Lots &amp; Playgrounds'!D52+Vehicles!E70</f>
        <v>2106000</v>
      </c>
      <c r="E102" s="75">
        <f>'Other Capital Needs'!G117+'Public Grounds'!E70+'Public Buildings'!E118+Bridges!E51+'Parking Lots &amp; Playgrounds'!E52+Vehicles!F70</f>
        <v>563400</v>
      </c>
      <c r="F102" s="75">
        <f>'Other Capital Needs'!H117+'Public Grounds'!F70+'Public Buildings'!F118+Bridges!F51+'Parking Lots &amp; Playgrounds'!F52+Vehicles!G70</f>
        <v>1980154</v>
      </c>
      <c r="G102" s="75">
        <f>'Other Capital Needs'!I117+'Public Grounds'!G70+'Public Buildings'!G118+Bridges!G51+'Parking Lots &amp; Playgrounds'!G52+Vehicles!H70</f>
        <v>1917654</v>
      </c>
      <c r="H102" s="75">
        <f>'Other Capital Needs'!J117+'Public Grounds'!H70+'Public Buildings'!H118+Bridges!H51+'Parking Lots &amp; Playgrounds'!H52+Vehicles!I70</f>
        <v>591000</v>
      </c>
      <c r="I102" s="75">
        <f>'Other Capital Needs'!K117+'Public Grounds'!I70+'Public Buildings'!I118+Bridges!I51+'Parking Lots &amp; Playgrounds'!I52+Vehicles!J70</f>
        <v>498000</v>
      </c>
      <c r="J102" s="75">
        <f>'Other Capital Needs'!L117+'Public Grounds'!J70+'Public Buildings'!J118+Bridges!J51+'Parking Lots &amp; Playgrounds'!J52+Vehicles!K70</f>
        <v>1734036</v>
      </c>
      <c r="K102" s="75">
        <f>'Other Capital Needs'!M117+'Public Grounds'!K70+'Public Buildings'!K118+Bridges!K51+'Parking Lots &amp; Playgrounds'!K52+Vehicles!L70</f>
        <v>456736</v>
      </c>
      <c r="L102" s="75">
        <f>'Other Capital Needs'!N117+'Public Grounds'!L70+'Public Buildings'!L118+Bridges!L51+'Parking Lots &amp; Playgrounds'!L52+Vehicles!M70</f>
        <v>361700</v>
      </c>
      <c r="M102" s="75">
        <f>'Other Capital Needs'!O117+'Public Grounds'!M70+'Public Buildings'!M118+Bridges!M51+'Parking Lots &amp; Playgrounds'!M52+Vehicles!N70</f>
        <v>645500</v>
      </c>
      <c r="N102" s="75">
        <f>'Other Capital Needs'!P117+'Public Grounds'!N70+'Public Buildings'!N118+Bridges!N51+'Parking Lots &amp; Playgrounds'!N52+Vehicles!O70</f>
        <v>429500</v>
      </c>
    </row>
    <row r="103" spans="1:14" x14ac:dyDescent="0.25">
      <c r="A103" s="72" t="s">
        <v>365</v>
      </c>
      <c r="B103" s="73"/>
      <c r="C103" s="74"/>
      <c r="D103" s="75">
        <f>'Other Capital Needs'!F118+'Public Grounds'!D71+'Public Buildings'!D119+Bridges!D52+'Parking Lots &amp; Playgrounds'!D53+Vehicles!E71+D45</f>
        <v>2785000</v>
      </c>
      <c r="E103" s="75">
        <f>'Other Capital Needs'!G118+'Public Grounds'!E71+'Public Buildings'!E119+Bridges!E52+'Parking Lots &amp; Playgrounds'!E53+Vehicles!F71+E45</f>
        <v>7268749</v>
      </c>
      <c r="F103" s="75">
        <f>'Other Capital Needs'!H118+'Public Grounds'!F71+'Public Buildings'!F119+Bridges!F52+'Parking Lots &amp; Playgrounds'!F53+Vehicles!G71+F45</f>
        <v>5828000</v>
      </c>
      <c r="G103" s="75">
        <f>'Other Capital Needs'!I118+'Public Grounds'!G71+'Public Buildings'!G119+Bridges!G52+'Parking Lots &amp; Playgrounds'!G53+Vehicles!H71+G45</f>
        <v>8328167</v>
      </c>
      <c r="H103" s="75">
        <f>'Other Capital Needs'!J118+'Public Grounds'!H71+'Public Buildings'!H119+Bridges!H52+'Parking Lots &amp; Playgrounds'!H53+Vehicles!I71+H45</f>
        <v>7084306</v>
      </c>
      <c r="I103" s="75">
        <f>'Other Capital Needs'!K118+'Public Grounds'!I71+'Public Buildings'!I119+Bridges!I52+'Parking Lots &amp; Playgrounds'!I53+Vehicles!J71+I45</f>
        <v>4953467</v>
      </c>
      <c r="J103" s="75">
        <f>'Other Capital Needs'!L118+'Public Grounds'!J71+'Public Buildings'!J119+Bridges!J52+'Parking Lots &amp; Playgrounds'!J53+Vehicles!K71+J45</f>
        <v>2694849</v>
      </c>
      <c r="K103" s="75">
        <f>'Other Capital Needs'!M118+'Public Grounds'!K71+'Public Buildings'!K119+Bridges!K52+'Parking Lots &amp; Playgrounds'!K53+Vehicles!L71+K45</f>
        <v>3663000</v>
      </c>
      <c r="L103" s="75">
        <f>'Other Capital Needs'!N118+'Public Grounds'!L71+'Public Buildings'!L119+Bridges!L52+'Parking Lots &amp; Playgrounds'!L53+Vehicles!M71+L45</f>
        <v>2626715</v>
      </c>
      <c r="M103" s="75">
        <f>'Other Capital Needs'!O118+'Public Grounds'!M71+'Public Buildings'!M119+Bridges!M52+'Parking Lots &amp; Playgrounds'!M53+Vehicles!N71+M45</f>
        <v>2642683</v>
      </c>
      <c r="N103" s="75">
        <f>'Other Capital Needs'!P118+'Public Grounds'!N71+'Public Buildings'!N119+Bridges!N52+'Parking Lots &amp; Playgrounds'!N53+Vehicles!O71+N45</f>
        <v>2597847</v>
      </c>
    </row>
    <row r="104" spans="1:14" x14ac:dyDescent="0.25">
      <c r="A104" s="72" t="s">
        <v>366</v>
      </c>
      <c r="B104" s="73"/>
      <c r="C104" s="74"/>
      <c r="D104" s="75">
        <f>'Other Capital Needs'!F119+'Public Grounds'!D72+'Public Buildings'!D120+Bridges!D53+'Parking Lots &amp; Playgrounds'!D54+Vehicles!E72</f>
        <v>99419</v>
      </c>
      <c r="E104" s="75">
        <f>'Other Capital Needs'!G119+'Public Grounds'!E72+'Public Buildings'!E120+Bridges!E53+'Parking Lots &amp; Playgrounds'!E54+Vehicles!F72</f>
        <v>1337631</v>
      </c>
      <c r="F104" s="75">
        <f>'Other Capital Needs'!H119+'Public Grounds'!F72+'Public Buildings'!F120+Bridges!F53+'Parking Lots &amp; Playgrounds'!F54+Vehicles!G72</f>
        <v>743081</v>
      </c>
      <c r="G104" s="75">
        <f>'Other Capital Needs'!I119+'Public Grounds'!G72+'Public Buildings'!G120+Bridges!G53+'Parking Lots &amp; Playgrounds'!G54+Vehicles!H72</f>
        <v>383226</v>
      </c>
      <c r="H104" s="75">
        <f>'Other Capital Needs'!J119+'Public Grounds'!H72+'Public Buildings'!H120+Bridges!H53+'Parking Lots &amp; Playgrounds'!H54+Vehicles!I72</f>
        <v>240726</v>
      </c>
      <c r="I104" s="75">
        <f>'Other Capital Needs'!K119+'Public Grounds'!I72+'Public Buildings'!I120+Bridges!I53+'Parking Lots &amp; Playgrounds'!I54+Vehicles!J72</f>
        <v>1701226</v>
      </c>
      <c r="J104" s="75">
        <f>'Other Capital Needs'!L119+'Public Grounds'!J72+'Public Buildings'!J120+Bridges!J53+'Parking Lots &amp; Playgrounds'!J54+Vehicles!K72</f>
        <v>456989</v>
      </c>
      <c r="K104" s="75">
        <f>'Other Capital Needs'!M119+'Public Grounds'!K72+'Public Buildings'!K120+Bridges!K53+'Parking Lots &amp; Playgrounds'!K54+Vehicles!L72</f>
        <v>88599</v>
      </c>
      <c r="L104" s="75">
        <f>'Other Capital Needs'!N119+'Public Grounds'!L72+'Public Buildings'!L120+Bridges!L53+'Parking Lots &amp; Playgrounds'!L54+Vehicles!M72</f>
        <v>209035</v>
      </c>
      <c r="M104" s="75">
        <f>'Other Capital Needs'!O119+'Public Grounds'!M72+'Public Buildings'!M120+Bridges!M53+'Parking Lots &amp; Playgrounds'!M54+Vehicles!N72</f>
        <v>207035</v>
      </c>
      <c r="N104" s="75">
        <f>'Other Capital Needs'!P119+'Public Grounds'!N72+'Public Buildings'!N120+Bridges!N53+'Parking Lots &amp; Playgrounds'!N54+Vehicles!O72</f>
        <v>557035</v>
      </c>
    </row>
    <row r="105" spans="1:14" x14ac:dyDescent="0.25">
      <c r="A105" s="72" t="s">
        <v>367</v>
      </c>
      <c r="B105" s="73"/>
      <c r="C105" s="74"/>
      <c r="D105" s="75">
        <f>'Other Capital Needs'!F120+'Public Grounds'!D73+'Public Buildings'!D121+Bridges!D54+'Parking Lots &amp; Playgrounds'!D55+Vehicles!E73</f>
        <v>0</v>
      </c>
      <c r="E105" s="75">
        <f>'Other Capital Needs'!G120+'Public Grounds'!E73+'Public Buildings'!E121+Bridges!E54+'Parking Lots &amp; Playgrounds'!E55+Vehicles!F73</f>
        <v>6587</v>
      </c>
      <c r="F105" s="75">
        <f>'Other Capital Needs'!H120+'Public Grounds'!F73+'Public Buildings'!F121+Bridges!F54+'Parking Lots &amp; Playgrounds'!F55+Vehicles!G73</f>
        <v>12270</v>
      </c>
      <c r="G105" s="75">
        <f>'Other Capital Needs'!I120+'Public Grounds'!G73+'Public Buildings'!G121+Bridges!G54+'Parking Lots &amp; Playgrounds'!G55+Vehicles!H73</f>
        <v>12812</v>
      </c>
      <c r="H105" s="75">
        <f>'Other Capital Needs'!J120+'Public Grounds'!H73+'Public Buildings'!H121+Bridges!H54+'Parking Lots &amp; Playgrounds'!H55+Vehicles!I73</f>
        <v>10241</v>
      </c>
      <c r="I105" s="75">
        <f>'Other Capital Needs'!K120+'Public Grounds'!I73+'Public Buildings'!I121+Bridges!I54+'Parking Lots &amp; Playgrounds'!I55+Vehicles!J73</f>
        <v>13792</v>
      </c>
      <c r="J105" s="75">
        <f>'Other Capital Needs'!L120+'Public Grounds'!J73+'Public Buildings'!J121+Bridges!J54+'Parking Lots &amp; Playgrounds'!J55+Vehicles!K73</f>
        <v>13750</v>
      </c>
      <c r="K105" s="75">
        <f>'Other Capital Needs'!M120+'Public Grounds'!K73+'Public Buildings'!K121+Bridges!K54+'Parking Lots &amp; Playgrounds'!K55+Vehicles!L73</f>
        <v>13750</v>
      </c>
      <c r="L105" s="75">
        <f>'Other Capital Needs'!N120+'Public Grounds'!L73+'Public Buildings'!L121+Bridges!L54+'Parking Lots &amp; Playgrounds'!L55+Vehicles!M73</f>
        <v>13750</v>
      </c>
      <c r="M105" s="75">
        <f>'Other Capital Needs'!O120+'Public Grounds'!M73+'Public Buildings'!M121+Bridges!M54+'Parking Lots &amp; Playgrounds'!M55+Vehicles!N73</f>
        <v>13750</v>
      </c>
      <c r="N105" s="75">
        <f>'Other Capital Needs'!P120+'Public Grounds'!N73+'Public Buildings'!N121+Bridges!N54+'Parking Lots &amp; Playgrounds'!N55+Vehicles!O73</f>
        <v>13750</v>
      </c>
    </row>
    <row r="106" spans="1:14" x14ac:dyDescent="0.25">
      <c r="A106" s="72" t="s">
        <v>1</v>
      </c>
      <c r="B106" s="73"/>
      <c r="C106" s="74"/>
      <c r="D106" s="75">
        <f>'Other Capital Needs'!F121+'Public Grounds'!D74+'Public Buildings'!D122+Bridges!D55+'Parking Lots &amp; Playgrounds'!D56+Vehicles!E74</f>
        <v>38950</v>
      </c>
      <c r="E106" s="75">
        <f>'Other Capital Needs'!G121+'Public Grounds'!E74+'Public Buildings'!E122+Bridges!E55+'Parking Lots &amp; Playgrounds'!E56+Vehicles!F74</f>
        <v>259250</v>
      </c>
      <c r="F106" s="75">
        <f>'Other Capital Needs'!H121+'Public Grounds'!F74+'Public Buildings'!F122+Bridges!F55+'Parking Lots &amp; Playgrounds'!F56+Vehicles!G74</f>
        <v>344588</v>
      </c>
      <c r="G106" s="75">
        <f>'Other Capital Needs'!I121+'Public Grounds'!G74+'Public Buildings'!G122+Bridges!G55+'Parking Lots &amp; Playgrounds'!G56+Vehicles!H74</f>
        <v>398655</v>
      </c>
      <c r="H106" s="75">
        <f>'Other Capital Needs'!J121+'Public Grounds'!H74+'Public Buildings'!H122+Bridges!H55+'Parking Lots &amp; Playgrounds'!H56+Vehicles!I74</f>
        <v>341718</v>
      </c>
      <c r="I106" s="75">
        <f>'Other Capital Needs'!K121+'Public Grounds'!I74+'Public Buildings'!I122+Bridges!I55+'Parking Lots &amp; Playgrounds'!I56+Vehicles!J74</f>
        <v>343604</v>
      </c>
      <c r="J106" s="75">
        <f>'Other Capital Needs'!L121+'Public Grounds'!J74+'Public Buildings'!J122+Bridges!J55+'Parking Lots &amp; Playgrounds'!J56+Vehicles!K74</f>
        <v>343301</v>
      </c>
      <c r="K106" s="75">
        <f>'Other Capital Needs'!M121+'Public Grounds'!K74+'Public Buildings'!K122+Bridges!K55+'Parking Lots &amp; Playgrounds'!K56+Vehicles!L74</f>
        <v>345982</v>
      </c>
      <c r="L106" s="75">
        <f>'Other Capital Needs'!N121+'Public Grounds'!L74+'Public Buildings'!L122+Bridges!L55+'Parking Lots &amp; Playgrounds'!L56+Vehicles!M74</f>
        <v>321084</v>
      </c>
      <c r="M106" s="75">
        <f>'Other Capital Needs'!O121+'Public Grounds'!M74+'Public Buildings'!M122+Bridges!M55+'Parking Lots &amp; Playgrounds'!M56+Vehicles!N74</f>
        <v>348504</v>
      </c>
      <c r="N106" s="75">
        <f>'Other Capital Needs'!P121+'Public Grounds'!N74+'Public Buildings'!N122+Bridges!N55+'Parking Lots &amp; Playgrounds'!N56+Vehicles!O74</f>
        <v>396696</v>
      </c>
    </row>
    <row r="107" spans="1:14" x14ac:dyDescent="0.25">
      <c r="A107" s="72" t="s">
        <v>50</v>
      </c>
      <c r="B107" s="73"/>
      <c r="C107" s="74"/>
      <c r="D107" s="75" t="e">
        <f>'Water Control'!#REF!</f>
        <v>#REF!</v>
      </c>
      <c r="E107" s="75" t="e">
        <f>'Water Control'!#REF!</f>
        <v>#REF!</v>
      </c>
      <c r="F107" s="75" t="e">
        <f>'Water Control'!#REF!</f>
        <v>#REF!</v>
      </c>
      <c r="G107" s="75" t="e">
        <f>'Water Control'!#REF!</f>
        <v>#REF!</v>
      </c>
      <c r="H107" s="75" t="e">
        <f>'Water Control'!#REF!</f>
        <v>#REF!</v>
      </c>
      <c r="I107" s="75" t="e">
        <f>'Water Control'!#REF!</f>
        <v>#REF!</v>
      </c>
      <c r="J107" s="75" t="e">
        <f>'Water Control'!#REF!</f>
        <v>#REF!</v>
      </c>
      <c r="K107" s="75" t="e">
        <f>'Water Control'!#REF!</f>
        <v>#REF!</v>
      </c>
      <c r="L107" s="75" t="e">
        <f>'Water Control'!#REF!</f>
        <v>#REF!</v>
      </c>
      <c r="M107" s="75" t="e">
        <f>'Water Control'!#REF!</f>
        <v>#REF!</v>
      </c>
      <c r="N107" s="75" t="e">
        <f>'Water Control'!#REF!</f>
        <v>#REF!</v>
      </c>
    </row>
    <row r="108" spans="1:14" ht="15.75" thickBot="1" x14ac:dyDescent="0.3">
      <c r="A108" s="72"/>
      <c r="B108" s="73"/>
      <c r="C108" s="74"/>
      <c r="D108" s="76" t="e">
        <f>SUM(D100:D107)</f>
        <v>#REF!</v>
      </c>
      <c r="E108" s="76" t="e">
        <f t="shared" ref="E108:N108" si="82">SUM(E100:E107)</f>
        <v>#REF!</v>
      </c>
      <c r="F108" s="76" t="e">
        <f t="shared" si="82"/>
        <v>#REF!</v>
      </c>
      <c r="G108" s="76" t="e">
        <f t="shared" si="82"/>
        <v>#REF!</v>
      </c>
      <c r="H108" s="76" t="e">
        <f t="shared" si="82"/>
        <v>#REF!</v>
      </c>
      <c r="I108" s="76" t="e">
        <f t="shared" si="82"/>
        <v>#REF!</v>
      </c>
      <c r="J108" s="76" t="e">
        <f t="shared" si="82"/>
        <v>#REF!</v>
      </c>
      <c r="K108" s="76" t="e">
        <f t="shared" si="82"/>
        <v>#REF!</v>
      </c>
      <c r="L108" s="76" t="e">
        <f t="shared" si="82"/>
        <v>#REF!</v>
      </c>
      <c r="M108" s="76" t="e">
        <f t="shared" si="82"/>
        <v>#REF!</v>
      </c>
      <c r="N108" s="76" t="e">
        <f t="shared" si="82"/>
        <v>#REF!</v>
      </c>
    </row>
    <row r="109" spans="1:14" ht="15.75" thickTop="1" x14ac:dyDescent="0.25">
      <c r="D109" s="8" t="e">
        <f t="shared" ref="D109:N109" si="83">D108-D96</f>
        <v>#REF!</v>
      </c>
      <c r="E109" s="8" t="e">
        <f t="shared" si="83"/>
        <v>#REF!</v>
      </c>
      <c r="F109" s="8" t="e">
        <f t="shared" si="83"/>
        <v>#REF!</v>
      </c>
      <c r="G109" s="8" t="e">
        <f t="shared" si="83"/>
        <v>#REF!</v>
      </c>
      <c r="H109" s="8" t="e">
        <f t="shared" si="83"/>
        <v>#REF!</v>
      </c>
      <c r="I109" s="8" t="e">
        <f t="shared" si="83"/>
        <v>#REF!</v>
      </c>
      <c r="J109" s="8" t="e">
        <f t="shared" si="83"/>
        <v>#REF!</v>
      </c>
      <c r="K109" s="8" t="e">
        <f t="shared" si="83"/>
        <v>#REF!</v>
      </c>
      <c r="L109" s="8" t="e">
        <f t="shared" si="83"/>
        <v>#REF!</v>
      </c>
      <c r="M109" s="8" t="e">
        <f t="shared" si="83"/>
        <v>#REF!</v>
      </c>
      <c r="N109" s="8" t="e">
        <f t="shared" si="83"/>
        <v>#REF!</v>
      </c>
    </row>
    <row r="111" spans="1:14" x14ac:dyDescent="0.25">
      <c r="A111" s="77" t="s">
        <v>368</v>
      </c>
      <c r="B111" s="78"/>
      <c r="C111" s="77"/>
      <c r="D111" s="79">
        <f>'Public Grounds'!D49+'Public Buildings'!D96+'Parking Lots &amp; Playgrounds'!D33</f>
        <v>700000</v>
      </c>
      <c r="E111" s="79">
        <f>'Public Grounds'!E49+'Public Buildings'!E96+'Parking Lots &amp; Playgrounds'!E33</f>
        <v>861750</v>
      </c>
      <c r="F111" s="79">
        <f>'Public Grounds'!F49+'Public Buildings'!F96</f>
        <v>285000</v>
      </c>
      <c r="G111" s="79">
        <f>'Public Grounds'!G49+'Public Buildings'!G96</f>
        <v>1860000</v>
      </c>
      <c r="H111" s="79">
        <f>'Public Grounds'!H49+'Public Buildings'!H96+'Parking Lots &amp; Playgrounds'!H33</f>
        <v>1740000</v>
      </c>
      <c r="I111" s="79">
        <f>'Public Grounds'!I49+'Public Buildings'!I96+'Parking Lots &amp; Playgrounds'!I33</f>
        <v>1495000</v>
      </c>
      <c r="J111" s="79">
        <f>'Public Grounds'!J49+'Public Buildings'!J96+'Parking Lots &amp; Playgrounds'!J33</f>
        <v>250425.00000000003</v>
      </c>
      <c r="K111" s="79">
        <f>'Public Grounds'!K49+'Public Buildings'!K96+'Parking Lots &amp; Playgrounds'!K33</f>
        <v>1245000</v>
      </c>
      <c r="L111" s="79">
        <f>'Public Grounds'!L49+'Public Buildings'!L96+'Parking Lots &amp; Playgrounds'!L33</f>
        <v>45000</v>
      </c>
      <c r="M111" s="79">
        <f>'Public Grounds'!M49+'Public Buildings'!M96+'Parking Lots &amp; Playgrounds'!M33</f>
        <v>45000</v>
      </c>
      <c r="N111" s="79">
        <f>'Public Grounds'!N49+'Public Buildings'!N96+'Parking Lots &amp; Playgrounds'!N33</f>
        <v>45000</v>
      </c>
    </row>
    <row r="112" spans="1:14" x14ac:dyDescent="0.25">
      <c r="F112" s="6">
        <f>F111+F106</f>
        <v>629588</v>
      </c>
      <c r="G112" s="6">
        <f>G111+G106</f>
        <v>2258655</v>
      </c>
    </row>
    <row r="113" spans="1:14" x14ac:dyDescent="0.25">
      <c r="D113" s="80" t="s">
        <v>2</v>
      </c>
      <c r="E113" s="80" t="s">
        <v>3</v>
      </c>
      <c r="F113" s="80" t="s">
        <v>4</v>
      </c>
      <c r="G113" s="80" t="s">
        <v>5</v>
      </c>
      <c r="H113" s="80" t="s">
        <v>6</v>
      </c>
      <c r="I113" s="80" t="s">
        <v>7</v>
      </c>
      <c r="J113" s="80" t="s">
        <v>8</v>
      </c>
      <c r="K113" s="80" t="s">
        <v>9</v>
      </c>
      <c r="L113" s="80" t="s">
        <v>10</v>
      </c>
      <c r="M113" s="80" t="s">
        <v>11</v>
      </c>
      <c r="N113" s="80" t="s">
        <v>45</v>
      </c>
    </row>
    <row r="114" spans="1:14" x14ac:dyDescent="0.25">
      <c r="A114" s="95" t="s">
        <v>394</v>
      </c>
      <c r="B114" s="96"/>
      <c r="C114" s="95"/>
      <c r="D114" s="97">
        <f>'Other Capital Needs'!F99+'Public Grounds'!D53+'Public Buildings'!D100</f>
        <v>47419</v>
      </c>
      <c r="E114" s="97">
        <f>'Other Capital Needs'!G99+'Public Grounds'!E53+'Public Buildings'!E100</f>
        <v>607368</v>
      </c>
      <c r="F114" s="97">
        <f>'Other Capital Needs'!H99+'Public Grounds'!F53+'Public Buildings'!F100</f>
        <v>815351</v>
      </c>
      <c r="G114" s="97">
        <f>'Other Capital Needs'!I99+'Public Grounds'!G53+'Public Buildings'!G100</f>
        <v>548538</v>
      </c>
      <c r="H114" s="97">
        <f>'Other Capital Needs'!J99+'Public Grounds'!H53+'Public Buildings'!H100</f>
        <v>556467</v>
      </c>
      <c r="I114" s="97">
        <f>'Other Capital Needs'!K99+'Public Grounds'!I53+'Public Buildings'!I100</f>
        <v>399018</v>
      </c>
      <c r="J114" s="97">
        <f>'Other Capital Needs'!L99+'Public Grounds'!J53+'Public Buildings'!J100</f>
        <v>342314</v>
      </c>
      <c r="K114" s="97">
        <f>'Other Capital Needs'!M99+'Public Grounds'!K53+'Public Buildings'!K100</f>
        <v>329049</v>
      </c>
      <c r="L114" s="97">
        <f>'Other Capital Needs'!N99+'Public Grounds'!L53+'Public Buildings'!L100</f>
        <v>326485</v>
      </c>
      <c r="M114" s="97">
        <f>'Other Capital Needs'!O99+'Public Grounds'!M53+'Public Buildings'!M100</f>
        <v>342285</v>
      </c>
      <c r="N114" s="97">
        <f>'Other Capital Needs'!P99+'Public Grounds'!N53+'Public Buildings'!N100</f>
        <v>306285</v>
      </c>
    </row>
    <row r="115" spans="1:14" x14ac:dyDescent="0.25">
      <c r="A115" s="95" t="s">
        <v>395</v>
      </c>
      <c r="B115" s="96"/>
      <c r="C115" s="95"/>
      <c r="D115" s="97">
        <f>'Other Capital Needs'!F100+'Public Grounds'!D54+'Public Buildings'!D101</f>
        <v>2888450</v>
      </c>
      <c r="E115" s="97">
        <f>'Other Capital Needs'!G100+'Public Grounds'!E54+'Public Buildings'!E101</f>
        <v>4309929</v>
      </c>
      <c r="F115" s="97">
        <f>'Other Capital Needs'!H100+'Public Grounds'!F54+'Public Buildings'!F101</f>
        <v>2982679</v>
      </c>
      <c r="G115" s="97">
        <f>'Other Capital Needs'!I100+'Public Grounds'!G54+'Public Buildings'!G101</f>
        <v>7214973</v>
      </c>
      <c r="H115" s="97">
        <f>'Other Capital Needs'!J100+'Public Grounds'!H54+'Public Buildings'!H101</f>
        <v>4807833</v>
      </c>
      <c r="I115" s="97">
        <f>'Other Capital Needs'!K100+'Public Grounds'!I54+'Public Buildings'!I101</f>
        <v>4328033</v>
      </c>
      <c r="J115" s="97">
        <f>'Other Capital Needs'!L100+'Public Grounds'!J54+'Public Buildings'!J101</f>
        <v>1009925</v>
      </c>
      <c r="K115" s="97">
        <f>'Other Capital Needs'!M100+'Public Grounds'!K54+'Public Buildings'!K101</f>
        <v>1813200</v>
      </c>
      <c r="L115" s="97">
        <f>'Other Capital Needs'!N100+'Public Grounds'!L54+'Public Buildings'!L101</f>
        <v>743200</v>
      </c>
      <c r="M115" s="97">
        <f>'Other Capital Needs'!O100+'Public Grounds'!M54+'Public Buildings'!M101</f>
        <v>763900</v>
      </c>
      <c r="N115" s="97">
        <f>'Other Capital Needs'!P100+'Public Grounds'!N54+'Public Buildings'!N101</f>
        <v>1512900</v>
      </c>
    </row>
    <row r="116" spans="1:14" x14ac:dyDescent="0.25">
      <c r="A116" s="95" t="s">
        <v>52</v>
      </c>
      <c r="B116" s="96"/>
      <c r="C116" s="95"/>
      <c r="D116" s="97">
        <f>D45</f>
        <v>1050000</v>
      </c>
      <c r="E116" s="97">
        <f t="shared" ref="E116:N116" si="84">E45</f>
        <v>1500000</v>
      </c>
      <c r="F116" s="97">
        <f t="shared" si="84"/>
        <v>1500000</v>
      </c>
      <c r="G116" s="97">
        <f t="shared" si="84"/>
        <v>1500000</v>
      </c>
      <c r="H116" s="97">
        <f t="shared" si="84"/>
        <v>1500000</v>
      </c>
      <c r="I116" s="97">
        <f t="shared" si="84"/>
        <v>1500000</v>
      </c>
      <c r="J116" s="97">
        <f t="shared" si="84"/>
        <v>1500000</v>
      </c>
      <c r="K116" s="97">
        <f t="shared" si="84"/>
        <v>1500000</v>
      </c>
      <c r="L116" s="97">
        <f t="shared" si="84"/>
        <v>1500000</v>
      </c>
      <c r="M116" s="97">
        <f t="shared" si="84"/>
        <v>1500000</v>
      </c>
      <c r="N116" s="97">
        <f t="shared" si="84"/>
        <v>1500000</v>
      </c>
    </row>
    <row r="117" spans="1:14" x14ac:dyDescent="0.25">
      <c r="A117" s="95" t="s">
        <v>48</v>
      </c>
      <c r="B117" s="96"/>
      <c r="C117" s="95"/>
      <c r="D117" s="97">
        <f>D35</f>
        <v>1000000</v>
      </c>
      <c r="E117" s="97">
        <f t="shared" ref="E117:N117" si="85">E35</f>
        <v>2310800</v>
      </c>
      <c r="F117" s="97">
        <f t="shared" si="85"/>
        <v>1500000</v>
      </c>
      <c r="G117" s="97">
        <f t="shared" si="85"/>
        <v>500000</v>
      </c>
      <c r="H117" s="97">
        <f t="shared" si="85"/>
        <v>250000</v>
      </c>
      <c r="I117" s="97">
        <f t="shared" si="85"/>
        <v>250000</v>
      </c>
      <c r="J117" s="97">
        <f t="shared" si="85"/>
        <v>250000</v>
      </c>
      <c r="K117" s="97">
        <f t="shared" si="85"/>
        <v>250000</v>
      </c>
      <c r="L117" s="97">
        <f t="shared" si="85"/>
        <v>250000</v>
      </c>
      <c r="M117" s="97">
        <f t="shared" si="85"/>
        <v>250000</v>
      </c>
      <c r="N117" s="97">
        <f t="shared" si="85"/>
        <v>250000</v>
      </c>
    </row>
    <row r="118" spans="1:14" x14ac:dyDescent="0.25">
      <c r="A118" s="95" t="s">
        <v>398</v>
      </c>
      <c r="B118" s="96"/>
      <c r="C118" s="95"/>
      <c r="D118" s="97">
        <f>D55</f>
        <v>0</v>
      </c>
      <c r="E118" s="97">
        <f t="shared" ref="E118:N118" si="86">E55</f>
        <v>210000</v>
      </c>
      <c r="F118" s="97">
        <f t="shared" si="86"/>
        <v>525000</v>
      </c>
      <c r="G118" s="97">
        <f t="shared" si="86"/>
        <v>251000</v>
      </c>
      <c r="H118" s="97">
        <f t="shared" si="86"/>
        <v>325000</v>
      </c>
      <c r="I118" s="97">
        <f t="shared" si="86"/>
        <v>350000</v>
      </c>
      <c r="J118" s="97">
        <f t="shared" si="86"/>
        <v>145000</v>
      </c>
      <c r="K118" s="97">
        <f t="shared" si="86"/>
        <v>100000</v>
      </c>
      <c r="L118" s="97">
        <f t="shared" si="86"/>
        <v>125000</v>
      </c>
      <c r="M118" s="97">
        <f t="shared" si="86"/>
        <v>140000</v>
      </c>
      <c r="N118" s="97">
        <f t="shared" si="86"/>
        <v>35000</v>
      </c>
    </row>
    <row r="119" spans="1:14" x14ac:dyDescent="0.25">
      <c r="A119" s="95" t="s">
        <v>49</v>
      </c>
      <c r="B119" s="96"/>
      <c r="C119" s="95"/>
      <c r="D119" s="97">
        <f>D65</f>
        <v>46950</v>
      </c>
      <c r="E119" s="97">
        <f t="shared" ref="E119:N119" si="87">E65</f>
        <v>726449</v>
      </c>
      <c r="F119" s="97">
        <f t="shared" si="87"/>
        <v>2016742</v>
      </c>
      <c r="G119" s="97">
        <f t="shared" si="87"/>
        <v>1119643</v>
      </c>
      <c r="H119" s="97">
        <f t="shared" si="87"/>
        <v>925191</v>
      </c>
      <c r="I119" s="97">
        <f t="shared" si="87"/>
        <v>829738</v>
      </c>
      <c r="J119" s="97">
        <f t="shared" si="87"/>
        <v>2102186</v>
      </c>
      <c r="K119" s="97">
        <f t="shared" si="87"/>
        <v>651018</v>
      </c>
      <c r="L119" s="97">
        <f t="shared" si="87"/>
        <v>692799</v>
      </c>
      <c r="M119" s="97">
        <f t="shared" si="87"/>
        <v>987187</v>
      </c>
      <c r="N119" s="97">
        <f t="shared" si="87"/>
        <v>627543</v>
      </c>
    </row>
    <row r="120" spans="1:14" x14ac:dyDescent="0.25">
      <c r="A120" s="95" t="s">
        <v>50</v>
      </c>
      <c r="B120" s="96"/>
      <c r="C120" s="95"/>
      <c r="D120" s="97" t="e">
        <f>D85</f>
        <v>#REF!</v>
      </c>
      <c r="E120" s="97" t="e">
        <f t="shared" ref="E120:N120" si="88">E85</f>
        <v>#REF!</v>
      </c>
      <c r="F120" s="97" t="e">
        <f t="shared" si="88"/>
        <v>#REF!</v>
      </c>
      <c r="G120" s="97" t="e">
        <f t="shared" si="88"/>
        <v>#REF!</v>
      </c>
      <c r="H120" s="97" t="e">
        <f t="shared" si="88"/>
        <v>#REF!</v>
      </c>
      <c r="I120" s="97" t="e">
        <f t="shared" si="88"/>
        <v>#REF!</v>
      </c>
      <c r="J120" s="97" t="e">
        <f t="shared" si="88"/>
        <v>#REF!</v>
      </c>
      <c r="K120" s="97" t="e">
        <f t="shared" si="88"/>
        <v>#REF!</v>
      </c>
      <c r="L120" s="97" t="e">
        <f t="shared" si="88"/>
        <v>#REF!</v>
      </c>
      <c r="M120" s="97" t="e">
        <f t="shared" si="88"/>
        <v>#REF!</v>
      </c>
      <c r="N120" s="97" t="e">
        <f t="shared" si="88"/>
        <v>#REF!</v>
      </c>
    </row>
    <row r="121" spans="1:14" ht="15.75" thickBot="1" x14ac:dyDescent="0.3">
      <c r="A121" s="95"/>
      <c r="B121" s="96"/>
      <c r="C121" s="95"/>
      <c r="D121" s="98" t="e">
        <f>SUM(D114:D120)</f>
        <v>#REF!</v>
      </c>
      <c r="E121" s="98" t="e">
        <f t="shared" ref="E121:N121" si="89">SUM(E114:E120)</f>
        <v>#REF!</v>
      </c>
      <c r="F121" s="98" t="e">
        <f t="shared" si="89"/>
        <v>#REF!</v>
      </c>
      <c r="G121" s="98" t="e">
        <f t="shared" si="89"/>
        <v>#REF!</v>
      </c>
      <c r="H121" s="98" t="e">
        <f t="shared" si="89"/>
        <v>#REF!</v>
      </c>
      <c r="I121" s="98" t="e">
        <f t="shared" si="89"/>
        <v>#REF!</v>
      </c>
      <c r="J121" s="98" t="e">
        <f t="shared" si="89"/>
        <v>#REF!</v>
      </c>
      <c r="K121" s="98" t="e">
        <f t="shared" si="89"/>
        <v>#REF!</v>
      </c>
      <c r="L121" s="98" t="e">
        <f t="shared" si="89"/>
        <v>#REF!</v>
      </c>
      <c r="M121" s="98" t="e">
        <f t="shared" si="89"/>
        <v>#REF!</v>
      </c>
      <c r="N121" s="98" t="e">
        <f t="shared" si="89"/>
        <v>#REF!</v>
      </c>
    </row>
    <row r="122" spans="1:14" ht="15.75" thickTop="1" x14ac:dyDescent="0.25">
      <c r="D122" s="94" t="e">
        <f>D121-D96</f>
        <v>#REF!</v>
      </c>
      <c r="E122" s="94" t="e">
        <f t="shared" ref="E122:N122" si="90">E121-E96</f>
        <v>#REF!</v>
      </c>
      <c r="F122" s="94" t="e">
        <f t="shared" si="90"/>
        <v>#REF!</v>
      </c>
      <c r="G122" s="94" t="e">
        <f t="shared" si="90"/>
        <v>#REF!</v>
      </c>
      <c r="H122" s="94" t="e">
        <f t="shared" si="90"/>
        <v>#REF!</v>
      </c>
      <c r="I122" s="94" t="e">
        <f t="shared" si="90"/>
        <v>#REF!</v>
      </c>
      <c r="J122" s="94" t="e">
        <f t="shared" si="90"/>
        <v>#REF!</v>
      </c>
      <c r="K122" s="94" t="e">
        <f t="shared" si="90"/>
        <v>#REF!</v>
      </c>
      <c r="L122" s="94" t="e">
        <f t="shared" si="90"/>
        <v>#REF!</v>
      </c>
      <c r="M122" s="94" t="e">
        <f t="shared" si="90"/>
        <v>#REF!</v>
      </c>
      <c r="N122" s="94" t="e">
        <f t="shared" si="90"/>
        <v>#REF!</v>
      </c>
    </row>
    <row r="124" spans="1:14" x14ac:dyDescent="0.25">
      <c r="D124" s="80" t="str">
        <f>D5</f>
        <v>FY18</v>
      </c>
      <c r="E124" s="80" t="str">
        <f t="shared" ref="E124:N124" si="91">E5</f>
        <v>FY19</v>
      </c>
      <c r="F124" s="80" t="str">
        <f t="shared" si="91"/>
        <v>FY20</v>
      </c>
      <c r="G124" s="80" t="str">
        <f t="shared" si="91"/>
        <v>FY21</v>
      </c>
      <c r="H124" s="80" t="str">
        <f t="shared" si="91"/>
        <v>FY22</v>
      </c>
      <c r="I124" s="80" t="str">
        <f t="shared" si="91"/>
        <v>FY23</v>
      </c>
      <c r="J124" s="80" t="str">
        <f t="shared" si="91"/>
        <v>FY24</v>
      </c>
      <c r="K124" s="80" t="str">
        <f t="shared" si="91"/>
        <v>FY25</v>
      </c>
      <c r="L124" s="80" t="str">
        <f t="shared" si="91"/>
        <v>FY26</v>
      </c>
      <c r="M124" s="80" t="str">
        <f t="shared" si="91"/>
        <v>FY27</v>
      </c>
      <c r="N124" s="80" t="str">
        <f t="shared" si="91"/>
        <v>FY28</v>
      </c>
    </row>
    <row r="125" spans="1:14" x14ac:dyDescent="0.25">
      <c r="A125" s="12" t="s">
        <v>53</v>
      </c>
      <c r="B125" s="13"/>
      <c r="C125" s="12"/>
      <c r="D125" s="14">
        <f t="shared" ref="D125:N125" si="92">D92+D94</f>
        <v>4665000</v>
      </c>
      <c r="E125" s="14">
        <f t="shared" si="92"/>
        <v>4232800</v>
      </c>
      <c r="F125" s="14">
        <f t="shared" si="92"/>
        <v>3800000</v>
      </c>
      <c r="G125" s="14">
        <f t="shared" si="92"/>
        <v>4800000</v>
      </c>
      <c r="H125" s="14">
        <f t="shared" si="92"/>
        <v>2775000</v>
      </c>
      <c r="I125" s="14">
        <f t="shared" si="92"/>
        <v>2600000</v>
      </c>
      <c r="J125" s="14">
        <f t="shared" si="92"/>
        <v>1300000</v>
      </c>
      <c r="K125" s="14">
        <f t="shared" si="92"/>
        <v>1100000</v>
      </c>
      <c r="L125" s="14">
        <f t="shared" si="92"/>
        <v>0</v>
      </c>
      <c r="M125" s="14">
        <f t="shared" si="92"/>
        <v>0</v>
      </c>
      <c r="N125" s="14">
        <f t="shared" si="92"/>
        <v>0</v>
      </c>
    </row>
    <row r="126" spans="1:14" x14ac:dyDescent="0.25">
      <c r="A126" s="12" t="s">
        <v>142</v>
      </c>
      <c r="B126" s="13"/>
      <c r="C126" s="12"/>
      <c r="D126" s="15" t="str">
        <f>IF((D125)&lt;10000000,"YES","NO")</f>
        <v>YES</v>
      </c>
      <c r="E126" s="15" t="str">
        <f t="shared" ref="E126:N126" si="93">IF((E125)&lt;10000000,"YES","NO")</f>
        <v>YES</v>
      </c>
      <c r="F126" s="15" t="str">
        <f t="shared" si="93"/>
        <v>YES</v>
      </c>
      <c r="G126" s="15" t="str">
        <f t="shared" si="93"/>
        <v>YES</v>
      </c>
      <c r="H126" s="15" t="str">
        <f t="shared" si="93"/>
        <v>YES</v>
      </c>
      <c r="I126" s="15" t="str">
        <f t="shared" si="93"/>
        <v>YES</v>
      </c>
      <c r="J126" s="15" t="str">
        <f t="shared" si="93"/>
        <v>YES</v>
      </c>
      <c r="K126" s="15" t="str">
        <f t="shared" si="93"/>
        <v>YES</v>
      </c>
      <c r="L126" s="15" t="str">
        <f t="shared" si="93"/>
        <v>YES</v>
      </c>
      <c r="M126" s="15" t="str">
        <f t="shared" si="93"/>
        <v>YES</v>
      </c>
      <c r="N126" s="15" t="str">
        <f t="shared" si="93"/>
        <v>YES</v>
      </c>
    </row>
    <row r="127" spans="1:14" s="4" customFormat="1" x14ac:dyDescent="0.25">
      <c r="A127" s="12" t="s">
        <v>143</v>
      </c>
      <c r="B127" s="13"/>
      <c r="C127" s="12"/>
      <c r="D127" s="15" t="str">
        <f>IF((D125)&lt;5000000,"YES","NO")</f>
        <v>YES</v>
      </c>
      <c r="E127" s="15" t="str">
        <f t="shared" ref="E127:N127" si="94">IF((E125)&lt;5000000,"YES","NO")</f>
        <v>YES</v>
      </c>
      <c r="F127" s="15" t="str">
        <f t="shared" si="94"/>
        <v>YES</v>
      </c>
      <c r="G127" s="15" t="str">
        <f t="shared" si="94"/>
        <v>YES</v>
      </c>
      <c r="H127" s="15" t="str">
        <f t="shared" si="94"/>
        <v>YES</v>
      </c>
      <c r="I127" s="15" t="str">
        <f t="shared" si="94"/>
        <v>YES</v>
      </c>
      <c r="J127" s="15" t="str">
        <f t="shared" si="94"/>
        <v>YES</v>
      </c>
      <c r="K127" s="15" t="str">
        <f t="shared" si="94"/>
        <v>YES</v>
      </c>
      <c r="L127" s="15" t="str">
        <f t="shared" si="94"/>
        <v>YES</v>
      </c>
      <c r="M127" s="15" t="str">
        <f t="shared" si="94"/>
        <v>YES</v>
      </c>
      <c r="N127" s="15" t="str">
        <f t="shared" si="94"/>
        <v>YES</v>
      </c>
    </row>
    <row r="130" spans="1:15" x14ac:dyDescent="0.25">
      <c r="A130" s="88" t="s">
        <v>372</v>
      </c>
      <c r="O130" s="3" t="s">
        <v>278</v>
      </c>
    </row>
    <row r="131" spans="1:15" x14ac:dyDescent="0.25">
      <c r="A131" s="89" t="s">
        <v>111</v>
      </c>
      <c r="B131" s="90" t="s">
        <v>19</v>
      </c>
      <c r="C131" s="89"/>
      <c r="D131" s="91"/>
      <c r="E131" s="91"/>
      <c r="F131" s="91"/>
      <c r="G131" s="91"/>
      <c r="H131" s="91"/>
      <c r="I131" s="91"/>
      <c r="J131" s="91"/>
      <c r="K131" s="91"/>
      <c r="L131" s="91"/>
      <c r="M131" s="91"/>
      <c r="N131" s="91"/>
      <c r="O131" s="91">
        <f>'Other Capital Needs'!Q81</f>
        <v>20000000</v>
      </c>
    </row>
    <row r="132" spans="1:15" x14ac:dyDescent="0.25">
      <c r="A132" s="89" t="s">
        <v>373</v>
      </c>
      <c r="B132" s="90" t="s">
        <v>19</v>
      </c>
      <c r="C132" s="89"/>
      <c r="D132" s="91"/>
      <c r="E132" s="91"/>
      <c r="F132" s="91"/>
      <c r="G132" s="91"/>
      <c r="H132" s="91"/>
      <c r="I132" s="91"/>
      <c r="J132" s="91"/>
      <c r="K132" s="91"/>
      <c r="L132" s="91"/>
      <c r="M132" s="91"/>
      <c r="N132" s="91"/>
      <c r="O132" s="91">
        <f>'Other Capital Needs'!Q80</f>
        <v>18000000</v>
      </c>
    </row>
    <row r="133" spans="1:15" x14ac:dyDescent="0.25">
      <c r="A133" s="89" t="s">
        <v>181</v>
      </c>
      <c r="B133" s="90" t="s">
        <v>19</v>
      </c>
      <c r="C133" s="89"/>
      <c r="D133" s="91"/>
      <c r="E133" s="91"/>
      <c r="F133" s="91"/>
      <c r="G133" s="91"/>
      <c r="H133" s="91"/>
      <c r="I133" s="91"/>
      <c r="J133" s="91"/>
      <c r="K133" s="91"/>
      <c r="L133" s="91"/>
      <c r="M133" s="91"/>
      <c r="N133" s="91"/>
      <c r="O133" s="91">
        <f>'Other Capital Needs'!Q79</f>
        <v>5000000</v>
      </c>
    </row>
    <row r="134" spans="1:15" x14ac:dyDescent="0.25">
      <c r="A134" s="89" t="s">
        <v>26</v>
      </c>
      <c r="B134" s="90" t="s">
        <v>19</v>
      </c>
      <c r="C134" s="89"/>
      <c r="D134" s="91"/>
      <c r="E134" s="91"/>
      <c r="F134" s="91"/>
      <c r="G134" s="91"/>
      <c r="H134" s="91"/>
      <c r="I134" s="91"/>
      <c r="J134" s="91"/>
      <c r="K134" s="91"/>
      <c r="L134" s="91"/>
      <c r="M134" s="91"/>
      <c r="N134" s="91"/>
      <c r="O134" s="91">
        <f>'Other Capital Needs'!Q84</f>
        <v>2500000</v>
      </c>
    </row>
    <row r="135" spans="1:15" x14ac:dyDescent="0.25">
      <c r="A135" s="89" t="s">
        <v>33</v>
      </c>
      <c r="B135" s="90" t="s">
        <v>19</v>
      </c>
      <c r="C135" s="89"/>
      <c r="D135" s="91"/>
      <c r="E135" s="91"/>
      <c r="F135" s="91"/>
      <c r="G135" s="91"/>
      <c r="H135" s="91"/>
      <c r="I135" s="91"/>
      <c r="J135" s="91"/>
      <c r="K135" s="91"/>
      <c r="L135" s="91"/>
      <c r="M135" s="91"/>
      <c r="N135" s="91"/>
      <c r="O135" s="91">
        <f>'Other Capital Needs'!Q85</f>
        <v>2500000</v>
      </c>
    </row>
    <row r="136" spans="1:15" x14ac:dyDescent="0.25">
      <c r="A136" s="89" t="s">
        <v>44</v>
      </c>
      <c r="B136" s="90" t="s">
        <v>19</v>
      </c>
      <c r="C136" s="89"/>
      <c r="D136" s="91"/>
      <c r="E136" s="91"/>
      <c r="F136" s="91"/>
      <c r="G136" s="91"/>
      <c r="H136" s="91"/>
      <c r="I136" s="91"/>
      <c r="J136" s="91"/>
      <c r="K136" s="91"/>
      <c r="L136" s="91"/>
      <c r="M136" s="91"/>
      <c r="N136" s="91"/>
      <c r="O136" s="91">
        <f>'Other Capital Needs'!Q88</f>
        <v>1500000</v>
      </c>
    </row>
    <row r="137" spans="1:15" x14ac:dyDescent="0.25">
      <c r="A137" s="89" t="s">
        <v>251</v>
      </c>
      <c r="B137" s="90" t="s">
        <v>19</v>
      </c>
      <c r="C137" s="89"/>
      <c r="D137" s="91"/>
      <c r="E137" s="91"/>
      <c r="F137" s="91"/>
      <c r="G137" s="91"/>
      <c r="H137" s="91"/>
      <c r="I137" s="91"/>
      <c r="J137" s="91"/>
      <c r="K137" s="91"/>
      <c r="L137" s="91"/>
      <c r="M137" s="91"/>
      <c r="N137" s="91"/>
      <c r="O137" s="91">
        <f>'Other Capital Needs'!Q78</f>
        <v>1000000</v>
      </c>
    </row>
    <row r="138" spans="1:15" x14ac:dyDescent="0.25">
      <c r="A138" s="89" t="s">
        <v>374</v>
      </c>
      <c r="B138" s="90" t="s">
        <v>19</v>
      </c>
      <c r="C138" s="89"/>
      <c r="D138" s="91"/>
      <c r="E138" s="91"/>
      <c r="F138" s="91"/>
      <c r="G138" s="91"/>
      <c r="H138" s="91"/>
      <c r="I138" s="91"/>
      <c r="J138" s="91"/>
      <c r="K138" s="91"/>
      <c r="L138" s="91"/>
      <c r="M138" s="91"/>
      <c r="N138" s="91"/>
      <c r="O138" s="91">
        <f>'Other Capital Needs'!Q83</f>
        <v>1000000</v>
      </c>
    </row>
    <row r="139" spans="1:15" x14ac:dyDescent="0.25">
      <c r="A139" s="89" t="s">
        <v>350</v>
      </c>
      <c r="B139" s="90" t="s">
        <v>13</v>
      </c>
      <c r="C139" s="89"/>
      <c r="D139" s="91"/>
      <c r="E139" s="91"/>
      <c r="F139" s="91"/>
      <c r="G139" s="91"/>
      <c r="H139" s="91"/>
      <c r="I139" s="91"/>
      <c r="J139" s="91"/>
      <c r="K139" s="91"/>
      <c r="L139" s="91"/>
      <c r="M139" s="91"/>
      <c r="N139" s="91"/>
      <c r="O139" s="91">
        <f>'Other Capital Needs'!Q82</f>
        <v>875000</v>
      </c>
    </row>
    <row r="140" spans="1:15" x14ac:dyDescent="0.25">
      <c r="A140" s="89" t="s">
        <v>41</v>
      </c>
      <c r="B140" s="90" t="s">
        <v>16</v>
      </c>
      <c r="C140" s="89"/>
      <c r="D140" s="91"/>
      <c r="E140" s="91"/>
      <c r="F140" s="91"/>
      <c r="G140" s="91"/>
      <c r="H140" s="91"/>
      <c r="I140" s="91"/>
      <c r="J140" s="91"/>
      <c r="K140" s="91"/>
      <c r="L140" s="91"/>
      <c r="M140" s="91"/>
      <c r="N140" s="91"/>
      <c r="O140" s="91">
        <f>'Other Capital Needs'!Q86</f>
        <v>500000</v>
      </c>
    </row>
    <row r="141" spans="1:15" x14ac:dyDescent="0.25">
      <c r="A141" s="89" t="s">
        <v>43</v>
      </c>
      <c r="B141" s="90" t="s">
        <v>16</v>
      </c>
      <c r="C141" s="89"/>
      <c r="D141" s="91"/>
      <c r="E141" s="91"/>
      <c r="F141" s="91"/>
      <c r="G141" s="91"/>
      <c r="H141" s="91"/>
      <c r="I141" s="91"/>
      <c r="J141" s="91"/>
      <c r="K141" s="91"/>
      <c r="L141" s="91"/>
      <c r="M141" s="91"/>
      <c r="N141" s="91"/>
      <c r="O141" s="91">
        <f>'Other Capital Needs'!Q87</f>
        <v>300000</v>
      </c>
    </row>
    <row r="142" spans="1:15" ht="15.75" thickBot="1" x14ac:dyDescent="0.3">
      <c r="A142" s="89" t="s">
        <v>51</v>
      </c>
      <c r="B142" s="90"/>
      <c r="C142" s="89"/>
      <c r="D142" s="91"/>
      <c r="E142" s="91"/>
      <c r="F142" s="91"/>
      <c r="G142" s="91"/>
      <c r="H142" s="91"/>
      <c r="I142" s="91"/>
      <c r="J142" s="91"/>
      <c r="K142" s="91"/>
      <c r="L142" s="91"/>
      <c r="M142" s="91"/>
      <c r="N142" s="91"/>
      <c r="O142" s="92">
        <f>SUM(O131:O141)</f>
        <v>53175000</v>
      </c>
    </row>
    <row r="143" spans="1:15" ht="15.75" thickTop="1" x14ac:dyDescent="0.25"/>
    <row r="145" spans="1:1" x14ac:dyDescent="0.25">
      <c r="A145" t="s">
        <v>55</v>
      </c>
    </row>
    <row r="146" spans="1:1" x14ac:dyDescent="0.25">
      <c r="A146" t="s">
        <v>56</v>
      </c>
    </row>
    <row r="147" spans="1:1" x14ac:dyDescent="0.25">
      <c r="A147" t="s">
        <v>370</v>
      </c>
    </row>
    <row r="148" spans="1:1" x14ac:dyDescent="0.25">
      <c r="A148" t="s">
        <v>57</v>
      </c>
    </row>
    <row r="149" spans="1:1" x14ac:dyDescent="0.25">
      <c r="A149" t="s">
        <v>244</v>
      </c>
    </row>
    <row r="150" spans="1:1" x14ac:dyDescent="0.25">
      <c r="A150" t="s">
        <v>58</v>
      </c>
    </row>
    <row r="151" spans="1:1" x14ac:dyDescent="0.25">
      <c r="A151" t="s">
        <v>59</v>
      </c>
    </row>
  </sheetData>
  <customSheetViews>
    <customSheetView guid="{BB410D8C-36DE-400F-AB69-DB51CF9CA663}" fitToPage="1" hiddenRows="1" state="hidden" topLeftCell="A130">
      <selection activeCell="A145" sqref="A145:A150"/>
      <pageMargins left="0.4" right="0.4" top="0.4" bottom="0.4" header="0" footer="0"/>
      <pageSetup scale="45" orientation="portrait" r:id="rId1"/>
      <headerFooter>
        <oddFooter>&amp;C&amp;Z&amp;F&amp;R&amp;D</oddFooter>
      </headerFooter>
    </customSheetView>
  </customSheetViews>
  <conditionalFormatting sqref="D126">
    <cfRule type="containsText" dxfId="4" priority="9" operator="containsText" text="NO">
      <formula>NOT(ISERROR(SEARCH("NO",D126)))</formula>
    </cfRule>
  </conditionalFormatting>
  <conditionalFormatting sqref="D127">
    <cfRule type="containsText" dxfId="3" priority="7" operator="containsText" text="NO">
      <formula>NOT(ISERROR(SEARCH("NO",D127)))</formula>
    </cfRule>
  </conditionalFormatting>
  <conditionalFormatting sqref="E126:N126">
    <cfRule type="containsText" dxfId="2" priority="2" operator="containsText" text="NO">
      <formula>NOT(ISERROR(SEARCH("NO",E126)))</formula>
    </cfRule>
  </conditionalFormatting>
  <conditionalFormatting sqref="E127:N127">
    <cfRule type="containsText" dxfId="1" priority="1" operator="containsText" text="NO">
      <formula>NOT(ISERROR(SEARCH("NO",E127)))</formula>
    </cfRule>
  </conditionalFormatting>
  <pageMargins left="0.4" right="0.4" top="0.4" bottom="0.4" header="0" footer="0"/>
  <pageSetup scale="45" orientation="portrait" r:id="rId2"/>
  <headerFooter>
    <oddFooter>&amp;C&amp;Z&amp;F&amp;R&amp;D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opLeftCell="A2" workbookViewId="0">
      <selection activeCell="D53" sqref="D53"/>
    </sheetView>
  </sheetViews>
  <sheetFormatPr defaultRowHeight="15" x14ac:dyDescent="0.25"/>
  <cols>
    <col min="2" max="2" width="12.28515625" customWidth="1"/>
    <col min="3" max="3" width="14.28515625" customWidth="1"/>
    <col min="4" max="4" width="11.140625" bestFit="1" customWidth="1"/>
  </cols>
  <sheetData>
    <row r="1" spans="1:3" ht="18.75" x14ac:dyDescent="0.25">
      <c r="A1" s="205" t="s">
        <v>62</v>
      </c>
    </row>
    <row r="2" spans="1:3" ht="18.75" x14ac:dyDescent="0.25">
      <c r="A2" s="205" t="s">
        <v>964</v>
      </c>
    </row>
    <row r="3" spans="1:3" ht="18.75" x14ac:dyDescent="0.25">
      <c r="A3" s="205" t="s">
        <v>965</v>
      </c>
    </row>
    <row r="4" spans="1:3" ht="18.75" x14ac:dyDescent="0.25">
      <c r="A4" s="212" t="s">
        <v>478</v>
      </c>
    </row>
    <row r="7" spans="1:3" x14ac:dyDescent="0.25">
      <c r="A7" s="5" t="s">
        <v>969</v>
      </c>
    </row>
    <row r="9" spans="1:3" x14ac:dyDescent="0.25">
      <c r="A9" t="s">
        <v>997</v>
      </c>
    </row>
    <row r="10" spans="1:3" x14ac:dyDescent="0.25">
      <c r="A10" s="24" t="s">
        <v>996</v>
      </c>
    </row>
    <row r="11" spans="1:3" x14ac:dyDescent="0.25">
      <c r="B11" t="s">
        <v>993</v>
      </c>
    </row>
    <row r="12" spans="1:3" x14ac:dyDescent="0.25">
      <c r="B12" t="s">
        <v>970</v>
      </c>
    </row>
    <row r="14" spans="1:3" x14ac:dyDescent="0.25">
      <c r="B14" s="2"/>
      <c r="C14" s="2" t="s">
        <v>972</v>
      </c>
    </row>
    <row r="15" spans="1:3" x14ac:dyDescent="0.25">
      <c r="B15" s="3" t="s">
        <v>994</v>
      </c>
      <c r="C15" s="3" t="s">
        <v>973</v>
      </c>
    </row>
    <row r="16" spans="1:3" x14ac:dyDescent="0.25">
      <c r="B16" s="298">
        <v>40664</v>
      </c>
      <c r="C16" s="147">
        <v>1375000</v>
      </c>
    </row>
    <row r="17" spans="1:7" x14ac:dyDescent="0.25">
      <c r="B17" s="298">
        <v>41395</v>
      </c>
      <c r="C17" s="147">
        <v>505000</v>
      </c>
    </row>
    <row r="18" spans="1:7" x14ac:dyDescent="0.25">
      <c r="B18" s="298">
        <v>41760</v>
      </c>
      <c r="C18" s="147">
        <v>1005000</v>
      </c>
    </row>
    <row r="19" spans="1:7" x14ac:dyDescent="0.25">
      <c r="B19" s="298">
        <v>42125</v>
      </c>
      <c r="C19" s="147">
        <v>725000</v>
      </c>
    </row>
    <row r="20" spans="1:7" x14ac:dyDescent="0.25">
      <c r="B20" s="298">
        <v>42491</v>
      </c>
      <c r="C20" s="147">
        <v>1035000</v>
      </c>
    </row>
    <row r="21" spans="1:7" x14ac:dyDescent="0.25">
      <c r="B21" s="298" t="s">
        <v>971</v>
      </c>
      <c r="C21" s="147">
        <v>310000</v>
      </c>
    </row>
    <row r="22" spans="1:7" x14ac:dyDescent="0.25">
      <c r="B22" s="298">
        <v>42856</v>
      </c>
      <c r="C22" s="147">
        <v>455000</v>
      </c>
    </row>
    <row r="23" spans="1:7" x14ac:dyDescent="0.25">
      <c r="B23" s="298">
        <v>43221</v>
      </c>
      <c r="C23" s="147">
        <v>0</v>
      </c>
      <c r="D23" t="s">
        <v>974</v>
      </c>
    </row>
    <row r="24" spans="1:7" x14ac:dyDescent="0.25">
      <c r="B24" s="298">
        <v>43617</v>
      </c>
      <c r="C24" s="147">
        <v>700000</v>
      </c>
    </row>
    <row r="25" spans="1:7" x14ac:dyDescent="0.25">
      <c r="B25" s="298"/>
      <c r="C25" s="147">
        <v>-1135000</v>
      </c>
      <c r="D25" t="s">
        <v>995</v>
      </c>
    </row>
    <row r="26" spans="1:7" ht="15.75" thickBot="1" x14ac:dyDescent="0.3">
      <c r="C26" s="312">
        <f>SUM(C16:C25)</f>
        <v>4975000</v>
      </c>
      <c r="D26" s="33" t="s">
        <v>998</v>
      </c>
      <c r="E26" s="4"/>
      <c r="F26" s="4"/>
      <c r="G26" s="4"/>
    </row>
    <row r="27" spans="1:7" ht="15.75" thickTop="1" x14ac:dyDescent="0.25"/>
    <row r="28" spans="1:7" x14ac:dyDescent="0.25">
      <c r="A28" t="s">
        <v>975</v>
      </c>
    </row>
    <row r="30" spans="1:7" x14ac:dyDescent="0.25">
      <c r="A30" t="s">
        <v>980</v>
      </c>
    </row>
    <row r="31" spans="1:7" x14ac:dyDescent="0.25">
      <c r="A31" s="24" t="s">
        <v>981</v>
      </c>
    </row>
    <row r="32" spans="1:7" x14ac:dyDescent="0.25">
      <c r="A32" s="24" t="s">
        <v>982</v>
      </c>
    </row>
    <row r="33" spans="1:3" x14ac:dyDescent="0.25">
      <c r="A33" s="24"/>
    </row>
    <row r="34" spans="1:3" x14ac:dyDescent="0.25">
      <c r="A34" s="24" t="s">
        <v>983</v>
      </c>
    </row>
    <row r="35" spans="1:3" x14ac:dyDescent="0.25">
      <c r="A35" s="24" t="s">
        <v>984</v>
      </c>
    </row>
    <row r="36" spans="1:3" x14ac:dyDescent="0.25">
      <c r="A36" s="24"/>
    </row>
    <row r="37" spans="1:3" x14ac:dyDescent="0.25">
      <c r="C37" s="2" t="s">
        <v>978</v>
      </c>
    </row>
    <row r="38" spans="1:3" x14ac:dyDescent="0.25">
      <c r="C38" s="3" t="s">
        <v>979</v>
      </c>
    </row>
    <row r="39" spans="1:3" x14ac:dyDescent="0.25">
      <c r="B39" t="s">
        <v>976</v>
      </c>
      <c r="C39" s="299">
        <v>456738.73</v>
      </c>
    </row>
    <row r="40" spans="1:3" x14ac:dyDescent="0.25">
      <c r="B40" t="s">
        <v>977</v>
      </c>
      <c r="C40" s="299">
        <v>1387.19</v>
      </c>
    </row>
    <row r="41" spans="1:3" ht="15.75" thickBot="1" x14ac:dyDescent="0.3">
      <c r="C41" s="300">
        <f>SUM(C39:C40)</f>
        <v>458125.92</v>
      </c>
    </row>
    <row r="42" spans="1:3" ht="15.75" thickTop="1" x14ac:dyDescent="0.25"/>
    <row r="43" spans="1:3" x14ac:dyDescent="0.25">
      <c r="A43" t="s">
        <v>985</v>
      </c>
    </row>
    <row r="44" spans="1:3" x14ac:dyDescent="0.25">
      <c r="A44" s="24" t="s">
        <v>986</v>
      </c>
    </row>
    <row r="46" spans="1:3" x14ac:dyDescent="0.25">
      <c r="A46" s="24" t="s">
        <v>987</v>
      </c>
    </row>
    <row r="47" spans="1:3" x14ac:dyDescent="0.25">
      <c r="A47" s="24" t="s">
        <v>988</v>
      </c>
    </row>
    <row r="48" spans="1:3" ht="15.75" thickBot="1" x14ac:dyDescent="0.3"/>
    <row r="49" spans="1:8" x14ac:dyDescent="0.25">
      <c r="A49" s="301" t="s">
        <v>989</v>
      </c>
      <c r="B49" s="302"/>
      <c r="C49" s="302"/>
      <c r="D49" s="302"/>
      <c r="E49" s="302"/>
      <c r="F49" s="302"/>
      <c r="G49" s="302"/>
      <c r="H49" s="303"/>
    </row>
    <row r="50" spans="1:8" x14ac:dyDescent="0.25">
      <c r="A50" s="304"/>
      <c r="B50" s="305" t="s">
        <v>990</v>
      </c>
      <c r="C50" s="305"/>
      <c r="D50" s="305"/>
      <c r="E50" s="305"/>
      <c r="F50" s="305"/>
      <c r="G50" s="305"/>
      <c r="H50" s="306"/>
    </row>
    <row r="51" spans="1:8" x14ac:dyDescent="0.25">
      <c r="A51" s="304"/>
      <c r="B51" s="305"/>
      <c r="C51" s="305" t="s">
        <v>991</v>
      </c>
      <c r="D51" s="307">
        <f>C41</f>
        <v>458125.92</v>
      </c>
      <c r="E51" s="305"/>
      <c r="F51" s="305"/>
      <c r="G51" s="305"/>
      <c r="H51" s="306"/>
    </row>
    <row r="52" spans="1:8" x14ac:dyDescent="0.25">
      <c r="A52" s="304"/>
      <c r="B52" s="305"/>
      <c r="C52" s="305" t="s">
        <v>37</v>
      </c>
      <c r="D52" s="307">
        <v>218503.93</v>
      </c>
      <c r="E52" s="305"/>
      <c r="F52" s="305"/>
      <c r="G52" s="305"/>
      <c r="H52" s="306"/>
    </row>
    <row r="53" spans="1:8" ht="15.75" thickBot="1" x14ac:dyDescent="0.3">
      <c r="A53" s="304"/>
      <c r="B53" s="305"/>
      <c r="C53" s="305"/>
      <c r="D53" s="308">
        <f>SUM(D51:D52)</f>
        <v>676629.85</v>
      </c>
      <c r="E53" s="305"/>
      <c r="F53" s="305"/>
      <c r="G53" s="305"/>
      <c r="H53" s="306"/>
    </row>
    <row r="54" spans="1:8" ht="15.75" thickTop="1" x14ac:dyDescent="0.25">
      <c r="A54" s="304"/>
      <c r="B54" s="305"/>
      <c r="C54" s="305"/>
      <c r="D54" s="307"/>
      <c r="E54" s="305"/>
      <c r="F54" s="305"/>
      <c r="G54" s="305"/>
      <c r="H54" s="306"/>
    </row>
    <row r="55" spans="1:8" x14ac:dyDescent="0.25">
      <c r="A55" s="304"/>
      <c r="B55" s="305" t="str">
        <f>"Bond less than "&amp;TEXT(C26,"$##,###")</f>
        <v>Bond less than $4,975,000</v>
      </c>
      <c r="C55" s="305"/>
      <c r="D55" s="305"/>
      <c r="E55" s="305"/>
      <c r="F55" s="305"/>
      <c r="G55" s="305"/>
      <c r="H55" s="306"/>
    </row>
    <row r="56" spans="1:8" x14ac:dyDescent="0.25">
      <c r="A56" s="304"/>
      <c r="B56" s="305"/>
      <c r="C56" s="305"/>
      <c r="D56" s="305"/>
      <c r="E56" s="305"/>
      <c r="F56" s="305"/>
      <c r="G56" s="305"/>
      <c r="H56" s="306"/>
    </row>
    <row r="57" spans="1:8" x14ac:dyDescent="0.25">
      <c r="A57" s="304"/>
      <c r="B57" s="305" t="s">
        <v>992</v>
      </c>
      <c r="C57" s="305"/>
      <c r="D57" s="305"/>
      <c r="E57" s="305"/>
      <c r="F57" s="305"/>
      <c r="G57" s="305"/>
      <c r="H57" s="306"/>
    </row>
    <row r="58" spans="1:8" ht="15.75" thickBot="1" x14ac:dyDescent="0.3">
      <c r="A58" s="309"/>
      <c r="B58" s="310"/>
      <c r="C58" s="310"/>
      <c r="D58" s="310"/>
      <c r="E58" s="310"/>
      <c r="F58" s="310"/>
      <c r="G58" s="310"/>
      <c r="H58" s="311"/>
    </row>
  </sheetData>
  <pageMargins left="0.4" right="0.4" top="0.4" bottom="0.4" header="0" footer="0"/>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3"/>
  <sheetViews>
    <sheetView showGridLines="0" zoomScale="72" zoomScaleNormal="72" workbookViewId="0">
      <selection activeCell="K9" sqref="K9"/>
    </sheetView>
  </sheetViews>
  <sheetFormatPr defaultRowHeight="15" x14ac:dyDescent="0.25"/>
  <cols>
    <col min="4" max="4" width="20.5703125" customWidth="1"/>
    <col min="5" max="5" width="15.140625" customWidth="1"/>
    <col min="6" max="6" width="23.28515625" customWidth="1"/>
    <col min="7" max="7" width="54.140625" customWidth="1"/>
    <col min="8" max="8" width="43.85546875" customWidth="1"/>
    <col min="9" max="9" width="50.140625" customWidth="1"/>
    <col min="10" max="11" width="10.85546875" customWidth="1"/>
    <col min="15" max="16" width="11.140625" bestFit="1" customWidth="1"/>
    <col min="17" max="18" width="11.140625" customWidth="1"/>
    <col min="19" max="19" width="11.140625" bestFit="1" customWidth="1"/>
    <col min="20" max="20" width="10.140625" bestFit="1" customWidth="1"/>
    <col min="23" max="23" width="21.5703125" customWidth="1"/>
    <col min="24" max="24" width="41.5703125" customWidth="1"/>
    <col min="25" max="25" width="57.85546875" customWidth="1"/>
    <col min="26" max="26" width="36.7109375" bestFit="1" customWidth="1"/>
    <col min="27" max="27" width="43.140625" bestFit="1" customWidth="1"/>
  </cols>
  <sheetData>
    <row r="1" spans="1:40" ht="114.75" x14ac:dyDescent="0.25">
      <c r="A1" s="391" t="s">
        <v>1060</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row>
    <row r="3" spans="1:40" s="320" customFormat="1" ht="70.5" x14ac:dyDescent="0.9">
      <c r="A3" s="393" t="str">
        <f>"General Fund Requested "&amp;TEXT((H22+H31+H52+Z54+Z38+Z20),"$##,###")&amp;" to Proposed "&amp;TEXT((I22+I31+I52+AA54+AA38+AA20),"$##,###")</f>
        <v>General Fund Requested $6,976,965 to Proposed $2,235,400</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row>
    <row r="5" spans="1:40" s="325" customFormat="1" ht="70.5" x14ac:dyDescent="1.05">
      <c r="C5" s="394" t="s">
        <v>1001</v>
      </c>
      <c r="D5" s="394"/>
      <c r="E5" s="394"/>
      <c r="F5" s="394"/>
      <c r="G5" s="394"/>
      <c r="H5" s="394"/>
      <c r="I5" s="394"/>
      <c r="J5" s="394"/>
      <c r="K5" s="394"/>
      <c r="L5" s="394"/>
      <c r="M5" s="350"/>
      <c r="N5" s="350"/>
      <c r="O5" s="350"/>
      <c r="P5" s="350"/>
      <c r="Q5" s="350"/>
      <c r="R5" s="350"/>
      <c r="S5" s="350"/>
      <c r="T5" s="350"/>
      <c r="U5" s="394" t="s">
        <v>1015</v>
      </c>
      <c r="V5" s="394"/>
      <c r="W5" s="394"/>
      <c r="X5" s="394"/>
      <c r="Y5" s="394"/>
      <c r="Z5" s="394"/>
      <c r="AA5" s="394"/>
      <c r="AB5" s="394"/>
      <c r="AC5" s="394"/>
      <c r="AD5" s="394"/>
      <c r="AE5" s="394"/>
      <c r="AF5" s="394"/>
      <c r="AG5" s="350"/>
      <c r="AH5" s="350"/>
      <c r="AI5" s="350"/>
      <c r="AJ5" s="350"/>
      <c r="AK5" s="350"/>
      <c r="AL5" s="350"/>
      <c r="AM5" s="350"/>
      <c r="AN5" s="350"/>
    </row>
    <row r="6" spans="1:40" ht="57" x14ac:dyDescent="0.85">
      <c r="C6" s="358"/>
      <c r="D6" s="358"/>
      <c r="E6" s="358"/>
      <c r="F6" s="358"/>
      <c r="G6" s="358"/>
      <c r="H6" s="359" t="s">
        <v>959</v>
      </c>
      <c r="I6" s="359" t="s">
        <v>960</v>
      </c>
      <c r="J6" s="326"/>
      <c r="K6" s="326"/>
      <c r="L6" s="326"/>
      <c r="M6" s="326"/>
      <c r="N6" s="326"/>
      <c r="O6" s="326"/>
      <c r="P6" s="326"/>
      <c r="Q6" s="326"/>
      <c r="R6" s="326"/>
      <c r="S6" s="326"/>
      <c r="T6" s="326"/>
      <c r="U6" s="351"/>
      <c r="V6" s="358"/>
      <c r="W6" s="358"/>
      <c r="X6" s="358"/>
      <c r="Y6" s="358"/>
      <c r="Z6" s="359" t="s">
        <v>959</v>
      </c>
      <c r="AA6" s="359" t="s">
        <v>960</v>
      </c>
      <c r="AB6" s="326"/>
      <c r="AC6" s="326"/>
      <c r="AD6" s="326"/>
      <c r="AE6" s="326"/>
      <c r="AF6" s="326"/>
      <c r="AG6" s="326"/>
      <c r="AH6" s="326"/>
      <c r="AI6" s="326"/>
      <c r="AJ6" s="326"/>
      <c r="AK6" s="326"/>
      <c r="AL6" s="326"/>
      <c r="AM6" s="326"/>
      <c r="AN6" s="326"/>
    </row>
    <row r="7" spans="1:40" ht="49.5" customHeight="1" x14ac:dyDescent="0.85">
      <c r="C7" s="361" t="s">
        <v>1031</v>
      </c>
      <c r="D7" s="361"/>
      <c r="E7" s="361"/>
      <c r="F7" s="361"/>
      <c r="G7" s="358"/>
      <c r="H7" s="362">
        <f>'GF Budget Tracking'!L23</f>
        <v>440400</v>
      </c>
      <c r="I7" s="362">
        <f>'GF Budget Tracking'!N23</f>
        <v>440400</v>
      </c>
      <c r="J7" s="329" t="s">
        <v>1045</v>
      </c>
      <c r="K7" s="330"/>
      <c r="L7" s="326"/>
      <c r="M7" s="326"/>
      <c r="N7" s="326"/>
      <c r="O7" s="326"/>
      <c r="P7" s="326"/>
      <c r="Q7" s="326"/>
      <c r="R7" s="326"/>
      <c r="S7" s="326"/>
      <c r="T7" s="326"/>
      <c r="U7" s="326"/>
      <c r="V7" s="361" t="s">
        <v>318</v>
      </c>
      <c r="W7" s="361"/>
      <c r="X7" s="361"/>
      <c r="Y7" s="361"/>
      <c r="Z7" s="362">
        <f>'GF Budget Tracking'!L20</f>
        <v>100000</v>
      </c>
      <c r="AA7" s="362">
        <f>'GF Budget Tracking'!N20</f>
        <v>0</v>
      </c>
      <c r="AB7" s="329"/>
      <c r="AC7" s="333"/>
      <c r="AD7" s="326"/>
      <c r="AE7" s="326"/>
      <c r="AF7" s="326"/>
      <c r="AG7" s="326"/>
      <c r="AH7" s="326"/>
      <c r="AI7" s="326"/>
      <c r="AJ7" s="326"/>
      <c r="AK7" s="326"/>
      <c r="AL7" s="326"/>
      <c r="AM7" s="326"/>
      <c r="AN7" s="326"/>
    </row>
    <row r="8" spans="1:40" ht="49.5" customHeight="1" x14ac:dyDescent="0.85">
      <c r="C8" s="361" t="s">
        <v>1006</v>
      </c>
      <c r="D8" s="361"/>
      <c r="E8" s="361"/>
      <c r="F8" s="361"/>
      <c r="G8" s="358"/>
      <c r="H8" s="362">
        <f>'GF Budget Tracking'!L24</f>
        <v>500000</v>
      </c>
      <c r="I8" s="362">
        <f>'GF Budget Tracking'!N24</f>
        <v>500000</v>
      </c>
      <c r="J8" s="329" t="s">
        <v>1041</v>
      </c>
      <c r="K8" s="330"/>
      <c r="L8" s="326"/>
      <c r="M8" s="326"/>
      <c r="N8" s="326"/>
      <c r="O8" s="326"/>
      <c r="P8" s="326"/>
      <c r="Q8" s="326"/>
      <c r="R8" s="326"/>
      <c r="S8" s="326"/>
      <c r="T8" s="326"/>
      <c r="U8" s="326"/>
      <c r="V8" s="361" t="s">
        <v>1005</v>
      </c>
      <c r="W8" s="361"/>
      <c r="X8" s="361"/>
      <c r="Y8" s="361"/>
      <c r="Z8" s="362">
        <f>'GF Budget Tracking'!L21</f>
        <v>45000</v>
      </c>
      <c r="AA8" s="362">
        <f>'GF Budget Tracking'!N21</f>
        <v>0</v>
      </c>
      <c r="AB8" s="329"/>
      <c r="AC8" s="333"/>
      <c r="AD8" s="326"/>
      <c r="AE8" s="326"/>
      <c r="AF8" s="326"/>
      <c r="AG8" s="326"/>
      <c r="AH8" s="326"/>
      <c r="AI8" s="326"/>
      <c r="AJ8" s="326"/>
      <c r="AK8" s="326"/>
      <c r="AL8" s="326"/>
      <c r="AM8" s="326"/>
      <c r="AN8" s="326"/>
    </row>
    <row r="9" spans="1:40" ht="49.5" customHeight="1" x14ac:dyDescent="0.85">
      <c r="C9" s="361" t="s">
        <v>656</v>
      </c>
      <c r="D9" s="361"/>
      <c r="E9" s="361"/>
      <c r="F9" s="361"/>
      <c r="G9" s="358"/>
      <c r="H9" s="362">
        <f>'GF Budget Tracking'!L25</f>
        <v>250000</v>
      </c>
      <c r="I9" s="362">
        <f>'GF Budget Tracking'!N25</f>
        <v>0</v>
      </c>
      <c r="J9" s="329"/>
      <c r="K9" s="330"/>
      <c r="L9" s="326"/>
      <c r="M9" s="326"/>
      <c r="N9" s="326"/>
      <c r="O9" s="326"/>
      <c r="P9" s="326"/>
      <c r="Q9" s="326"/>
      <c r="R9" s="326"/>
      <c r="S9" s="326"/>
      <c r="T9" s="326"/>
      <c r="U9" s="326"/>
      <c r="V9" s="363" t="s">
        <v>921</v>
      </c>
      <c r="W9" s="363"/>
      <c r="X9" s="363"/>
      <c r="Y9" s="361"/>
      <c r="Z9" s="362">
        <f>'GF Budget Tracking'!L29</f>
        <v>50000</v>
      </c>
      <c r="AA9" s="362">
        <f>'GF Budget Tracking'!N29</f>
        <v>50000</v>
      </c>
      <c r="AB9" s="329" t="s">
        <v>1051</v>
      </c>
      <c r="AC9" s="333"/>
      <c r="AD9" s="326"/>
      <c r="AE9" s="326"/>
      <c r="AF9" s="326"/>
      <c r="AG9" s="326"/>
      <c r="AH9" s="326"/>
      <c r="AI9" s="326"/>
      <c r="AJ9" s="326"/>
      <c r="AK9" s="326"/>
      <c r="AL9" s="326"/>
      <c r="AM9" s="326"/>
      <c r="AN9" s="326"/>
    </row>
    <row r="10" spans="1:40" ht="49.5" customHeight="1" x14ac:dyDescent="0.85">
      <c r="C10" s="361" t="s">
        <v>1007</v>
      </c>
      <c r="D10" s="361"/>
      <c r="E10" s="361"/>
      <c r="F10" s="361"/>
      <c r="G10" s="358"/>
      <c r="H10" s="362">
        <f>'GF Budget Tracking'!L26</f>
        <v>150000</v>
      </c>
      <c r="I10" s="362">
        <f>'GF Budget Tracking'!N26</f>
        <v>0</v>
      </c>
      <c r="J10" s="329"/>
      <c r="K10" s="330"/>
      <c r="L10" s="326"/>
      <c r="M10" s="326"/>
      <c r="N10" s="326"/>
      <c r="O10" s="326"/>
      <c r="P10" s="326"/>
      <c r="Q10" s="326"/>
      <c r="R10" s="326"/>
      <c r="S10" s="326"/>
      <c r="T10" s="326"/>
      <c r="U10" s="326"/>
      <c r="V10" s="363" t="s">
        <v>520</v>
      </c>
      <c r="W10" s="363"/>
      <c r="X10" s="363"/>
      <c r="Y10" s="361"/>
      <c r="Z10" s="362">
        <f>'GF Budget Tracking'!L30</f>
        <v>75000</v>
      </c>
      <c r="AA10" s="362">
        <f>'GF Budget Tracking'!N30</f>
        <v>75000</v>
      </c>
      <c r="AB10" s="329" t="s">
        <v>1063</v>
      </c>
      <c r="AC10" s="333"/>
      <c r="AD10" s="326"/>
      <c r="AE10" s="326"/>
      <c r="AF10" s="326"/>
      <c r="AG10" s="326"/>
      <c r="AH10" s="326"/>
      <c r="AI10" s="326"/>
      <c r="AJ10" s="326"/>
      <c r="AK10" s="326"/>
      <c r="AL10" s="326"/>
      <c r="AM10" s="326"/>
      <c r="AN10" s="326"/>
    </row>
    <row r="11" spans="1:40" ht="49.5" customHeight="1" x14ac:dyDescent="0.85">
      <c r="C11" s="361" t="s">
        <v>52</v>
      </c>
      <c r="D11" s="361"/>
      <c r="E11" s="361"/>
      <c r="F11" s="361"/>
      <c r="G11" s="358"/>
      <c r="H11" s="362">
        <f>'GF Budget Tracking'!L28</f>
        <v>414000</v>
      </c>
      <c r="I11" s="362">
        <f>'GF Budget Tracking'!N28</f>
        <v>414000</v>
      </c>
      <c r="J11" s="329" t="s">
        <v>1073</v>
      </c>
      <c r="K11" s="330"/>
      <c r="L11" s="326"/>
      <c r="M11" s="326"/>
      <c r="N11" s="326"/>
      <c r="O11" s="326"/>
      <c r="P11" s="326"/>
      <c r="Q11" s="326"/>
      <c r="R11" s="326"/>
      <c r="S11" s="326"/>
      <c r="T11" s="326"/>
      <c r="U11" s="326"/>
      <c r="V11" s="363" t="s">
        <v>922</v>
      </c>
      <c r="W11" s="363"/>
      <c r="X11" s="363"/>
      <c r="Y11" s="361"/>
      <c r="Z11" s="362">
        <f>'GF Budget Tracking'!L31</f>
        <v>110000</v>
      </c>
      <c r="AA11" s="362">
        <f>'GF Budget Tracking'!N31</f>
        <v>0</v>
      </c>
      <c r="AB11" s="329"/>
      <c r="AC11" s="333"/>
      <c r="AD11" s="326"/>
      <c r="AE11" s="326"/>
      <c r="AF11" s="326"/>
      <c r="AG11" s="326"/>
      <c r="AH11" s="326"/>
      <c r="AI11" s="326"/>
      <c r="AJ11" s="326"/>
      <c r="AK11" s="326"/>
      <c r="AL11" s="326"/>
      <c r="AM11" s="326"/>
      <c r="AN11" s="326"/>
    </row>
    <row r="12" spans="1:40" ht="49.5" customHeight="1" x14ac:dyDescent="0.85">
      <c r="C12" s="363" t="s">
        <v>1032</v>
      </c>
      <c r="D12" s="361"/>
      <c r="E12" s="361"/>
      <c r="F12" s="361"/>
      <c r="G12" s="358"/>
      <c r="H12" s="362">
        <f>'GF Budget Tracking'!L34</f>
        <v>50000</v>
      </c>
      <c r="I12" s="362">
        <f>'GF Budget Tracking'!N34</f>
        <v>0</v>
      </c>
      <c r="J12" s="329"/>
      <c r="K12" s="330"/>
      <c r="L12" s="326"/>
      <c r="M12" s="326"/>
      <c r="N12" s="326"/>
      <c r="O12" s="326"/>
      <c r="P12" s="326"/>
      <c r="Q12" s="326"/>
      <c r="R12" s="326"/>
      <c r="S12" s="326"/>
      <c r="T12" s="326"/>
      <c r="U12" s="326"/>
      <c r="V12" s="363" t="s">
        <v>923</v>
      </c>
      <c r="W12" s="363"/>
      <c r="X12" s="363"/>
      <c r="Y12" s="361"/>
      <c r="Z12" s="362">
        <f>'GF Budget Tracking'!L32</f>
        <v>25000</v>
      </c>
      <c r="AA12" s="362">
        <f>'GF Budget Tracking'!N32</f>
        <v>0</v>
      </c>
      <c r="AB12" s="329"/>
      <c r="AC12" s="333"/>
      <c r="AD12" s="326"/>
      <c r="AE12" s="326"/>
      <c r="AF12" s="326"/>
      <c r="AG12" s="326"/>
      <c r="AH12" s="326"/>
      <c r="AI12" s="326"/>
      <c r="AJ12" s="326"/>
      <c r="AK12" s="326"/>
      <c r="AL12" s="326"/>
      <c r="AM12" s="326"/>
      <c r="AN12" s="326"/>
    </row>
    <row r="13" spans="1:40" ht="49.5" customHeight="1" x14ac:dyDescent="0.85">
      <c r="C13" s="363" t="s">
        <v>1008</v>
      </c>
      <c r="D13" s="361"/>
      <c r="E13" s="361"/>
      <c r="F13" s="361"/>
      <c r="G13" s="358"/>
      <c r="H13" s="362">
        <f>'GF Budget Tracking'!L35</f>
        <v>100000</v>
      </c>
      <c r="I13" s="362">
        <f>'GF Budget Tracking'!N35</f>
        <v>0</v>
      </c>
      <c r="J13" s="329"/>
      <c r="K13" s="330"/>
      <c r="L13" s="326"/>
      <c r="M13" s="326"/>
      <c r="N13" s="326"/>
      <c r="O13" s="326"/>
      <c r="P13" s="326"/>
      <c r="Q13" s="326"/>
      <c r="R13" s="326"/>
      <c r="S13" s="326"/>
      <c r="T13" s="326"/>
      <c r="U13" s="326"/>
      <c r="V13" s="363" t="s">
        <v>938</v>
      </c>
      <c r="W13" s="363"/>
      <c r="X13" s="363"/>
      <c r="Y13" s="361"/>
      <c r="Z13" s="362">
        <f>'GF Budget Tracking'!L43</f>
        <v>38000</v>
      </c>
      <c r="AA13" s="362">
        <f>'GF Budget Tracking'!N43</f>
        <v>0</v>
      </c>
      <c r="AB13" s="329"/>
      <c r="AC13" s="333"/>
      <c r="AD13" s="326"/>
      <c r="AE13" s="326"/>
      <c r="AF13" s="326"/>
      <c r="AG13" s="326"/>
      <c r="AH13" s="326"/>
      <c r="AI13" s="326"/>
      <c r="AJ13" s="326"/>
      <c r="AK13" s="326"/>
      <c r="AL13" s="326"/>
      <c r="AM13" s="326"/>
      <c r="AN13" s="326"/>
    </row>
    <row r="14" spans="1:40" ht="49.5" customHeight="1" x14ac:dyDescent="0.85">
      <c r="C14" s="363" t="s">
        <v>1009</v>
      </c>
      <c r="D14" s="361"/>
      <c r="E14" s="361"/>
      <c r="F14" s="361"/>
      <c r="G14" s="358"/>
      <c r="H14" s="362">
        <f>'GF Budget Tracking'!L36</f>
        <v>75000</v>
      </c>
      <c r="I14" s="362">
        <f>'GF Budget Tracking'!N36</f>
        <v>0</v>
      </c>
      <c r="J14" s="329"/>
      <c r="K14" s="331"/>
      <c r="L14" s="332"/>
      <c r="M14" s="332"/>
      <c r="N14" s="332"/>
      <c r="O14" s="326"/>
      <c r="P14" s="326"/>
      <c r="Q14" s="326"/>
      <c r="R14" s="326"/>
      <c r="S14" s="326"/>
      <c r="T14" s="326"/>
      <c r="U14" s="326"/>
      <c r="V14" s="363" t="s">
        <v>939</v>
      </c>
      <c r="W14" s="363"/>
      <c r="X14" s="363"/>
      <c r="Y14" s="361"/>
      <c r="Z14" s="362">
        <f>'GF Budget Tracking'!L44</f>
        <v>38000</v>
      </c>
      <c r="AA14" s="362">
        <f>'GF Budget Tracking'!N44</f>
        <v>0</v>
      </c>
      <c r="AB14" s="329"/>
      <c r="AC14" s="333"/>
      <c r="AD14" s="326"/>
      <c r="AE14" s="326"/>
      <c r="AF14" s="326"/>
      <c r="AG14" s="326"/>
      <c r="AH14" s="326"/>
      <c r="AI14" s="326"/>
      <c r="AJ14" s="326"/>
      <c r="AK14" s="326"/>
      <c r="AL14" s="326"/>
      <c r="AM14" s="326"/>
      <c r="AN14" s="326"/>
    </row>
    <row r="15" spans="1:40" ht="49.5" customHeight="1" x14ac:dyDescent="0.85">
      <c r="C15" s="365" t="s">
        <v>1082</v>
      </c>
      <c r="D15" s="361"/>
      <c r="E15" s="361"/>
      <c r="F15" s="361"/>
      <c r="G15" s="358"/>
      <c r="H15" s="362">
        <f>'GF Budget Tracking'!L37</f>
        <v>100000</v>
      </c>
      <c r="I15" s="362">
        <f>'GF Budget Tracking'!N37</f>
        <v>0</v>
      </c>
      <c r="J15" s="329"/>
      <c r="K15" s="331"/>
      <c r="L15" s="332"/>
      <c r="M15" s="332"/>
      <c r="N15" s="332"/>
      <c r="O15" s="326"/>
      <c r="P15" s="326"/>
      <c r="Q15" s="326"/>
      <c r="R15" s="326"/>
      <c r="S15" s="326"/>
      <c r="T15" s="326"/>
      <c r="U15" s="326"/>
      <c r="V15" s="363" t="s">
        <v>695</v>
      </c>
      <c r="W15" s="361"/>
      <c r="X15" s="361"/>
      <c r="Y15" s="361"/>
      <c r="Z15" s="362">
        <f>'GF Budget Tracking'!L18</f>
        <v>45000</v>
      </c>
      <c r="AA15" s="362">
        <f>'GF Budget Tracking'!N18</f>
        <v>0</v>
      </c>
      <c r="AB15" s="329"/>
      <c r="AC15" s="333"/>
      <c r="AD15" s="326"/>
      <c r="AE15" s="326"/>
      <c r="AF15" s="326"/>
      <c r="AG15" s="326"/>
      <c r="AH15" s="326"/>
      <c r="AI15" s="326"/>
      <c r="AJ15" s="326"/>
      <c r="AK15" s="326"/>
      <c r="AL15" s="326"/>
      <c r="AM15" s="326"/>
      <c r="AN15" s="326"/>
    </row>
    <row r="16" spans="1:40" ht="49.5" customHeight="1" x14ac:dyDescent="0.85">
      <c r="C16" s="360" t="s">
        <v>1011</v>
      </c>
      <c r="D16" s="361"/>
      <c r="E16" s="361"/>
      <c r="F16" s="361"/>
      <c r="G16" s="358"/>
      <c r="H16" s="362">
        <f>'GF Budget Tracking'!L38</f>
        <v>50000</v>
      </c>
      <c r="I16" s="362">
        <f>'GF Budget Tracking'!N38</f>
        <v>0</v>
      </c>
      <c r="J16" s="329"/>
      <c r="K16" s="331"/>
      <c r="L16" s="332"/>
      <c r="M16" s="332"/>
      <c r="N16" s="332"/>
      <c r="O16" s="326"/>
      <c r="P16" s="326"/>
      <c r="Q16" s="326"/>
      <c r="R16" s="326"/>
      <c r="S16" s="326"/>
      <c r="T16" s="326"/>
      <c r="U16" s="326"/>
      <c r="V16" s="363" t="s">
        <v>1016</v>
      </c>
      <c r="W16" s="361"/>
      <c r="X16" s="361"/>
      <c r="Y16" s="361"/>
      <c r="Z16" s="362">
        <f>'GF Budget Tracking'!L47</f>
        <v>25000</v>
      </c>
      <c r="AA16" s="362">
        <f>'GF Budget Tracking'!N47</f>
        <v>0</v>
      </c>
      <c r="AB16" s="329"/>
      <c r="AC16" s="333"/>
      <c r="AD16" s="326"/>
      <c r="AE16" s="326"/>
      <c r="AF16" s="326"/>
      <c r="AG16" s="326"/>
      <c r="AH16" s="326"/>
      <c r="AI16" s="326"/>
      <c r="AJ16" s="326"/>
      <c r="AK16" s="326"/>
      <c r="AL16" s="326"/>
      <c r="AM16" s="326"/>
      <c r="AN16" s="326"/>
    </row>
    <row r="17" spans="3:40" ht="49.5" customHeight="1" x14ac:dyDescent="0.85">
      <c r="C17" s="360" t="s">
        <v>1012</v>
      </c>
      <c r="D17" s="361"/>
      <c r="E17" s="361"/>
      <c r="F17" s="361"/>
      <c r="G17" s="358"/>
      <c r="H17" s="362">
        <f>'GF Budget Tracking'!L39</f>
        <v>80000</v>
      </c>
      <c r="I17" s="362">
        <f>'GF Budget Tracking'!N39</f>
        <v>0</v>
      </c>
      <c r="J17" s="329"/>
      <c r="K17" s="331"/>
      <c r="L17" s="332"/>
      <c r="M17" s="332"/>
      <c r="N17" s="332"/>
      <c r="O17" s="326"/>
      <c r="P17" s="326"/>
      <c r="Q17" s="326"/>
      <c r="R17" s="326"/>
      <c r="S17" s="326"/>
      <c r="T17" s="326"/>
      <c r="U17" s="326"/>
      <c r="V17" s="363" t="s">
        <v>1086</v>
      </c>
      <c r="W17" s="361"/>
      <c r="X17" s="361"/>
      <c r="Y17" s="361"/>
      <c r="Z17" s="362">
        <f>'GF Budget Tracking'!L48</f>
        <v>75000</v>
      </c>
      <c r="AA17" s="362">
        <f>'GF Budget Tracking'!N48</f>
        <v>0</v>
      </c>
      <c r="AB17" s="329"/>
      <c r="AC17" s="333"/>
      <c r="AD17" s="326"/>
      <c r="AE17" s="326"/>
      <c r="AF17" s="326"/>
      <c r="AG17" s="326"/>
      <c r="AH17" s="326"/>
      <c r="AI17" s="326"/>
      <c r="AJ17" s="326"/>
      <c r="AK17" s="326"/>
      <c r="AL17" s="326"/>
      <c r="AM17" s="326"/>
      <c r="AN17" s="326"/>
    </row>
    <row r="18" spans="3:40" ht="49.5" customHeight="1" x14ac:dyDescent="0.85">
      <c r="C18" s="363" t="s">
        <v>729</v>
      </c>
      <c r="D18" s="361"/>
      <c r="E18" s="361"/>
      <c r="F18" s="361"/>
      <c r="G18" s="358"/>
      <c r="H18" s="362">
        <f>'GF Budget Tracking'!L57</f>
        <v>150000</v>
      </c>
      <c r="I18" s="362">
        <f>'GF Budget Tracking'!N57</f>
        <v>0</v>
      </c>
      <c r="J18" s="329"/>
      <c r="K18" s="331"/>
      <c r="L18" s="332"/>
      <c r="M18" s="332"/>
      <c r="N18" s="332"/>
      <c r="O18" s="326"/>
      <c r="P18" s="326"/>
      <c r="Q18" s="326"/>
      <c r="R18" s="326"/>
      <c r="S18" s="326"/>
      <c r="T18" s="326"/>
      <c r="U18" s="326"/>
      <c r="V18" s="363" t="s">
        <v>1087</v>
      </c>
      <c r="W18" s="361"/>
      <c r="X18" s="361"/>
      <c r="Y18" s="361"/>
      <c r="Z18" s="362">
        <f>'GF Budget Tracking'!L49</f>
        <v>26565</v>
      </c>
      <c r="AA18" s="362">
        <f>'GF Budget Tracking'!N49</f>
        <v>0</v>
      </c>
      <c r="AB18" s="329"/>
      <c r="AC18" s="333"/>
      <c r="AD18" s="326"/>
      <c r="AE18" s="326"/>
      <c r="AF18" s="326"/>
      <c r="AG18" s="326"/>
      <c r="AH18" s="326"/>
      <c r="AI18" s="326"/>
      <c r="AJ18" s="326"/>
      <c r="AK18" s="326"/>
      <c r="AL18" s="326"/>
      <c r="AM18" s="326"/>
      <c r="AN18" s="326"/>
    </row>
    <row r="19" spans="3:40" ht="49.5" customHeight="1" x14ac:dyDescent="0.85">
      <c r="C19" s="363" t="s">
        <v>718</v>
      </c>
      <c r="D19" s="361"/>
      <c r="E19" s="361"/>
      <c r="F19" s="361"/>
      <c r="G19" s="358"/>
      <c r="H19" s="362">
        <f>'GF Budget Tracking'!L58</f>
        <v>50000</v>
      </c>
      <c r="I19" s="362">
        <f>'GF Budget Tracking'!N58</f>
        <v>0</v>
      </c>
      <c r="J19" s="329"/>
      <c r="K19" s="331"/>
      <c r="L19" s="332"/>
      <c r="M19" s="332"/>
      <c r="N19" s="332"/>
      <c r="O19" s="326"/>
      <c r="P19" s="326"/>
      <c r="Q19" s="326"/>
      <c r="R19" s="326"/>
      <c r="S19" s="326"/>
      <c r="T19" s="326"/>
      <c r="U19" s="326"/>
      <c r="V19" s="363" t="s">
        <v>1023</v>
      </c>
      <c r="W19" s="361"/>
      <c r="X19" s="361"/>
      <c r="Y19" s="361"/>
      <c r="Z19" s="362">
        <f>'GF Budget Tracking'!L55</f>
        <v>42000</v>
      </c>
      <c r="AA19" s="362">
        <f>'GF Budget Tracking'!N55</f>
        <v>0</v>
      </c>
      <c r="AB19" s="329"/>
      <c r="AC19" s="333"/>
      <c r="AD19" s="326"/>
      <c r="AE19" s="326"/>
      <c r="AF19" s="326"/>
      <c r="AG19" s="326"/>
      <c r="AH19" s="326"/>
      <c r="AI19" s="326"/>
      <c r="AJ19" s="326"/>
      <c r="AK19" s="326"/>
      <c r="AL19" s="326"/>
      <c r="AM19" s="326"/>
      <c r="AN19" s="326"/>
    </row>
    <row r="20" spans="3:40" ht="49.5" customHeight="1" thickBot="1" x14ac:dyDescent="0.9">
      <c r="C20" s="360" t="s">
        <v>704</v>
      </c>
      <c r="D20" s="361"/>
      <c r="E20" s="361"/>
      <c r="F20" s="361"/>
      <c r="G20" s="358"/>
      <c r="H20" s="362">
        <f>'GF Budget Tracking'!L64</f>
        <v>100000</v>
      </c>
      <c r="I20" s="362">
        <f>'GF Budget Tracking'!N64</f>
        <v>0</v>
      </c>
      <c r="J20" s="329" t="s">
        <v>1072</v>
      </c>
      <c r="K20" s="331"/>
      <c r="L20" s="332"/>
      <c r="M20" s="332"/>
      <c r="N20" s="332"/>
      <c r="O20" s="326"/>
      <c r="P20" s="326"/>
      <c r="Q20" s="326"/>
      <c r="R20" s="326"/>
      <c r="S20" s="326"/>
      <c r="T20" s="326"/>
      <c r="U20" s="326"/>
      <c r="V20" s="358"/>
      <c r="W20" s="358"/>
      <c r="X20" s="358"/>
      <c r="Y20" s="358"/>
      <c r="Z20" s="364">
        <f>SUM(Z7:Z19)</f>
        <v>694565</v>
      </c>
      <c r="AA20" s="364">
        <f>SUM(AA7:AA19)</f>
        <v>125000</v>
      </c>
      <c r="AB20" s="326"/>
      <c r="AC20" s="326"/>
      <c r="AD20" s="326"/>
      <c r="AE20" s="326"/>
      <c r="AF20" s="326"/>
      <c r="AG20" s="326"/>
      <c r="AH20" s="326"/>
      <c r="AI20" s="326"/>
      <c r="AJ20" s="326"/>
      <c r="AK20" s="326"/>
      <c r="AL20" s="326"/>
      <c r="AM20" s="326"/>
      <c r="AN20" s="326"/>
    </row>
    <row r="21" spans="3:40" ht="49.5" customHeight="1" thickTop="1" x14ac:dyDescent="0.85">
      <c r="C21" s="360" t="s">
        <v>722</v>
      </c>
      <c r="D21" s="361"/>
      <c r="E21" s="361"/>
      <c r="F21" s="361"/>
      <c r="G21" s="358"/>
      <c r="H21" s="362">
        <f>'GF Budget Tracking'!L65</f>
        <v>225000</v>
      </c>
      <c r="I21" s="362">
        <f>'GF Budget Tracking'!N65</f>
        <v>225000</v>
      </c>
      <c r="J21" s="329" t="s">
        <v>1059</v>
      </c>
      <c r="K21" s="331"/>
      <c r="L21" s="332"/>
      <c r="M21" s="332"/>
      <c r="N21" s="332"/>
      <c r="O21" s="326"/>
      <c r="P21" s="326"/>
      <c r="Q21" s="326"/>
      <c r="R21" s="326"/>
      <c r="S21" s="326"/>
      <c r="T21" s="326"/>
      <c r="U21" s="326"/>
      <c r="V21" s="327"/>
      <c r="W21" s="327"/>
      <c r="X21" s="327"/>
      <c r="Y21" s="327"/>
      <c r="Z21" s="326"/>
      <c r="AA21" s="326"/>
      <c r="AB21" s="334"/>
      <c r="AC21" s="326"/>
      <c r="AD21" s="326"/>
      <c r="AE21" s="326"/>
      <c r="AF21" s="326"/>
      <c r="AG21" s="326"/>
      <c r="AH21" s="326"/>
      <c r="AI21" s="326"/>
      <c r="AJ21" s="326"/>
      <c r="AK21" s="326"/>
      <c r="AL21" s="326"/>
      <c r="AM21" s="326"/>
      <c r="AN21" s="326"/>
    </row>
    <row r="22" spans="3:40" ht="53.25" customHeight="1" thickBot="1" x14ac:dyDescent="0.9">
      <c r="C22" s="361"/>
      <c r="D22" s="361"/>
      <c r="E22" s="361"/>
      <c r="F22" s="361"/>
      <c r="G22" s="358"/>
      <c r="H22" s="364">
        <f>SUM(H7:H21)</f>
        <v>2734400</v>
      </c>
      <c r="I22" s="364">
        <f>SUM(I7:I21)</f>
        <v>1579400</v>
      </c>
      <c r="J22" s="332"/>
      <c r="K22" s="332"/>
      <c r="L22" s="332"/>
      <c r="M22" s="332"/>
      <c r="N22" s="332"/>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row>
    <row r="23" spans="3:40" ht="15" customHeight="1" thickTop="1" x14ac:dyDescent="0.25">
      <c r="C23" s="326"/>
      <c r="D23" s="326"/>
      <c r="E23" s="326"/>
      <c r="F23" s="326"/>
      <c r="G23" s="326"/>
      <c r="H23" s="326"/>
      <c r="I23" s="332"/>
      <c r="J23" s="326"/>
      <c r="K23" s="326"/>
      <c r="L23" s="326"/>
      <c r="M23" s="332"/>
      <c r="N23" s="332"/>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row>
    <row r="24" spans="3:40" ht="15" customHeight="1" x14ac:dyDescent="0.25">
      <c r="C24" s="326"/>
      <c r="D24" s="326"/>
      <c r="E24" s="326"/>
      <c r="F24" s="326"/>
      <c r="G24" s="326"/>
      <c r="H24" s="326"/>
      <c r="I24" s="332"/>
      <c r="J24" s="326"/>
      <c r="K24" s="326"/>
      <c r="L24" s="326"/>
      <c r="M24" s="332"/>
      <c r="N24" s="332"/>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row>
    <row r="25" spans="3:40" ht="15" customHeight="1" x14ac:dyDescent="0.25">
      <c r="C25" s="326"/>
      <c r="D25" s="326"/>
      <c r="E25" s="326"/>
      <c r="F25" s="326"/>
      <c r="G25" s="326"/>
      <c r="H25" s="326"/>
      <c r="I25" s="332"/>
      <c r="J25" s="326"/>
      <c r="K25" s="326"/>
      <c r="L25" s="326"/>
      <c r="M25" s="332"/>
      <c r="N25" s="332"/>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row>
    <row r="26" spans="3:40" ht="15" customHeight="1" x14ac:dyDescent="0.25">
      <c r="C26" s="326"/>
      <c r="D26" s="326"/>
      <c r="E26" s="326"/>
      <c r="F26" s="332"/>
      <c r="G26" s="332"/>
      <c r="H26" s="332"/>
      <c r="I26" s="332"/>
      <c r="J26" s="332"/>
      <c r="K26" s="332"/>
      <c r="L26" s="332"/>
      <c r="M26" s="332"/>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row>
    <row r="27" spans="3:40" ht="15" customHeight="1" x14ac:dyDescent="0.25">
      <c r="C27" s="326"/>
      <c r="D27" s="326"/>
      <c r="E27" s="326"/>
      <c r="F27" s="332"/>
      <c r="G27" s="332"/>
      <c r="H27" s="332"/>
      <c r="I27" s="332"/>
      <c r="J27" s="332"/>
      <c r="K27" s="332"/>
      <c r="L27" s="332"/>
      <c r="M27" s="332"/>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row>
    <row r="28" spans="3:40" s="321" customFormat="1" ht="61.5" x14ac:dyDescent="0.9">
      <c r="C28" s="395" t="s">
        <v>440</v>
      </c>
      <c r="D28" s="395"/>
      <c r="E28" s="395"/>
      <c r="F28" s="395"/>
      <c r="G28" s="395"/>
      <c r="H28" s="395"/>
      <c r="I28" s="395"/>
      <c r="J28" s="395"/>
      <c r="K28" s="395"/>
      <c r="L28" s="395"/>
      <c r="M28" s="352"/>
      <c r="N28" s="353"/>
      <c r="O28" s="353"/>
      <c r="P28" s="353"/>
      <c r="Q28" s="353"/>
      <c r="R28" s="353"/>
      <c r="S28" s="353"/>
      <c r="T28" s="353"/>
      <c r="U28" s="395" t="s">
        <v>315</v>
      </c>
      <c r="V28" s="395"/>
      <c r="W28" s="395"/>
      <c r="X28" s="395"/>
      <c r="Y28" s="395"/>
      <c r="Z28" s="395"/>
      <c r="AA28" s="395"/>
      <c r="AB28" s="395"/>
      <c r="AC28" s="395"/>
      <c r="AD28" s="395"/>
      <c r="AE28" s="395"/>
      <c r="AF28" s="395"/>
      <c r="AG28" s="354"/>
      <c r="AH28" s="353"/>
      <c r="AI28" s="353"/>
      <c r="AJ28" s="353"/>
      <c r="AK28" s="353"/>
      <c r="AL28" s="353"/>
      <c r="AM28" s="353"/>
      <c r="AN28" s="353"/>
    </row>
    <row r="29" spans="3:40" ht="42" customHeight="1" x14ac:dyDescent="0.85">
      <c r="C29" s="326"/>
      <c r="D29" s="326"/>
      <c r="E29" s="326"/>
      <c r="F29" s="358"/>
      <c r="G29" s="358"/>
      <c r="H29" s="359" t="s">
        <v>959</v>
      </c>
      <c r="I29" s="359" t="s">
        <v>960</v>
      </c>
      <c r="J29" s="326"/>
      <c r="K29" s="332"/>
      <c r="L29" s="326"/>
      <c r="M29" s="332"/>
      <c r="N29" s="326"/>
      <c r="O29" s="326"/>
      <c r="P29" s="326"/>
      <c r="Q29" s="326"/>
      <c r="R29" s="326"/>
      <c r="S29" s="326"/>
      <c r="T29" s="326"/>
      <c r="U29" s="326"/>
      <c r="V29" s="358"/>
      <c r="W29" s="358"/>
      <c r="X29" s="358"/>
      <c r="Y29" s="358"/>
      <c r="Z29" s="359" t="s">
        <v>959</v>
      </c>
      <c r="AA29" s="359" t="s">
        <v>960</v>
      </c>
      <c r="AB29" s="326"/>
      <c r="AC29" s="326"/>
      <c r="AD29" s="326"/>
      <c r="AE29" s="326"/>
      <c r="AF29" s="326"/>
      <c r="AG29" s="326"/>
      <c r="AH29" s="326"/>
      <c r="AI29" s="326"/>
      <c r="AJ29" s="326"/>
      <c r="AK29" s="326"/>
      <c r="AL29" s="326"/>
      <c r="AM29" s="326"/>
      <c r="AN29" s="326"/>
    </row>
    <row r="30" spans="3:40" ht="47.25" customHeight="1" x14ac:dyDescent="0.85">
      <c r="C30" s="326"/>
      <c r="D30" s="326"/>
      <c r="E30" s="326"/>
      <c r="F30" s="361" t="s">
        <v>1033</v>
      </c>
      <c r="G30" s="361"/>
      <c r="H30" s="362">
        <f>'GF Budget Tracking'!L10</f>
        <v>700000</v>
      </c>
      <c r="I30" s="362">
        <f>'GF Budget Tracking'!N10</f>
        <v>0</v>
      </c>
      <c r="J30" s="329" t="s">
        <v>1042</v>
      </c>
      <c r="K30" s="332"/>
      <c r="L30" s="326"/>
      <c r="M30" s="332"/>
      <c r="N30" s="326"/>
      <c r="O30" s="326"/>
      <c r="P30" s="326"/>
      <c r="Q30" s="326"/>
      <c r="R30" s="326"/>
      <c r="S30" s="326"/>
      <c r="T30" s="326"/>
      <c r="U30" s="326"/>
      <c r="V30" s="361" t="s">
        <v>1002</v>
      </c>
      <c r="W30" s="361"/>
      <c r="X30" s="361"/>
      <c r="Y30" s="361"/>
      <c r="Z30" s="362">
        <f>'GF Budget Tracking'!L12</f>
        <v>300000</v>
      </c>
      <c r="AA30" s="362">
        <f>'GF Budget Tracking'!N12</f>
        <v>0</v>
      </c>
      <c r="AB30" s="329"/>
      <c r="AC30" s="329"/>
      <c r="AD30" s="326"/>
      <c r="AE30" s="326"/>
      <c r="AF30" s="326"/>
      <c r="AG30" s="326"/>
      <c r="AH30" s="326"/>
      <c r="AI30" s="326"/>
      <c r="AJ30" s="326"/>
      <c r="AK30" s="326"/>
      <c r="AL30" s="326"/>
      <c r="AM30" s="326"/>
      <c r="AN30" s="326"/>
    </row>
    <row r="31" spans="3:40" ht="47.25" customHeight="1" thickBot="1" x14ac:dyDescent="0.9">
      <c r="C31" s="326"/>
      <c r="D31" s="326"/>
      <c r="E31" s="326"/>
      <c r="F31" s="361"/>
      <c r="G31" s="361"/>
      <c r="H31" s="364">
        <f>SUM(H30)</f>
        <v>700000</v>
      </c>
      <c r="I31" s="364">
        <f>SUM(I30)</f>
        <v>0</v>
      </c>
      <c r="J31" s="334"/>
      <c r="K31" s="332"/>
      <c r="L31" s="326"/>
      <c r="M31" s="332"/>
      <c r="N31" s="326"/>
      <c r="O31" s="326"/>
      <c r="P31" s="326"/>
      <c r="Q31" s="326"/>
      <c r="R31" s="326"/>
      <c r="S31" s="326"/>
      <c r="T31" s="326"/>
      <c r="U31" s="326"/>
      <c r="V31" s="361" t="s">
        <v>1003</v>
      </c>
      <c r="W31" s="361"/>
      <c r="X31" s="361"/>
      <c r="Y31" s="361"/>
      <c r="Z31" s="362">
        <f>'GF Budget Tracking'!L14+'GF Budget Tracking'!L15</f>
        <v>221000</v>
      </c>
      <c r="AA31" s="362">
        <f>'GF Budget Tracking'!N14+'GF Budget Tracking'!N15</f>
        <v>186000</v>
      </c>
      <c r="AB31" s="329" t="s">
        <v>1057</v>
      </c>
      <c r="AC31" s="329"/>
      <c r="AD31" s="326"/>
      <c r="AE31" s="326"/>
      <c r="AF31" s="326"/>
      <c r="AG31" s="326"/>
      <c r="AH31" s="326"/>
      <c r="AI31" s="326"/>
      <c r="AJ31" s="326"/>
      <c r="AK31" s="326"/>
      <c r="AL31" s="326"/>
      <c r="AM31" s="326"/>
      <c r="AN31" s="326"/>
    </row>
    <row r="32" spans="3:40" ht="47.25" customHeight="1" thickTop="1" x14ac:dyDescent="0.85">
      <c r="C32" s="326"/>
      <c r="D32" s="326"/>
      <c r="E32" s="326"/>
      <c r="F32" s="326"/>
      <c r="G32" s="326"/>
      <c r="H32" s="326"/>
      <c r="I32" s="326"/>
      <c r="J32" s="326"/>
      <c r="K32" s="326"/>
      <c r="L32" s="326"/>
      <c r="M32" s="326"/>
      <c r="N32" s="326"/>
      <c r="O32" s="326"/>
      <c r="P32" s="326"/>
      <c r="Q32" s="326"/>
      <c r="R32" s="326"/>
      <c r="S32" s="326"/>
      <c r="T32" s="326"/>
      <c r="U32" s="326"/>
      <c r="V32" s="361" t="s">
        <v>1004</v>
      </c>
      <c r="W32" s="361"/>
      <c r="X32" s="361"/>
      <c r="Y32" s="361"/>
      <c r="Z32" s="362">
        <f>'GF Budget Tracking'!L16</f>
        <v>25000</v>
      </c>
      <c r="AA32" s="362">
        <f>'GF Budget Tracking'!N16</f>
        <v>25000</v>
      </c>
      <c r="AB32" s="329"/>
      <c r="AC32" s="329"/>
      <c r="AD32" s="326"/>
      <c r="AE32" s="326"/>
      <c r="AF32" s="326"/>
      <c r="AG32" s="326"/>
      <c r="AH32" s="326"/>
      <c r="AI32" s="326"/>
      <c r="AJ32" s="326"/>
      <c r="AK32" s="326"/>
      <c r="AL32" s="326"/>
      <c r="AM32" s="326"/>
      <c r="AN32" s="326"/>
    </row>
    <row r="33" spans="3:40" ht="47.25" customHeight="1" x14ac:dyDescent="0.85">
      <c r="C33" s="326"/>
      <c r="D33" s="326"/>
      <c r="E33" s="326"/>
      <c r="F33" s="326"/>
      <c r="G33" s="326"/>
      <c r="H33" s="326"/>
      <c r="I33" s="326"/>
      <c r="J33" s="326"/>
      <c r="K33" s="326"/>
      <c r="L33" s="326"/>
      <c r="M33" s="326"/>
      <c r="N33" s="326"/>
      <c r="O33" s="326"/>
      <c r="P33" s="326"/>
      <c r="Q33" s="326"/>
      <c r="R33" s="326"/>
      <c r="S33" s="326"/>
      <c r="T33" s="326"/>
      <c r="U33" s="326"/>
      <c r="V33" s="360" t="s">
        <v>201</v>
      </c>
      <c r="W33" s="361"/>
      <c r="X33" s="361"/>
      <c r="Y33" s="361"/>
      <c r="Z33" s="362">
        <f>'GF Budget Tracking'!L59</f>
        <v>150000</v>
      </c>
      <c r="AA33" s="362">
        <f>'GF Budget Tracking'!N59</f>
        <v>150000</v>
      </c>
      <c r="AB33" s="329"/>
      <c r="AC33" s="329"/>
      <c r="AD33" s="326"/>
      <c r="AE33" s="326"/>
      <c r="AF33" s="326"/>
      <c r="AG33" s="326"/>
      <c r="AH33" s="326"/>
      <c r="AI33" s="326"/>
      <c r="AJ33" s="326"/>
      <c r="AK33" s="326"/>
      <c r="AL33" s="326"/>
      <c r="AM33" s="326"/>
      <c r="AN33" s="326"/>
    </row>
    <row r="34" spans="3:40" ht="47.25" customHeight="1" x14ac:dyDescent="0.85">
      <c r="C34" s="326"/>
      <c r="D34" s="326"/>
      <c r="E34" s="326"/>
      <c r="F34" s="326"/>
      <c r="G34" s="326"/>
      <c r="H34" s="326"/>
      <c r="I34" s="326"/>
      <c r="J34" s="326"/>
      <c r="K34" s="326"/>
      <c r="L34" s="326"/>
      <c r="M34" s="326"/>
      <c r="N34" s="326"/>
      <c r="O34" s="326"/>
      <c r="P34" s="326"/>
      <c r="Q34" s="326"/>
      <c r="R34" s="326"/>
      <c r="S34" s="326"/>
      <c r="T34" s="326"/>
      <c r="U34" s="326"/>
      <c r="V34" s="363" t="s">
        <v>1025</v>
      </c>
      <c r="W34" s="361"/>
      <c r="X34" s="361"/>
      <c r="Y34" s="361"/>
      <c r="Z34" s="362">
        <f>'GF Budget Tracking'!L61</f>
        <v>50000</v>
      </c>
      <c r="AA34" s="362">
        <f>'GF Budget Tracking'!N61</f>
        <v>10000</v>
      </c>
      <c r="AB34" s="329" t="s">
        <v>1053</v>
      </c>
      <c r="AC34" s="329"/>
      <c r="AD34" s="326"/>
      <c r="AE34" s="326"/>
      <c r="AF34" s="326"/>
      <c r="AG34" s="326"/>
      <c r="AH34" s="326"/>
      <c r="AI34" s="326"/>
      <c r="AJ34" s="326"/>
      <c r="AK34" s="326"/>
      <c r="AL34" s="326"/>
      <c r="AM34" s="326"/>
      <c r="AN34" s="326"/>
    </row>
    <row r="35" spans="3:40" ht="47.25" customHeight="1" x14ac:dyDescent="0.85">
      <c r="C35" s="326"/>
      <c r="D35" s="326"/>
      <c r="E35" s="326"/>
      <c r="F35" s="326"/>
      <c r="G35" s="326"/>
      <c r="H35" s="326"/>
      <c r="I35" s="326"/>
      <c r="J35" s="326"/>
      <c r="K35" s="326"/>
      <c r="L35" s="326"/>
      <c r="M35" s="326"/>
      <c r="N35" s="326"/>
      <c r="O35" s="326"/>
      <c r="P35" s="326"/>
      <c r="Q35" s="326"/>
      <c r="R35" s="326"/>
      <c r="S35" s="326"/>
      <c r="T35" s="326"/>
      <c r="U35" s="326"/>
      <c r="V35" s="363" t="s">
        <v>951</v>
      </c>
      <c r="W35" s="361"/>
      <c r="X35" s="361"/>
      <c r="Y35" s="361"/>
      <c r="Z35" s="362">
        <f>'GF Budget Tracking'!L66</f>
        <v>110000</v>
      </c>
      <c r="AA35" s="362">
        <f>'GF Budget Tracking'!N66</f>
        <v>0</v>
      </c>
      <c r="AB35" s="329" t="s">
        <v>1056</v>
      </c>
      <c r="AC35" s="329"/>
      <c r="AD35" s="326"/>
      <c r="AE35" s="326"/>
      <c r="AF35" s="326"/>
      <c r="AG35" s="326"/>
      <c r="AH35" s="326"/>
      <c r="AI35" s="326"/>
      <c r="AJ35" s="326"/>
      <c r="AK35" s="326"/>
      <c r="AL35" s="326"/>
      <c r="AM35" s="326"/>
      <c r="AN35" s="326"/>
    </row>
    <row r="36" spans="3:40" ht="47.25" customHeight="1" x14ac:dyDescent="0.85">
      <c r="C36" s="326"/>
      <c r="D36" s="326"/>
      <c r="E36" s="326"/>
      <c r="F36" s="326"/>
      <c r="G36" s="326"/>
      <c r="H36" s="326"/>
      <c r="I36" s="326"/>
      <c r="J36" s="326"/>
      <c r="K36" s="332"/>
      <c r="L36" s="326"/>
      <c r="M36" s="326"/>
      <c r="N36" s="326"/>
      <c r="O36" s="326"/>
      <c r="P36" s="326"/>
      <c r="Q36" s="326"/>
      <c r="R36" s="326"/>
      <c r="S36" s="326"/>
      <c r="T36" s="326"/>
      <c r="U36" s="326"/>
      <c r="V36" s="363" t="s">
        <v>933</v>
      </c>
      <c r="W36" s="361"/>
      <c r="X36" s="361"/>
      <c r="Y36" s="361"/>
      <c r="Z36" s="362">
        <f>'GF Budget Tracking'!L67</f>
        <v>25000</v>
      </c>
      <c r="AA36" s="362">
        <f>'GF Budget Tracking'!N67</f>
        <v>0</v>
      </c>
      <c r="AB36" s="329" t="s">
        <v>1055</v>
      </c>
      <c r="AC36" s="329"/>
      <c r="AD36" s="326"/>
      <c r="AE36" s="326"/>
      <c r="AF36" s="326"/>
      <c r="AG36" s="326"/>
      <c r="AH36" s="326"/>
      <c r="AI36" s="326"/>
      <c r="AJ36" s="326"/>
      <c r="AK36" s="326"/>
      <c r="AL36" s="326"/>
      <c r="AM36" s="326"/>
      <c r="AN36" s="326"/>
    </row>
    <row r="37" spans="3:40" ht="47.25" customHeight="1" x14ac:dyDescent="0.85">
      <c r="C37" s="326"/>
      <c r="D37" s="326"/>
      <c r="E37" s="326"/>
      <c r="F37" s="326"/>
      <c r="G37" s="326"/>
      <c r="H37" s="326"/>
      <c r="I37" s="326"/>
      <c r="J37" s="326"/>
      <c r="K37" s="326"/>
      <c r="L37" s="326"/>
      <c r="M37" s="326"/>
      <c r="N37" s="326"/>
      <c r="O37" s="326"/>
      <c r="P37" s="326"/>
      <c r="Q37" s="326"/>
      <c r="R37" s="326"/>
      <c r="S37" s="326"/>
      <c r="T37" s="326"/>
      <c r="U37" s="326"/>
      <c r="V37" s="363" t="s">
        <v>1027</v>
      </c>
      <c r="W37" s="361"/>
      <c r="X37" s="361"/>
      <c r="Y37" s="361"/>
      <c r="Z37" s="362">
        <f>'GF Budget Tracking'!L68</f>
        <v>100000</v>
      </c>
      <c r="AA37" s="362">
        <f>'GF Budget Tracking'!N68</f>
        <v>0</v>
      </c>
      <c r="AB37" s="329" t="s">
        <v>1055</v>
      </c>
      <c r="AC37" s="329"/>
      <c r="AD37" s="326"/>
      <c r="AE37" s="326"/>
      <c r="AF37" s="326"/>
      <c r="AG37" s="326"/>
      <c r="AH37" s="326"/>
      <c r="AI37" s="326"/>
      <c r="AJ37" s="326"/>
      <c r="AK37" s="326"/>
      <c r="AL37" s="326"/>
      <c r="AM37" s="326"/>
      <c r="AN37" s="326"/>
    </row>
    <row r="38" spans="3:40" ht="47.25" customHeight="1" thickBot="1" x14ac:dyDescent="0.9">
      <c r="C38" s="326"/>
      <c r="D38" s="326"/>
      <c r="E38" s="326"/>
      <c r="F38" s="326"/>
      <c r="G38" s="326"/>
      <c r="H38" s="326"/>
      <c r="I38" s="326"/>
      <c r="J38" s="326"/>
      <c r="K38" s="326"/>
      <c r="L38" s="326"/>
      <c r="M38" s="326"/>
      <c r="N38" s="326"/>
      <c r="O38" s="326"/>
      <c r="P38" s="326"/>
      <c r="Q38" s="326"/>
      <c r="R38" s="326"/>
      <c r="S38" s="326"/>
      <c r="T38" s="326"/>
      <c r="U38" s="326"/>
      <c r="V38" s="361"/>
      <c r="W38" s="361"/>
      <c r="X38" s="361"/>
      <c r="Y38" s="361"/>
      <c r="Z38" s="364">
        <f>SUM(Z30:Z37)</f>
        <v>981000</v>
      </c>
      <c r="AA38" s="364">
        <f>SUM(AA30:AA37)</f>
        <v>371000</v>
      </c>
      <c r="AB38" s="334"/>
      <c r="AC38" s="334"/>
      <c r="AD38" s="326"/>
      <c r="AE38" s="326"/>
      <c r="AF38" s="326"/>
      <c r="AG38" s="326"/>
      <c r="AH38" s="326"/>
      <c r="AI38" s="326"/>
      <c r="AJ38" s="326"/>
      <c r="AK38" s="326"/>
      <c r="AL38" s="326"/>
      <c r="AM38" s="326"/>
      <c r="AN38" s="326"/>
    </row>
    <row r="39" spans="3:40" ht="15.75" thickTop="1" x14ac:dyDescent="0.25">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row>
    <row r="40" spans="3:40" x14ac:dyDescent="0.25">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row>
    <row r="41" spans="3:40" x14ac:dyDescent="0.25">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row>
    <row r="42" spans="3:40" x14ac:dyDescent="0.25">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row>
    <row r="43" spans="3:40" s="320" customFormat="1" ht="61.5" x14ac:dyDescent="0.9">
      <c r="C43" s="395" t="s">
        <v>1019</v>
      </c>
      <c r="D43" s="395"/>
      <c r="E43" s="395"/>
      <c r="F43" s="395"/>
      <c r="G43" s="395"/>
      <c r="H43" s="395"/>
      <c r="I43" s="395"/>
      <c r="J43" s="395"/>
      <c r="K43" s="395"/>
      <c r="L43" s="395"/>
      <c r="M43" s="355"/>
      <c r="N43" s="356"/>
      <c r="O43" s="356"/>
      <c r="P43" s="356"/>
      <c r="Q43" s="356"/>
      <c r="R43" s="356"/>
      <c r="S43" s="356"/>
      <c r="T43" s="356"/>
      <c r="U43" s="395" t="s">
        <v>1000</v>
      </c>
      <c r="V43" s="395"/>
      <c r="W43" s="395"/>
      <c r="X43" s="395"/>
      <c r="Y43" s="395"/>
      <c r="Z43" s="395"/>
      <c r="AA43" s="395"/>
      <c r="AB43" s="395"/>
      <c r="AC43" s="395"/>
      <c r="AD43" s="395"/>
      <c r="AE43" s="395"/>
      <c r="AF43" s="395"/>
      <c r="AG43" s="355"/>
      <c r="AH43" s="356"/>
      <c r="AI43" s="356"/>
      <c r="AJ43" s="356"/>
      <c r="AK43" s="356"/>
      <c r="AL43" s="356"/>
      <c r="AM43" s="356"/>
      <c r="AN43" s="356"/>
    </row>
    <row r="44" spans="3:40" s="324" customFormat="1" ht="39.950000000000003" customHeight="1" x14ac:dyDescent="0.85">
      <c r="C44" s="335"/>
      <c r="D44" s="358"/>
      <c r="E44" s="358"/>
      <c r="F44" s="358"/>
      <c r="G44" s="358"/>
      <c r="H44" s="359" t="s">
        <v>959</v>
      </c>
      <c r="I44" s="359" t="s">
        <v>960</v>
      </c>
      <c r="J44" s="335"/>
      <c r="K44" s="335"/>
      <c r="L44" s="335"/>
      <c r="M44" s="335"/>
      <c r="N44" s="335"/>
      <c r="O44" s="335"/>
      <c r="P44" s="335"/>
      <c r="Q44" s="335"/>
      <c r="R44" s="335"/>
      <c r="S44" s="335"/>
      <c r="T44" s="335"/>
      <c r="U44" s="335"/>
      <c r="V44" s="358"/>
      <c r="W44" s="358"/>
      <c r="X44" s="358"/>
      <c r="Y44" s="358"/>
      <c r="Z44" s="359" t="s">
        <v>959</v>
      </c>
      <c r="AA44" s="359" t="s">
        <v>960</v>
      </c>
      <c r="AB44" s="335"/>
      <c r="AC44" s="335"/>
      <c r="AD44" s="335"/>
      <c r="AE44" s="335"/>
      <c r="AF44" s="335"/>
      <c r="AG44" s="335"/>
      <c r="AH44" s="335"/>
      <c r="AI44" s="335"/>
      <c r="AJ44" s="335"/>
      <c r="AK44" s="335"/>
      <c r="AL44" s="335"/>
      <c r="AM44" s="335"/>
      <c r="AN44" s="335"/>
    </row>
    <row r="45" spans="3:40" s="324" customFormat="1" ht="47.25" customHeight="1" x14ac:dyDescent="0.85">
      <c r="C45" s="335"/>
      <c r="D45" s="360" t="s">
        <v>1076</v>
      </c>
      <c r="E45" s="361"/>
      <c r="F45" s="361"/>
      <c r="G45" s="361"/>
      <c r="H45" s="362">
        <f>'GF Budget Tracking'!L40</f>
        <v>100000</v>
      </c>
      <c r="I45" s="362">
        <f>'GF Budget Tracking'!N40</f>
        <v>0</v>
      </c>
      <c r="J45" s="329" t="s">
        <v>1043</v>
      </c>
      <c r="K45" s="335"/>
      <c r="L45" s="335"/>
      <c r="M45" s="335"/>
      <c r="N45" s="335"/>
      <c r="O45" s="335"/>
      <c r="P45" s="335"/>
      <c r="Q45" s="335"/>
      <c r="R45" s="335"/>
      <c r="S45" s="335"/>
      <c r="T45" s="335"/>
      <c r="U45" s="335"/>
      <c r="V45" s="360" t="s">
        <v>430</v>
      </c>
      <c r="W45" s="361"/>
      <c r="X45" s="361"/>
      <c r="Y45" s="361"/>
      <c r="Z45" s="362">
        <f>'GF Budget Tracking'!L63</f>
        <v>150000</v>
      </c>
      <c r="AA45" s="362">
        <f>'GF Budget Tracking'!N63</f>
        <v>0</v>
      </c>
      <c r="AB45" s="329"/>
      <c r="AC45" s="338"/>
      <c r="AD45" s="335"/>
      <c r="AE45" s="335"/>
      <c r="AF45" s="335"/>
      <c r="AG45" s="335"/>
      <c r="AH45" s="335"/>
      <c r="AI45" s="335"/>
      <c r="AJ45" s="335"/>
      <c r="AK45" s="335"/>
      <c r="AL45" s="335"/>
      <c r="AM45" s="335"/>
      <c r="AN45" s="335"/>
    </row>
    <row r="46" spans="3:40" s="324" customFormat="1" ht="47.25" customHeight="1" x14ac:dyDescent="0.85">
      <c r="C46" s="335"/>
      <c r="D46" s="365" t="s">
        <v>1013</v>
      </c>
      <c r="E46" s="361"/>
      <c r="F46" s="361"/>
      <c r="G46" s="361"/>
      <c r="H46" s="362">
        <f>'GF Budget Tracking'!L41</f>
        <v>175000</v>
      </c>
      <c r="I46" s="362">
        <f>'GF Budget Tracking'!N41</f>
        <v>0</v>
      </c>
      <c r="J46" s="329"/>
      <c r="K46" s="335"/>
      <c r="L46" s="335"/>
      <c r="M46" s="335"/>
      <c r="N46" s="335"/>
      <c r="O46" s="335"/>
      <c r="P46" s="335"/>
      <c r="Q46" s="335"/>
      <c r="R46" s="335"/>
      <c r="S46" s="335"/>
      <c r="T46" s="335"/>
      <c r="U46" s="335"/>
      <c r="V46" s="360" t="s">
        <v>1078</v>
      </c>
      <c r="W46" s="361"/>
      <c r="X46" s="361"/>
      <c r="Y46" s="361"/>
      <c r="Z46" s="362">
        <f>'GF Budget Tracking'!L69</f>
        <v>82000</v>
      </c>
      <c r="AA46" s="362">
        <f>'GF Budget Tracking'!N69</f>
        <v>0</v>
      </c>
      <c r="AB46" s="329"/>
      <c r="AC46" s="338"/>
      <c r="AD46" s="335"/>
      <c r="AE46" s="335"/>
      <c r="AF46" s="335"/>
      <c r="AG46" s="335"/>
      <c r="AH46" s="335"/>
      <c r="AI46" s="335"/>
      <c r="AJ46" s="335"/>
      <c r="AK46" s="335"/>
      <c r="AL46" s="335"/>
      <c r="AM46" s="335"/>
      <c r="AN46" s="335"/>
    </row>
    <row r="47" spans="3:40" s="324" customFormat="1" ht="47.25" customHeight="1" x14ac:dyDescent="0.85">
      <c r="C47" s="335"/>
      <c r="D47" s="365" t="s">
        <v>1077</v>
      </c>
      <c r="E47" s="361"/>
      <c r="F47" s="361"/>
      <c r="G47" s="361"/>
      <c r="H47" s="362">
        <f>'GF Budget Tracking'!L42</f>
        <v>50000</v>
      </c>
      <c r="I47" s="362">
        <f>'GF Budget Tracking'!N42</f>
        <v>50000</v>
      </c>
      <c r="J47" s="329" t="s">
        <v>1091</v>
      </c>
      <c r="K47" s="335"/>
      <c r="L47" s="335"/>
      <c r="M47" s="335"/>
      <c r="N47" s="335"/>
      <c r="O47" s="335"/>
      <c r="P47" s="335"/>
      <c r="Q47" s="335"/>
      <c r="R47" s="335"/>
      <c r="S47" s="335"/>
      <c r="T47" s="335"/>
      <c r="U47" s="335"/>
      <c r="V47" s="360" t="s">
        <v>1083</v>
      </c>
      <c r="W47" s="361"/>
      <c r="X47" s="361"/>
      <c r="Y47" s="361"/>
      <c r="Z47" s="362">
        <f>'GF Budget Tracking'!L70</f>
        <v>25000</v>
      </c>
      <c r="AA47" s="362">
        <f>'GF Budget Tracking'!N70</f>
        <v>0</v>
      </c>
      <c r="AB47" s="329"/>
      <c r="AC47" s="338"/>
      <c r="AD47" s="335"/>
      <c r="AE47" s="335"/>
      <c r="AF47" s="335"/>
      <c r="AG47" s="335"/>
      <c r="AH47" s="335"/>
      <c r="AI47" s="335"/>
      <c r="AJ47" s="335"/>
      <c r="AK47" s="335"/>
      <c r="AL47" s="335"/>
      <c r="AM47" s="335"/>
      <c r="AN47" s="335"/>
    </row>
    <row r="48" spans="3:40" s="324" customFormat="1" ht="47.25" customHeight="1" x14ac:dyDescent="0.85">
      <c r="C48" s="335"/>
      <c r="D48" s="361" t="s">
        <v>1075</v>
      </c>
      <c r="E48" s="361"/>
      <c r="F48" s="361"/>
      <c r="G48" s="361"/>
      <c r="H48" s="362">
        <f>'GF Budget Tracking'!L51</f>
        <v>50000</v>
      </c>
      <c r="I48" s="362">
        <f>'GF Budget Tracking'!N51</f>
        <v>0</v>
      </c>
      <c r="J48" s="329"/>
      <c r="K48" s="335"/>
      <c r="L48" s="335"/>
      <c r="M48" s="335"/>
      <c r="N48" s="335"/>
      <c r="O48" s="335"/>
      <c r="P48" s="335"/>
      <c r="Q48" s="335"/>
      <c r="R48" s="335"/>
      <c r="S48" s="335"/>
      <c r="T48" s="335"/>
      <c r="U48" s="335"/>
      <c r="V48" s="360" t="s">
        <v>1084</v>
      </c>
      <c r="W48" s="361"/>
      <c r="X48" s="361"/>
      <c r="Y48" s="361"/>
      <c r="Z48" s="362">
        <f>'GF Budget Tracking'!L71</f>
        <v>30000</v>
      </c>
      <c r="AA48" s="362">
        <f>'GF Budget Tracking'!N71</f>
        <v>0</v>
      </c>
      <c r="AB48" s="329"/>
      <c r="AC48" s="338"/>
      <c r="AD48" s="335"/>
      <c r="AE48" s="335"/>
      <c r="AF48" s="335"/>
      <c r="AG48" s="335"/>
      <c r="AH48" s="335"/>
      <c r="AI48" s="335"/>
      <c r="AJ48" s="335"/>
      <c r="AK48" s="335"/>
      <c r="AL48" s="335"/>
      <c r="AM48" s="335"/>
      <c r="AN48" s="335"/>
    </row>
    <row r="49" spans="3:40" s="324" customFormat="1" ht="47.25" customHeight="1" x14ac:dyDescent="0.85">
      <c r="C49" s="335"/>
      <c r="D49" s="363" t="s">
        <v>1022</v>
      </c>
      <c r="E49" s="361"/>
      <c r="F49" s="361"/>
      <c r="G49" s="361"/>
      <c r="H49" s="362">
        <f>'GF Budget Tracking'!L53</f>
        <v>275000</v>
      </c>
      <c r="I49" s="362">
        <f>'GF Budget Tracking'!N53</f>
        <v>0</v>
      </c>
      <c r="J49" s="329"/>
      <c r="K49" s="335"/>
      <c r="L49" s="335"/>
      <c r="M49" s="335"/>
      <c r="N49" s="335"/>
      <c r="O49" s="335"/>
      <c r="P49" s="335"/>
      <c r="Q49" s="335"/>
      <c r="R49" s="335"/>
      <c r="S49" s="335"/>
      <c r="T49" s="335"/>
      <c r="U49" s="335"/>
      <c r="V49" s="360" t="s">
        <v>1079</v>
      </c>
      <c r="W49" s="361"/>
      <c r="X49" s="361"/>
      <c r="Y49" s="361"/>
      <c r="Z49" s="362">
        <f>'GF Budget Tracking'!L72</f>
        <v>62000</v>
      </c>
      <c r="AA49" s="362">
        <f>'GF Budget Tracking'!N72</f>
        <v>0</v>
      </c>
      <c r="AB49" s="329"/>
      <c r="AC49" s="338"/>
      <c r="AD49" s="335"/>
      <c r="AE49" s="335"/>
      <c r="AF49" s="335"/>
      <c r="AG49" s="335"/>
      <c r="AH49" s="335"/>
      <c r="AI49" s="335"/>
      <c r="AJ49" s="335"/>
      <c r="AK49" s="335"/>
      <c r="AL49" s="335"/>
      <c r="AM49" s="335"/>
      <c r="AN49" s="335"/>
    </row>
    <row r="50" spans="3:40" s="324" customFormat="1" ht="47.25" customHeight="1" x14ac:dyDescent="0.85">
      <c r="C50" s="335"/>
      <c r="D50" s="363" t="s">
        <v>1021</v>
      </c>
      <c r="E50" s="361"/>
      <c r="F50" s="361"/>
      <c r="G50" s="361"/>
      <c r="H50" s="362">
        <f>'GF Budget Tracking'!L54</f>
        <v>495000</v>
      </c>
      <c r="I50" s="362">
        <f>'GF Budget Tracking'!N54</f>
        <v>0</v>
      </c>
      <c r="J50" s="329" t="s">
        <v>1044</v>
      </c>
      <c r="K50" s="335"/>
      <c r="L50" s="335"/>
      <c r="M50" s="335"/>
      <c r="N50" s="335"/>
      <c r="O50" s="335"/>
      <c r="P50" s="335"/>
      <c r="Q50" s="335"/>
      <c r="R50" s="335"/>
      <c r="S50" s="335"/>
      <c r="T50" s="335"/>
      <c r="U50" s="335"/>
      <c r="V50" s="360" t="s">
        <v>1085</v>
      </c>
      <c r="W50" s="361"/>
      <c r="X50" s="361"/>
      <c r="Y50" s="361"/>
      <c r="Z50" s="362">
        <f>'GF Budget Tracking'!L73</f>
        <v>75000</v>
      </c>
      <c r="AA50" s="362">
        <f>'GF Budget Tracking'!N73</f>
        <v>0</v>
      </c>
      <c r="AB50" s="329"/>
      <c r="AC50" s="338"/>
      <c r="AD50" s="335"/>
      <c r="AE50" s="335"/>
      <c r="AF50" s="335"/>
      <c r="AG50" s="335"/>
      <c r="AH50" s="335"/>
      <c r="AI50" s="335"/>
      <c r="AJ50" s="335"/>
      <c r="AK50" s="335"/>
      <c r="AL50" s="335"/>
      <c r="AM50" s="335"/>
      <c r="AN50" s="335"/>
    </row>
    <row r="51" spans="3:40" s="324" customFormat="1" ht="47.25" customHeight="1" x14ac:dyDescent="0.85">
      <c r="C51" s="335"/>
      <c r="D51" s="363" t="s">
        <v>1074</v>
      </c>
      <c r="E51" s="361"/>
      <c r="F51" s="361"/>
      <c r="G51" s="361"/>
      <c r="H51" s="362">
        <f>'GF Budget Tracking'!L62</f>
        <v>88000</v>
      </c>
      <c r="I51" s="362">
        <f>'GF Budget Tracking'!N62</f>
        <v>0</v>
      </c>
      <c r="J51" s="336"/>
      <c r="K51" s="335"/>
      <c r="L51" s="335"/>
      <c r="M51" s="335"/>
      <c r="N51" s="335"/>
      <c r="O51" s="335"/>
      <c r="P51" s="335"/>
      <c r="Q51" s="335"/>
      <c r="R51" s="335"/>
      <c r="S51" s="335"/>
      <c r="T51" s="335"/>
      <c r="U51" s="335"/>
      <c r="V51" s="360" t="s">
        <v>1081</v>
      </c>
      <c r="W51" s="361"/>
      <c r="X51" s="361"/>
      <c r="Y51" s="361"/>
      <c r="Z51" s="362">
        <f>'GF Budget Tracking'!L74</f>
        <v>75000</v>
      </c>
      <c r="AA51" s="362">
        <f>'GF Budget Tracking'!N74</f>
        <v>0</v>
      </c>
      <c r="AB51" s="329" t="s">
        <v>1090</v>
      </c>
      <c r="AC51" s="338"/>
      <c r="AD51" s="335"/>
      <c r="AE51" s="335"/>
      <c r="AF51" s="335"/>
      <c r="AG51" s="335"/>
      <c r="AH51" s="335"/>
      <c r="AI51" s="335"/>
      <c r="AJ51" s="335"/>
      <c r="AK51" s="335"/>
      <c r="AL51" s="335"/>
      <c r="AM51" s="335"/>
      <c r="AN51" s="335"/>
    </row>
    <row r="52" spans="3:40" s="324" customFormat="1" ht="47.25" customHeight="1" thickBot="1" x14ac:dyDescent="0.9">
      <c r="C52" s="335"/>
      <c r="D52" s="361"/>
      <c r="E52" s="361"/>
      <c r="F52" s="361"/>
      <c r="G52" s="361"/>
      <c r="H52" s="364">
        <f>SUM(H45:H51)</f>
        <v>1233000</v>
      </c>
      <c r="I52" s="364">
        <f>SUM(I45:I51)</f>
        <v>50000</v>
      </c>
      <c r="J52" s="337"/>
      <c r="K52" s="335"/>
      <c r="L52" s="335"/>
      <c r="M52" s="335"/>
      <c r="N52" s="335"/>
      <c r="O52" s="335"/>
      <c r="P52" s="335"/>
      <c r="Q52" s="335"/>
      <c r="R52" s="335"/>
      <c r="S52" s="335"/>
      <c r="T52" s="335"/>
      <c r="U52" s="335"/>
      <c r="V52" s="360" t="s">
        <v>1080</v>
      </c>
      <c r="W52" s="361"/>
      <c r="X52" s="361"/>
      <c r="Y52" s="361"/>
      <c r="Z52" s="362">
        <f>'GF Budget Tracking'!L75</f>
        <v>25000</v>
      </c>
      <c r="AA52" s="362">
        <f>'GF Budget Tracking'!N75</f>
        <v>0</v>
      </c>
      <c r="AB52" s="329"/>
      <c r="AC52" s="338"/>
      <c r="AD52" s="335"/>
      <c r="AE52" s="335"/>
      <c r="AF52" s="335"/>
      <c r="AG52" s="335"/>
      <c r="AH52" s="335"/>
      <c r="AI52" s="335"/>
      <c r="AJ52" s="335"/>
      <c r="AK52" s="335"/>
      <c r="AL52" s="335"/>
      <c r="AM52" s="335"/>
      <c r="AN52" s="335"/>
    </row>
    <row r="53" spans="3:40" s="324" customFormat="1" ht="47.25" customHeight="1" thickTop="1" x14ac:dyDescent="0.85">
      <c r="C53" s="335"/>
      <c r="D53" s="327"/>
      <c r="E53" s="327"/>
      <c r="F53" s="327"/>
      <c r="G53" s="327"/>
      <c r="H53" s="328"/>
      <c r="I53" s="328"/>
      <c r="J53" s="337"/>
      <c r="K53" s="335"/>
      <c r="L53" s="335"/>
      <c r="M53" s="335"/>
      <c r="N53" s="335"/>
      <c r="O53" s="335"/>
      <c r="P53" s="335"/>
      <c r="Q53" s="335"/>
      <c r="R53" s="335"/>
      <c r="S53" s="335"/>
      <c r="T53" s="335"/>
      <c r="U53" s="335"/>
      <c r="V53" s="363" t="s">
        <v>1024</v>
      </c>
      <c r="W53" s="361"/>
      <c r="X53" s="361"/>
      <c r="Y53" s="361"/>
      <c r="Z53" s="362">
        <f>'GF Budget Tracking'!L60</f>
        <v>110000</v>
      </c>
      <c r="AA53" s="362">
        <f>'GF Budget Tracking'!N60</f>
        <v>110000</v>
      </c>
      <c r="AB53" s="329" t="s">
        <v>1052</v>
      </c>
      <c r="AC53" s="333"/>
      <c r="AD53" s="326"/>
      <c r="AE53" s="326"/>
      <c r="AF53" s="326"/>
      <c r="AG53" s="326"/>
      <c r="AH53" s="326"/>
      <c r="AI53" s="326"/>
      <c r="AJ53" s="335"/>
      <c r="AK53" s="335"/>
      <c r="AL53" s="335"/>
      <c r="AM53" s="335"/>
      <c r="AN53" s="335"/>
    </row>
    <row r="54" spans="3:40" s="324" customFormat="1" ht="50.25" customHeight="1" thickBot="1" x14ac:dyDescent="0.9">
      <c r="C54" s="335"/>
      <c r="D54" s="327"/>
      <c r="E54" s="327"/>
      <c r="F54" s="327"/>
      <c r="G54" s="327"/>
      <c r="H54" s="328"/>
      <c r="I54" s="328"/>
      <c r="J54" s="337"/>
      <c r="K54" s="335"/>
      <c r="L54" s="335"/>
      <c r="M54" s="335"/>
      <c r="N54" s="335"/>
      <c r="O54" s="335"/>
      <c r="P54" s="335"/>
      <c r="Q54" s="335"/>
      <c r="R54" s="335"/>
      <c r="S54" s="335"/>
      <c r="T54" s="335"/>
      <c r="U54" s="335"/>
      <c r="V54" s="360"/>
      <c r="W54" s="361"/>
      <c r="X54" s="361"/>
      <c r="Y54" s="361"/>
      <c r="Z54" s="364">
        <f>SUM(Z45:Z53)</f>
        <v>634000</v>
      </c>
      <c r="AA54" s="364">
        <f>SUM(AA45:AA53)</f>
        <v>110000</v>
      </c>
      <c r="AB54" s="329"/>
      <c r="AC54" s="338"/>
      <c r="AD54" s="335"/>
      <c r="AE54" s="335"/>
      <c r="AF54" s="335"/>
      <c r="AG54" s="335"/>
      <c r="AH54" s="335"/>
      <c r="AI54" s="335"/>
      <c r="AJ54" s="335"/>
      <c r="AK54" s="335"/>
      <c r="AL54" s="335"/>
      <c r="AM54" s="335"/>
      <c r="AN54" s="335"/>
    </row>
    <row r="55" spans="3:40" s="324" customFormat="1" ht="42" customHeight="1" thickTop="1" x14ac:dyDescent="0.75">
      <c r="C55" s="335"/>
      <c r="D55" s="335"/>
      <c r="E55" s="335"/>
      <c r="F55" s="335"/>
      <c r="G55" s="335"/>
      <c r="H55" s="335"/>
      <c r="I55" s="335"/>
      <c r="J55" s="335"/>
      <c r="K55" s="335"/>
      <c r="L55" s="335"/>
      <c r="M55" s="335"/>
      <c r="N55" s="335"/>
      <c r="O55" s="335"/>
      <c r="P55" s="335"/>
      <c r="Q55" s="335"/>
      <c r="R55" s="335"/>
      <c r="S55" s="335"/>
      <c r="T55" s="335"/>
      <c r="U55" s="337"/>
      <c r="V55" s="357" t="s">
        <v>1088</v>
      </c>
      <c r="W55" s="327"/>
      <c r="X55" s="327"/>
      <c r="Y55" s="327"/>
      <c r="Z55" s="335"/>
      <c r="AA55" s="335"/>
      <c r="AB55" s="336"/>
      <c r="AC55" s="338"/>
      <c r="AD55" s="335"/>
      <c r="AE55" s="335"/>
      <c r="AF55" s="335"/>
      <c r="AG55" s="335"/>
      <c r="AH55" s="335"/>
      <c r="AI55" s="335"/>
      <c r="AJ55" s="335"/>
      <c r="AK55" s="335"/>
      <c r="AL55" s="335"/>
      <c r="AM55" s="335"/>
      <c r="AN55" s="335"/>
    </row>
    <row r="56" spans="3:40" x14ac:dyDescent="0.25">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row>
    <row r="66" spans="1:36" s="320" customFormat="1" ht="70.5" x14ac:dyDescent="1.05">
      <c r="A66" s="396" t="s">
        <v>1058</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row>
    <row r="67" spans="1:36" s="322" customFormat="1" ht="31.5" x14ac:dyDescent="0.5">
      <c r="A67" s="323"/>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row>
    <row r="68" spans="1:36" ht="57" x14ac:dyDescent="0.85">
      <c r="F68" s="366" t="s">
        <v>1054</v>
      </c>
    </row>
    <row r="69" spans="1:36" ht="57" x14ac:dyDescent="0.85">
      <c r="F69" s="366" t="s">
        <v>1048</v>
      </c>
    </row>
    <row r="70" spans="1:36" ht="57" x14ac:dyDescent="0.85">
      <c r="F70" s="366" t="s">
        <v>1089</v>
      </c>
    </row>
    <row r="71" spans="1:36" ht="57" x14ac:dyDescent="0.85">
      <c r="F71" s="366" t="s">
        <v>1046</v>
      </c>
    </row>
    <row r="72" spans="1:36" ht="51" x14ac:dyDescent="0.75">
      <c r="G72" s="367" t="s">
        <v>1047</v>
      </c>
    </row>
    <row r="73" spans="1:36" ht="51" x14ac:dyDescent="0.75">
      <c r="G73" s="367" t="s">
        <v>1050</v>
      </c>
    </row>
    <row r="74" spans="1:36" ht="51" x14ac:dyDescent="0.75">
      <c r="G74" s="367" t="s">
        <v>1049</v>
      </c>
    </row>
    <row r="75" spans="1:36" ht="26.25" x14ac:dyDescent="0.4">
      <c r="F75" s="319"/>
    </row>
    <row r="77" spans="1:36" x14ac:dyDescent="0.25">
      <c r="I77" s="340"/>
      <c r="J77" s="341"/>
      <c r="K77" s="341"/>
      <c r="L77" s="341"/>
      <c r="M77" s="341"/>
      <c r="N77" s="341"/>
      <c r="O77" s="341"/>
      <c r="P77" s="341"/>
      <c r="Q77" s="341"/>
      <c r="R77" s="341"/>
      <c r="S77" s="341"/>
      <c r="T77" s="341"/>
      <c r="U77" s="341"/>
      <c r="V77" s="341"/>
      <c r="W77" s="341"/>
      <c r="X77" s="341"/>
      <c r="Y77" s="342"/>
    </row>
    <row r="78" spans="1:36" ht="46.5" x14ac:dyDescent="0.7">
      <c r="B78" s="113"/>
      <c r="C78" s="113"/>
      <c r="D78" s="113"/>
      <c r="E78" s="113"/>
      <c r="F78" s="113"/>
      <c r="G78" s="113"/>
      <c r="H78" s="113"/>
      <c r="I78" s="343"/>
      <c r="J78" s="339"/>
      <c r="K78" s="305"/>
      <c r="L78" s="339"/>
      <c r="M78" s="392" t="s">
        <v>1064</v>
      </c>
      <c r="N78" s="392"/>
      <c r="O78" s="392"/>
      <c r="P78" s="392"/>
      <c r="Q78" s="392"/>
      <c r="R78" s="392"/>
      <c r="S78" s="392"/>
      <c r="T78" s="392"/>
      <c r="U78" s="392"/>
      <c r="V78" s="392"/>
      <c r="W78" s="392"/>
      <c r="X78" s="339"/>
      <c r="Y78" s="344"/>
      <c r="Z78" s="113"/>
      <c r="AA78" s="113"/>
      <c r="AB78" s="113"/>
      <c r="AC78" s="113"/>
      <c r="AD78" s="113"/>
      <c r="AE78" s="113"/>
      <c r="AF78" s="113"/>
      <c r="AG78" s="113"/>
      <c r="AH78" s="113"/>
      <c r="AI78" s="113"/>
    </row>
    <row r="79" spans="1:36" ht="39" x14ac:dyDescent="0.6">
      <c r="I79" s="345"/>
      <c r="J79" s="368" t="s">
        <v>1067</v>
      </c>
      <c r="K79" s="89"/>
      <c r="L79" s="369"/>
      <c r="M79" s="369"/>
      <c r="N79" s="368"/>
      <c r="O79" s="368"/>
      <c r="P79" s="368"/>
      <c r="Q79" s="368"/>
      <c r="R79" s="368"/>
      <c r="S79" s="368"/>
      <c r="T79" s="368"/>
      <c r="U79" s="368" t="s">
        <v>1068</v>
      </c>
      <c r="V79" s="368"/>
      <c r="W79" s="368"/>
      <c r="X79" s="305"/>
      <c r="Y79" s="346"/>
    </row>
    <row r="80" spans="1:36" ht="39" x14ac:dyDescent="0.6">
      <c r="I80" s="345"/>
      <c r="J80" s="368" t="s">
        <v>1069</v>
      </c>
      <c r="K80" s="89"/>
      <c r="L80" s="369"/>
      <c r="M80" s="369"/>
      <c r="N80" s="368"/>
      <c r="O80" s="368"/>
      <c r="P80" s="368"/>
      <c r="Q80" s="368"/>
      <c r="R80" s="368"/>
      <c r="S80" s="368"/>
      <c r="T80" s="368"/>
      <c r="U80" s="368" t="s">
        <v>1070</v>
      </c>
      <c r="V80" s="368"/>
      <c r="W80" s="368"/>
      <c r="X80" s="305"/>
      <c r="Y80" s="346"/>
    </row>
    <row r="81" spans="9:25" ht="39" x14ac:dyDescent="0.6">
      <c r="I81" s="345"/>
      <c r="J81" s="368" t="s">
        <v>1066</v>
      </c>
      <c r="K81" s="89"/>
      <c r="L81" s="369"/>
      <c r="M81" s="369"/>
      <c r="N81" s="368"/>
      <c r="O81" s="368"/>
      <c r="P81" s="368"/>
      <c r="Q81" s="368"/>
      <c r="R81" s="368"/>
      <c r="S81" s="368"/>
      <c r="T81" s="368"/>
      <c r="U81" s="368" t="s">
        <v>1065</v>
      </c>
      <c r="V81" s="368"/>
      <c r="W81" s="368"/>
      <c r="X81" s="305"/>
      <c r="Y81" s="346"/>
    </row>
    <row r="82" spans="9:25" ht="39" x14ac:dyDescent="0.6">
      <c r="I82" s="345"/>
      <c r="J82" s="368" t="s">
        <v>1092</v>
      </c>
      <c r="K82" s="89"/>
      <c r="L82" s="369"/>
      <c r="M82" s="369"/>
      <c r="N82" s="368"/>
      <c r="O82" s="368"/>
      <c r="P82" s="368"/>
      <c r="Q82" s="368"/>
      <c r="R82" s="368"/>
      <c r="S82" s="368"/>
      <c r="T82" s="368"/>
      <c r="U82" s="368" t="s">
        <v>1071</v>
      </c>
      <c r="V82" s="368"/>
      <c r="W82" s="368"/>
      <c r="X82" s="305"/>
      <c r="Y82" s="346"/>
    </row>
    <row r="83" spans="9:25" x14ac:dyDescent="0.25">
      <c r="I83" s="347"/>
      <c r="J83" s="348"/>
      <c r="K83" s="348"/>
      <c r="L83" s="348"/>
      <c r="M83" s="348"/>
      <c r="N83" s="348"/>
      <c r="O83" s="348"/>
      <c r="P83" s="348"/>
      <c r="Q83" s="348"/>
      <c r="R83" s="348"/>
      <c r="S83" s="348"/>
      <c r="T83" s="348"/>
      <c r="U83" s="348"/>
      <c r="V83" s="348"/>
      <c r="W83" s="348"/>
      <c r="X83" s="348"/>
      <c r="Y83" s="349"/>
    </row>
  </sheetData>
  <mergeCells count="10">
    <mergeCell ref="A1:AN1"/>
    <mergeCell ref="M78:W78"/>
    <mergeCell ref="A3:AI3"/>
    <mergeCell ref="C5:L5"/>
    <mergeCell ref="C28:L28"/>
    <mergeCell ref="C43:L43"/>
    <mergeCell ref="U5:AF5"/>
    <mergeCell ref="U28:AF28"/>
    <mergeCell ref="U43:AF43"/>
    <mergeCell ref="A66:AJ66"/>
  </mergeCells>
  <pageMargins left="0.5" right="0.3" top="0.3" bottom="0.3" header="0" footer="0"/>
  <pageSetup scale="17" orientation="landscape" r:id="rId1"/>
  <headerFooter>
    <oddFooter>&amp;R&amp;D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showGridLines="0" topLeftCell="A37" zoomScaleNormal="100" workbookViewId="0">
      <selection activeCell="I37" sqref="I37"/>
    </sheetView>
  </sheetViews>
  <sheetFormatPr defaultRowHeight="15" x14ac:dyDescent="0.25"/>
  <cols>
    <col min="5" max="5" width="10.140625" bestFit="1" customWidth="1"/>
    <col min="6" max="8" width="11.140625" bestFit="1" customWidth="1"/>
    <col min="9" max="9" width="12.140625" customWidth="1"/>
    <col min="10" max="11" width="10.85546875" customWidth="1"/>
    <col min="15" max="17" width="11.140625" bestFit="1" customWidth="1"/>
    <col min="18" max="18" width="10.140625" bestFit="1" customWidth="1"/>
    <col min="21" max="21" width="11.140625" bestFit="1" customWidth="1"/>
  </cols>
  <sheetData>
    <row r="1" spans="1:25" ht="51" x14ac:dyDescent="0.25">
      <c r="A1" s="398" t="s">
        <v>1035</v>
      </c>
      <c r="B1" s="398"/>
      <c r="C1" s="398"/>
      <c r="D1" s="398"/>
      <c r="E1" s="398"/>
      <c r="F1" s="398"/>
      <c r="G1" s="398"/>
      <c r="H1" s="398"/>
      <c r="I1" s="398"/>
      <c r="J1" s="398"/>
      <c r="K1" s="398"/>
      <c r="L1" s="398"/>
      <c r="M1" s="398"/>
      <c r="N1" s="398"/>
      <c r="O1" s="398"/>
      <c r="P1" s="398"/>
      <c r="Q1" s="398"/>
      <c r="R1" s="398"/>
      <c r="S1" s="398"/>
      <c r="T1" s="398"/>
      <c r="U1" s="398"/>
      <c r="V1" s="398"/>
      <c r="W1" s="398"/>
      <c r="X1" s="398"/>
      <c r="Y1" s="398"/>
    </row>
    <row r="2" spans="1:25" ht="65.25" thickBot="1" x14ac:dyDescent="0.3">
      <c r="B2" s="397" t="str">
        <f>TEXT((G25+I39+G65+V66+R43+V25),"$##,###")</f>
        <v>$6,976,965</v>
      </c>
      <c r="C2" s="397"/>
      <c r="D2" s="397"/>
      <c r="E2" s="397"/>
      <c r="F2" s="397"/>
      <c r="G2" s="397"/>
      <c r="H2" s="397"/>
      <c r="I2" s="397"/>
      <c r="J2" s="397"/>
      <c r="K2" s="397"/>
      <c r="L2" s="397"/>
      <c r="M2" s="397"/>
      <c r="N2" s="397"/>
      <c r="O2" s="397"/>
      <c r="P2" s="397"/>
      <c r="Q2" s="397"/>
      <c r="R2" s="397"/>
      <c r="S2" s="397"/>
      <c r="T2" s="397"/>
      <c r="U2" s="397"/>
      <c r="V2" s="397"/>
      <c r="W2" s="397"/>
    </row>
    <row r="8" spans="1:25" x14ac:dyDescent="0.25">
      <c r="S8" s="5"/>
      <c r="T8" s="5"/>
    </row>
    <row r="9" spans="1:25" x14ac:dyDescent="0.25">
      <c r="C9" s="113" t="s">
        <v>1001</v>
      </c>
      <c r="R9" s="5" t="s">
        <v>1015</v>
      </c>
    </row>
    <row r="10" spans="1:25" x14ac:dyDescent="0.25">
      <c r="C10" t="s">
        <v>1031</v>
      </c>
      <c r="G10" s="6">
        <f>'GF Budget Tracking'!L23</f>
        <v>440400</v>
      </c>
      <c r="R10" t="s">
        <v>318</v>
      </c>
      <c r="V10" s="6">
        <f>'GF Budget Tracking'!L20</f>
        <v>100000</v>
      </c>
    </row>
    <row r="11" spans="1:25" x14ac:dyDescent="0.25">
      <c r="C11" t="s">
        <v>1006</v>
      </c>
      <c r="G11" s="6">
        <f>'GF Budget Tracking'!L24</f>
        <v>500000</v>
      </c>
      <c r="R11" t="s">
        <v>1005</v>
      </c>
      <c r="V11" s="6">
        <f>'GF Budget Tracking'!L21</f>
        <v>45000</v>
      </c>
    </row>
    <row r="12" spans="1:25" x14ac:dyDescent="0.25">
      <c r="C12" t="s">
        <v>656</v>
      </c>
      <c r="G12" s="6">
        <f>'GF Budget Tracking'!L25</f>
        <v>250000</v>
      </c>
      <c r="R12" s="114" t="s">
        <v>921</v>
      </c>
      <c r="S12" s="114"/>
      <c r="T12" s="114"/>
      <c r="V12" s="6">
        <f>'GF Budget Tracking'!L29</f>
        <v>50000</v>
      </c>
    </row>
    <row r="13" spans="1:25" x14ac:dyDescent="0.25">
      <c r="C13" t="s">
        <v>1007</v>
      </c>
      <c r="G13" s="6">
        <f>'GF Budget Tracking'!L26</f>
        <v>150000</v>
      </c>
      <c r="R13" s="114" t="s">
        <v>520</v>
      </c>
      <c r="S13" s="114"/>
      <c r="T13" s="114"/>
      <c r="V13" s="6">
        <f>'GF Budget Tracking'!L30</f>
        <v>75000</v>
      </c>
    </row>
    <row r="14" spans="1:25" x14ac:dyDescent="0.25">
      <c r="C14" t="s">
        <v>52</v>
      </c>
      <c r="G14" s="6">
        <f>'GF Budget Tracking'!L28</f>
        <v>414000</v>
      </c>
      <c r="R14" s="114" t="s">
        <v>922</v>
      </c>
      <c r="S14" s="114"/>
      <c r="T14" s="114"/>
      <c r="V14" s="6">
        <f>'GF Budget Tracking'!L31</f>
        <v>110000</v>
      </c>
    </row>
    <row r="15" spans="1:25" x14ac:dyDescent="0.25">
      <c r="C15" s="114" t="s">
        <v>1032</v>
      </c>
      <c r="G15" s="6">
        <f>'GF Budget Tracking'!L34</f>
        <v>50000</v>
      </c>
      <c r="R15" s="114" t="s">
        <v>923</v>
      </c>
      <c r="S15" s="114"/>
      <c r="T15" s="114"/>
      <c r="V15" s="6">
        <f>'GF Budget Tracking'!L32</f>
        <v>25000</v>
      </c>
    </row>
    <row r="16" spans="1:25" x14ac:dyDescent="0.25">
      <c r="C16" s="114" t="s">
        <v>1008</v>
      </c>
      <c r="G16" s="6">
        <f>'GF Budget Tracking'!L35</f>
        <v>100000</v>
      </c>
      <c r="R16" s="114" t="s">
        <v>938</v>
      </c>
      <c r="S16" s="114"/>
      <c r="T16" s="114"/>
      <c r="V16" s="6">
        <f>'GF Budget Tracking'!L43</f>
        <v>38000</v>
      </c>
    </row>
    <row r="17" spans="3:22" ht="15" customHeight="1" x14ac:dyDescent="0.25">
      <c r="C17" s="114" t="s">
        <v>1009</v>
      </c>
      <c r="G17" s="6">
        <f>'GF Budget Tracking'!L36</f>
        <v>75000</v>
      </c>
      <c r="J17" s="315"/>
      <c r="K17" s="315"/>
      <c r="L17" s="315"/>
      <c r="M17" s="315"/>
      <c r="N17" s="315"/>
      <c r="R17" s="114" t="s">
        <v>939</v>
      </c>
      <c r="S17" s="114"/>
      <c r="T17" s="114"/>
      <c r="V17" s="6">
        <f>'GF Budget Tracking'!L44</f>
        <v>38000</v>
      </c>
    </row>
    <row r="18" spans="3:22" ht="15" customHeight="1" x14ac:dyDescent="0.25">
      <c r="C18" s="254" t="s">
        <v>1010</v>
      </c>
      <c r="G18" s="6">
        <f>'GF Budget Tracking'!L37</f>
        <v>100000</v>
      </c>
      <c r="J18" s="315"/>
      <c r="K18" s="315"/>
      <c r="L18" s="315"/>
      <c r="M18" s="315"/>
      <c r="N18" s="315"/>
      <c r="R18" s="114" t="s">
        <v>695</v>
      </c>
      <c r="V18" s="6">
        <f>'GF Budget Tracking'!L18</f>
        <v>45000</v>
      </c>
    </row>
    <row r="19" spans="3:22" ht="15" customHeight="1" x14ac:dyDescent="0.25">
      <c r="C19" s="124" t="s">
        <v>1011</v>
      </c>
      <c r="G19" s="6">
        <f>'GF Budget Tracking'!L38</f>
        <v>50000</v>
      </c>
      <c r="I19" s="315"/>
      <c r="J19" s="315"/>
      <c r="K19" s="315"/>
      <c r="L19" s="315"/>
      <c r="M19" s="315"/>
      <c r="N19" s="315"/>
      <c r="R19" s="114" t="s">
        <v>1016</v>
      </c>
      <c r="V19" s="6">
        <f>'GF Budget Tracking'!L47</f>
        <v>25000</v>
      </c>
    </row>
    <row r="20" spans="3:22" ht="15" customHeight="1" x14ac:dyDescent="0.25">
      <c r="C20" s="124" t="s">
        <v>1012</v>
      </c>
      <c r="G20" s="6">
        <f>'GF Budget Tracking'!L39</f>
        <v>80000</v>
      </c>
      <c r="I20" s="315"/>
      <c r="J20" s="315"/>
      <c r="K20" s="315"/>
      <c r="L20" s="315"/>
      <c r="M20" s="315"/>
      <c r="N20" s="315"/>
      <c r="R20" s="114" t="s">
        <v>1017</v>
      </c>
      <c r="V20" s="6">
        <f>'GF Budget Tracking'!L48</f>
        <v>75000</v>
      </c>
    </row>
    <row r="21" spans="3:22" ht="15" customHeight="1" x14ac:dyDescent="0.25">
      <c r="C21" s="114" t="s">
        <v>729</v>
      </c>
      <c r="G21" s="6">
        <f>'GF Budget Tracking'!L57</f>
        <v>150000</v>
      </c>
      <c r="I21" s="315"/>
      <c r="J21" s="315"/>
      <c r="K21" s="315"/>
      <c r="L21" s="315"/>
      <c r="M21" s="315"/>
      <c r="N21" s="315"/>
      <c r="R21" s="114" t="s">
        <v>1018</v>
      </c>
      <c r="V21" s="6">
        <f>'GF Budget Tracking'!L49</f>
        <v>26565</v>
      </c>
    </row>
    <row r="22" spans="3:22" ht="15" customHeight="1" x14ac:dyDescent="0.25">
      <c r="C22" s="114" t="s">
        <v>718</v>
      </c>
      <c r="G22" s="6">
        <f>'GF Budget Tracking'!L58</f>
        <v>50000</v>
      </c>
      <c r="I22" s="315"/>
      <c r="J22" s="315"/>
      <c r="K22" s="315"/>
      <c r="L22" s="315"/>
      <c r="M22" s="315"/>
      <c r="N22" s="315"/>
      <c r="R22" s="114" t="s">
        <v>1023</v>
      </c>
      <c r="V22" s="6">
        <f>'GF Budget Tracking'!L55</f>
        <v>42000</v>
      </c>
    </row>
    <row r="23" spans="3:22" ht="15" customHeight="1" x14ac:dyDescent="0.25">
      <c r="C23" s="124" t="s">
        <v>704</v>
      </c>
      <c r="G23" s="6">
        <f>'GF Budget Tracking'!L64</f>
        <v>100000</v>
      </c>
      <c r="I23" s="315"/>
      <c r="J23" s="315"/>
      <c r="K23" s="315"/>
      <c r="L23" s="315"/>
      <c r="M23" s="315"/>
      <c r="N23" s="315"/>
      <c r="R23" s="114" t="s">
        <v>1029</v>
      </c>
      <c r="V23" s="6">
        <f>'GF Budget Tracking'!L46</f>
        <v>0</v>
      </c>
    </row>
    <row r="24" spans="3:22" ht="15" customHeight="1" x14ac:dyDescent="0.25">
      <c r="C24" s="124" t="s">
        <v>722</v>
      </c>
      <c r="G24" s="6">
        <f>'GF Budget Tracking'!L65</f>
        <v>225000</v>
      </c>
      <c r="I24" s="315"/>
      <c r="J24" s="315"/>
      <c r="K24" s="315"/>
      <c r="L24" s="315"/>
      <c r="M24" s="315"/>
      <c r="N24" s="315"/>
      <c r="R24" s="114" t="s">
        <v>1024</v>
      </c>
      <c r="V24" s="6">
        <f>'GF Budget Tracking'!L60</f>
        <v>110000</v>
      </c>
    </row>
    <row r="25" spans="3:22" ht="15" customHeight="1" thickBot="1" x14ac:dyDescent="0.3">
      <c r="G25" s="7">
        <f>SUM(G10:G24)</f>
        <v>2734400</v>
      </c>
      <c r="I25" s="315"/>
      <c r="J25" s="315"/>
      <c r="K25" s="315"/>
      <c r="L25" s="315"/>
      <c r="M25" s="315"/>
      <c r="N25" s="315"/>
      <c r="V25" s="7">
        <f>SUM(V10:V24)</f>
        <v>804565</v>
      </c>
    </row>
    <row r="26" spans="3:22" ht="15" customHeight="1" thickTop="1" x14ac:dyDescent="0.25">
      <c r="I26" s="315"/>
      <c r="M26" s="315"/>
      <c r="N26" s="315"/>
    </row>
    <row r="27" spans="3:22" ht="15" customHeight="1" x14ac:dyDescent="0.25">
      <c r="I27" s="315"/>
      <c r="M27" s="315"/>
      <c r="N27" s="315"/>
    </row>
    <row r="28" spans="3:22" ht="15" customHeight="1" x14ac:dyDescent="0.25">
      <c r="M28" s="315"/>
      <c r="N28" s="315"/>
    </row>
    <row r="29" spans="3:22" ht="15" customHeight="1" x14ac:dyDescent="0.25">
      <c r="M29" s="315"/>
    </row>
    <row r="30" spans="3:22" ht="15" customHeight="1" x14ac:dyDescent="0.25">
      <c r="F30" s="315"/>
      <c r="J30" s="315"/>
      <c r="K30" s="315"/>
      <c r="L30" s="315"/>
      <c r="M30" s="315"/>
    </row>
    <row r="31" spans="3:22" ht="15" customHeight="1" x14ac:dyDescent="0.25">
      <c r="F31" s="315"/>
      <c r="J31" s="315"/>
      <c r="K31" s="315"/>
      <c r="L31" s="315"/>
      <c r="M31" s="315"/>
    </row>
    <row r="32" spans="3:22" ht="15" customHeight="1" x14ac:dyDescent="0.25">
      <c r="F32" s="315"/>
      <c r="G32" s="315"/>
      <c r="H32" s="315"/>
      <c r="I32" s="315"/>
      <c r="J32" s="315"/>
      <c r="K32" s="315"/>
      <c r="L32" s="315"/>
      <c r="M32" s="315"/>
    </row>
    <row r="33" spans="6:18" ht="15" customHeight="1" x14ac:dyDescent="0.25">
      <c r="F33" s="315"/>
      <c r="J33" s="315"/>
      <c r="K33" s="315"/>
      <c r="L33" s="315"/>
      <c r="M33" s="315"/>
    </row>
    <row r="34" spans="6:18" ht="15" customHeight="1" x14ac:dyDescent="0.25">
      <c r="F34" s="315"/>
      <c r="J34" s="315"/>
      <c r="K34" s="315"/>
      <c r="L34" s="315"/>
      <c r="M34" s="315"/>
      <c r="O34" s="113" t="s">
        <v>315</v>
      </c>
    </row>
    <row r="35" spans="6:18" ht="15" customHeight="1" x14ac:dyDescent="0.25">
      <c r="F35" s="315"/>
      <c r="J35" s="315"/>
      <c r="K35" s="315"/>
      <c r="L35" s="315"/>
      <c r="M35" s="315"/>
      <c r="O35" t="s">
        <v>1002</v>
      </c>
      <c r="R35" s="6">
        <f>'GF Budget Tracking'!L12</f>
        <v>300000</v>
      </c>
    </row>
    <row r="36" spans="6:18" ht="15" customHeight="1" x14ac:dyDescent="0.25">
      <c r="K36" s="315"/>
      <c r="L36" s="315"/>
      <c r="M36" s="315"/>
      <c r="O36" t="s">
        <v>1003</v>
      </c>
      <c r="R36" s="6">
        <f>'GF Budget Tracking'!L14+'GF Budget Tracking'!L15</f>
        <v>221000</v>
      </c>
    </row>
    <row r="37" spans="6:18" ht="15" customHeight="1" x14ac:dyDescent="0.25">
      <c r="G37" s="113" t="s">
        <v>440</v>
      </c>
      <c r="K37" s="315"/>
      <c r="O37" t="s">
        <v>1004</v>
      </c>
      <c r="R37" s="6">
        <f>'GF Budget Tracking'!L16</f>
        <v>25000</v>
      </c>
    </row>
    <row r="38" spans="6:18" ht="15" customHeight="1" x14ac:dyDescent="0.25">
      <c r="G38" t="s">
        <v>1033</v>
      </c>
      <c r="I38" s="6">
        <f>'GF Budget Tracking'!L10</f>
        <v>700000</v>
      </c>
      <c r="K38" s="315"/>
      <c r="O38" s="124" t="s">
        <v>201</v>
      </c>
      <c r="R38" s="6">
        <f>'GF Budget Tracking'!L59</f>
        <v>150000</v>
      </c>
    </row>
    <row r="39" spans="6:18" ht="15" customHeight="1" thickBot="1" x14ac:dyDescent="0.3">
      <c r="I39" s="7">
        <f>SUM(I38)</f>
        <v>700000</v>
      </c>
      <c r="K39" s="315"/>
      <c r="O39" s="114" t="s">
        <v>1025</v>
      </c>
      <c r="R39" s="6">
        <f>'GF Budget Tracking'!L61</f>
        <v>50000</v>
      </c>
    </row>
    <row r="40" spans="6:18" ht="15" customHeight="1" thickTop="1" x14ac:dyDescent="0.25">
      <c r="K40" s="315"/>
      <c r="O40" s="114" t="s">
        <v>951</v>
      </c>
      <c r="R40" s="6">
        <f>'GF Budget Tracking'!L66</f>
        <v>110000</v>
      </c>
    </row>
    <row r="41" spans="6:18" ht="15" customHeight="1" x14ac:dyDescent="0.25">
      <c r="K41" s="315"/>
      <c r="O41" s="114" t="s">
        <v>933</v>
      </c>
      <c r="R41" s="6">
        <f>'GF Budget Tracking'!L67</f>
        <v>25000</v>
      </c>
    </row>
    <row r="42" spans="6:18" x14ac:dyDescent="0.25">
      <c r="O42" s="114" t="s">
        <v>1027</v>
      </c>
      <c r="R42" s="6">
        <f>'GF Budget Tracking'!L68</f>
        <v>100000</v>
      </c>
    </row>
    <row r="43" spans="6:18" ht="15.75" thickBot="1" x14ac:dyDescent="0.3">
      <c r="R43" s="7">
        <f>SUM(R35:R42)</f>
        <v>981000</v>
      </c>
    </row>
    <row r="44" spans="6:18" ht="15.75" thickTop="1" x14ac:dyDescent="0.25"/>
    <row r="57" spans="3:22" x14ac:dyDescent="0.25">
      <c r="C57" s="113" t="s">
        <v>1019</v>
      </c>
      <c r="Q57" s="5" t="s">
        <v>1000</v>
      </c>
    </row>
    <row r="58" spans="3:22" x14ac:dyDescent="0.25">
      <c r="C58" s="124" t="s">
        <v>1014</v>
      </c>
      <c r="G58" s="6">
        <f>'GF Budget Tracking'!L40</f>
        <v>100000</v>
      </c>
      <c r="Q58" s="124" t="s">
        <v>430</v>
      </c>
      <c r="V58" s="6">
        <f>'GF Budget Tracking'!L63</f>
        <v>150000</v>
      </c>
    </row>
    <row r="59" spans="3:22" x14ac:dyDescent="0.25">
      <c r="C59" s="314" t="s">
        <v>1013</v>
      </c>
      <c r="G59" s="6">
        <f>'GF Budget Tracking'!L41</f>
        <v>175000</v>
      </c>
      <c r="Q59" s="124" t="s">
        <v>926</v>
      </c>
      <c r="V59" s="6">
        <f>'GF Budget Tracking'!L69</f>
        <v>82000</v>
      </c>
    </row>
    <row r="60" spans="3:22" x14ac:dyDescent="0.25">
      <c r="C60" s="314" t="s">
        <v>999</v>
      </c>
      <c r="G60" s="6">
        <f>'GF Budget Tracking'!L42</f>
        <v>50000</v>
      </c>
      <c r="Q60" s="124" t="s">
        <v>929</v>
      </c>
      <c r="V60" s="6">
        <f>'GF Budget Tracking'!L70</f>
        <v>25000</v>
      </c>
    </row>
    <row r="61" spans="3:22" x14ac:dyDescent="0.25">
      <c r="C61" t="s">
        <v>1020</v>
      </c>
      <c r="G61" s="6">
        <f>'GF Budget Tracking'!L51</f>
        <v>50000</v>
      </c>
      <c r="Q61" s="124" t="s">
        <v>927</v>
      </c>
      <c r="V61" s="6">
        <f>'GF Budget Tracking'!L71</f>
        <v>30000</v>
      </c>
    </row>
    <row r="62" spans="3:22" x14ac:dyDescent="0.25">
      <c r="C62" s="114" t="s">
        <v>1022</v>
      </c>
      <c r="G62" s="6">
        <f>'GF Budget Tracking'!L53</f>
        <v>275000</v>
      </c>
      <c r="Q62" s="124" t="s">
        <v>928</v>
      </c>
      <c r="V62" s="6">
        <f>'GF Budget Tracking'!L72</f>
        <v>62000</v>
      </c>
    </row>
    <row r="63" spans="3:22" x14ac:dyDescent="0.25">
      <c r="C63" s="114" t="s">
        <v>1021</v>
      </c>
      <c r="G63" s="6">
        <f>'GF Budget Tracking'!L54</f>
        <v>495000</v>
      </c>
      <c r="Q63" s="124" t="s">
        <v>930</v>
      </c>
      <c r="V63" s="6">
        <f>'GF Budget Tracking'!L73</f>
        <v>75000</v>
      </c>
    </row>
    <row r="64" spans="3:22" x14ac:dyDescent="0.25">
      <c r="C64" s="114" t="s">
        <v>1026</v>
      </c>
      <c r="G64" s="6">
        <f>'GF Budget Tracking'!L62</f>
        <v>88000</v>
      </c>
      <c r="Q64" s="124" t="s">
        <v>1028</v>
      </c>
      <c r="V64" s="6">
        <f>'GF Budget Tracking'!L74</f>
        <v>75000</v>
      </c>
    </row>
    <row r="65" spans="2:22" ht="15.75" thickBot="1" x14ac:dyDescent="0.3">
      <c r="G65" s="7">
        <f>SUM(G58:G64)</f>
        <v>1233000</v>
      </c>
      <c r="Q65" s="124" t="s">
        <v>932</v>
      </c>
      <c r="V65" s="6">
        <f>'GF Budget Tracking'!L75</f>
        <v>25000</v>
      </c>
    </row>
    <row r="66" spans="2:22" ht="16.5" thickTop="1" thickBot="1" x14ac:dyDescent="0.3">
      <c r="V66" s="7">
        <f>SUM(V58:V65)</f>
        <v>524000</v>
      </c>
    </row>
    <row r="67" spans="2:22" ht="15.75" thickTop="1" x14ac:dyDescent="0.25"/>
    <row r="70" spans="2:22" ht="15.75" x14ac:dyDescent="0.25">
      <c r="B70" s="316" t="s">
        <v>1034</v>
      </c>
    </row>
  </sheetData>
  <mergeCells count="2">
    <mergeCell ref="B2:W2"/>
    <mergeCell ref="A1:Y1"/>
  </mergeCells>
  <pageMargins left="0.4" right="0.4" top="0.4" bottom="0.4" header="0" footer="0"/>
  <pageSetup scale="49" orientation="landscape" r:id="rId1"/>
  <headerFooter>
    <oddFooter>&amp;R&amp;D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showGridLines="0" view="pageLayout" zoomScaleNormal="100" workbookViewId="0">
      <selection activeCell="I37" sqref="I37"/>
    </sheetView>
  </sheetViews>
  <sheetFormatPr defaultRowHeight="15" x14ac:dyDescent="0.25"/>
  <cols>
    <col min="5" max="5" width="10.140625" bestFit="1" customWidth="1"/>
    <col min="6" max="8" width="11.140625" bestFit="1" customWidth="1"/>
    <col min="9" max="9" width="12.140625" customWidth="1"/>
    <col min="10" max="11" width="10.85546875" customWidth="1"/>
    <col min="15" max="17" width="11.140625" bestFit="1" customWidth="1"/>
    <col min="18" max="18" width="10.140625" bestFit="1" customWidth="1"/>
    <col min="21" max="21" width="11.140625" bestFit="1" customWidth="1"/>
  </cols>
  <sheetData>
    <row r="1" spans="1:25" ht="51" x14ac:dyDescent="0.25">
      <c r="A1" s="398" t="s">
        <v>1030</v>
      </c>
      <c r="B1" s="398"/>
      <c r="C1" s="398"/>
      <c r="D1" s="398"/>
      <c r="E1" s="398"/>
      <c r="F1" s="398"/>
      <c r="G1" s="398"/>
      <c r="H1" s="398"/>
      <c r="I1" s="398"/>
      <c r="J1" s="398"/>
      <c r="K1" s="398"/>
      <c r="L1" s="398"/>
      <c r="M1" s="398"/>
      <c r="N1" s="398"/>
      <c r="O1" s="398"/>
      <c r="P1" s="398"/>
      <c r="Q1" s="398"/>
      <c r="R1" s="398"/>
      <c r="S1" s="398"/>
      <c r="T1" s="398"/>
      <c r="U1" s="398"/>
      <c r="V1" s="398"/>
      <c r="W1" s="398"/>
      <c r="X1" s="398"/>
      <c r="Y1" s="398"/>
    </row>
    <row r="2" spans="1:25" ht="65.25" thickBot="1" x14ac:dyDescent="0.3">
      <c r="B2" s="397" t="str">
        <f>TEXT((G25+I39+G65+V66+R43+V25),"$##,###")</f>
        <v>$2,235,400</v>
      </c>
      <c r="C2" s="397"/>
      <c r="D2" s="397"/>
      <c r="E2" s="397"/>
      <c r="F2" s="397"/>
      <c r="G2" s="397"/>
      <c r="H2" s="397"/>
      <c r="I2" s="397"/>
      <c r="J2" s="397"/>
      <c r="K2" s="397"/>
      <c r="L2" s="397"/>
      <c r="M2" s="397"/>
      <c r="N2" s="397"/>
      <c r="O2" s="397"/>
      <c r="P2" s="397"/>
      <c r="Q2" s="397"/>
      <c r="R2" s="397"/>
      <c r="S2" s="397"/>
      <c r="T2" s="397"/>
      <c r="U2" s="397"/>
      <c r="V2" s="397"/>
      <c r="W2" s="397"/>
    </row>
    <row r="8" spans="1:25" x14ac:dyDescent="0.25">
      <c r="S8" s="5"/>
      <c r="T8" s="5"/>
    </row>
    <row r="9" spans="1:25" x14ac:dyDescent="0.25">
      <c r="C9" s="113" t="s">
        <v>1001</v>
      </c>
      <c r="R9" s="5" t="s">
        <v>1015</v>
      </c>
    </row>
    <row r="10" spans="1:25" x14ac:dyDescent="0.25">
      <c r="C10" t="s">
        <v>1031</v>
      </c>
      <c r="G10" s="6">
        <f>'GF Budget Tracking'!N23</f>
        <v>440400</v>
      </c>
      <c r="R10" t="s">
        <v>318</v>
      </c>
      <c r="V10" s="6">
        <f>'GF Budget Tracking'!N20</f>
        <v>0</v>
      </c>
    </row>
    <row r="11" spans="1:25" x14ac:dyDescent="0.25">
      <c r="C11" t="s">
        <v>1006</v>
      </c>
      <c r="G11" s="6">
        <f>'GF Budget Tracking'!N24</f>
        <v>500000</v>
      </c>
      <c r="R11" t="s">
        <v>1005</v>
      </c>
      <c r="V11" s="6">
        <f>'GF Budget Tracking'!N21</f>
        <v>0</v>
      </c>
    </row>
    <row r="12" spans="1:25" x14ac:dyDescent="0.25">
      <c r="C12" t="s">
        <v>656</v>
      </c>
      <c r="G12" s="6">
        <f>'GF Budget Tracking'!N25</f>
        <v>0</v>
      </c>
      <c r="R12" s="114" t="s">
        <v>921</v>
      </c>
      <c r="S12" s="114"/>
      <c r="T12" s="114"/>
      <c r="V12" s="6">
        <f>'GF Budget Tracking'!N29</f>
        <v>50000</v>
      </c>
    </row>
    <row r="13" spans="1:25" x14ac:dyDescent="0.25">
      <c r="C13" t="s">
        <v>1007</v>
      </c>
      <c r="G13" s="6">
        <f>'GF Budget Tracking'!N26</f>
        <v>0</v>
      </c>
      <c r="R13" s="114" t="s">
        <v>520</v>
      </c>
      <c r="S13" s="114"/>
      <c r="T13" s="114"/>
      <c r="V13" s="6">
        <f>'GF Budget Tracking'!N30</f>
        <v>75000</v>
      </c>
    </row>
    <row r="14" spans="1:25" x14ac:dyDescent="0.25">
      <c r="C14" t="s">
        <v>52</v>
      </c>
      <c r="G14" s="6">
        <f>'GF Budget Tracking'!N28</f>
        <v>414000</v>
      </c>
      <c r="R14" s="114" t="s">
        <v>922</v>
      </c>
      <c r="S14" s="114"/>
      <c r="T14" s="114"/>
      <c r="V14" s="6">
        <f>'GF Budget Tracking'!N31</f>
        <v>0</v>
      </c>
    </row>
    <row r="15" spans="1:25" x14ac:dyDescent="0.25">
      <c r="C15" s="114" t="s">
        <v>1032</v>
      </c>
      <c r="G15" s="6">
        <f>'GF Budget Tracking'!N34</f>
        <v>0</v>
      </c>
      <c r="R15" s="114" t="s">
        <v>923</v>
      </c>
      <c r="S15" s="114"/>
      <c r="T15" s="114"/>
      <c r="V15" s="6">
        <f>'GF Budget Tracking'!N32</f>
        <v>0</v>
      </c>
    </row>
    <row r="16" spans="1:25" x14ac:dyDescent="0.25">
      <c r="C16" s="114" t="s">
        <v>1008</v>
      </c>
      <c r="G16" s="6">
        <f>'GF Budget Tracking'!N35</f>
        <v>0</v>
      </c>
      <c r="R16" s="114" t="s">
        <v>938</v>
      </c>
      <c r="S16" s="114"/>
      <c r="T16" s="114"/>
      <c r="V16" s="6">
        <f>'GF Budget Tracking'!N43</f>
        <v>0</v>
      </c>
    </row>
    <row r="17" spans="3:22" ht="15" customHeight="1" x14ac:dyDescent="0.25">
      <c r="C17" s="114" t="s">
        <v>1009</v>
      </c>
      <c r="G17" s="6">
        <f>'GF Budget Tracking'!N36</f>
        <v>0</v>
      </c>
      <c r="J17" s="315"/>
      <c r="K17" s="315"/>
      <c r="L17" s="315"/>
      <c r="M17" s="315"/>
      <c r="N17" s="315"/>
      <c r="R17" s="114" t="s">
        <v>939</v>
      </c>
      <c r="S17" s="114"/>
      <c r="T17" s="114"/>
      <c r="V17" s="6">
        <f>'GF Budget Tracking'!N44</f>
        <v>0</v>
      </c>
    </row>
    <row r="18" spans="3:22" ht="15" customHeight="1" x14ac:dyDescent="0.25">
      <c r="C18" s="254" t="s">
        <v>1010</v>
      </c>
      <c r="G18" s="6">
        <f>'GF Budget Tracking'!N37</f>
        <v>0</v>
      </c>
      <c r="J18" s="315"/>
      <c r="K18" s="315"/>
      <c r="L18" s="315"/>
      <c r="M18" s="315"/>
      <c r="N18" s="315"/>
      <c r="R18" s="114" t="s">
        <v>695</v>
      </c>
      <c r="V18" s="6">
        <f>'GF Budget Tracking'!N18</f>
        <v>0</v>
      </c>
    </row>
    <row r="19" spans="3:22" ht="15" customHeight="1" x14ac:dyDescent="0.25">
      <c r="C19" s="124" t="s">
        <v>1011</v>
      </c>
      <c r="G19" s="6">
        <f>'GF Budget Tracking'!N38</f>
        <v>0</v>
      </c>
      <c r="I19" s="315"/>
      <c r="J19" s="315"/>
      <c r="K19" s="315"/>
      <c r="L19" s="315"/>
      <c r="M19" s="315"/>
      <c r="N19" s="315"/>
      <c r="R19" s="114" t="s">
        <v>1016</v>
      </c>
      <c r="V19" s="6">
        <f>'GF Budget Tracking'!N47</f>
        <v>0</v>
      </c>
    </row>
    <row r="20" spans="3:22" ht="15" customHeight="1" x14ac:dyDescent="0.25">
      <c r="C20" s="124" t="s">
        <v>1012</v>
      </c>
      <c r="G20" s="6">
        <f>'GF Budget Tracking'!N39</f>
        <v>0</v>
      </c>
      <c r="I20" s="315"/>
      <c r="J20" s="315"/>
      <c r="K20" s="315"/>
      <c r="L20" s="315"/>
      <c r="M20" s="315"/>
      <c r="N20" s="315"/>
      <c r="R20" s="114" t="s">
        <v>1017</v>
      </c>
      <c r="V20" s="6">
        <f>'GF Budget Tracking'!N48</f>
        <v>0</v>
      </c>
    </row>
    <row r="21" spans="3:22" ht="15" customHeight="1" x14ac:dyDescent="0.25">
      <c r="C21" s="114" t="s">
        <v>729</v>
      </c>
      <c r="G21" s="6">
        <f>'GF Budget Tracking'!N57</f>
        <v>0</v>
      </c>
      <c r="I21" s="315"/>
      <c r="J21" s="315"/>
      <c r="K21" s="315"/>
      <c r="L21" s="315"/>
      <c r="M21" s="315"/>
      <c r="N21" s="315"/>
      <c r="R21" s="114" t="s">
        <v>1018</v>
      </c>
      <c r="V21" s="6">
        <f>'GF Budget Tracking'!N49</f>
        <v>0</v>
      </c>
    </row>
    <row r="22" spans="3:22" ht="15" customHeight="1" x14ac:dyDescent="0.25">
      <c r="C22" s="114" t="s">
        <v>718</v>
      </c>
      <c r="G22" s="6">
        <f>'GF Budget Tracking'!N58</f>
        <v>0</v>
      </c>
      <c r="I22" s="315"/>
      <c r="J22" s="315"/>
      <c r="K22" s="315"/>
      <c r="L22" s="315"/>
      <c r="M22" s="315"/>
      <c r="N22" s="315"/>
      <c r="R22" s="114" t="s">
        <v>1023</v>
      </c>
      <c r="V22" s="6">
        <f>'GF Budget Tracking'!N55</f>
        <v>0</v>
      </c>
    </row>
    <row r="23" spans="3:22" ht="15" customHeight="1" x14ac:dyDescent="0.25">
      <c r="C23" s="124" t="s">
        <v>704</v>
      </c>
      <c r="G23" s="6">
        <f>'GF Budget Tracking'!N64</f>
        <v>0</v>
      </c>
      <c r="I23" s="315"/>
      <c r="J23" s="315"/>
      <c r="K23" s="315"/>
      <c r="L23" s="315"/>
      <c r="M23" s="315"/>
      <c r="N23" s="315"/>
      <c r="R23" s="114" t="s">
        <v>1029</v>
      </c>
      <c r="V23" s="6">
        <f>'GF Budget Tracking'!N46</f>
        <v>0</v>
      </c>
    </row>
    <row r="24" spans="3:22" ht="15" customHeight="1" x14ac:dyDescent="0.25">
      <c r="C24" s="124" t="s">
        <v>722</v>
      </c>
      <c r="G24" s="6">
        <f>'GF Budget Tracking'!N65</f>
        <v>225000</v>
      </c>
      <c r="I24" s="315"/>
      <c r="J24" s="315"/>
      <c r="K24" s="315"/>
      <c r="L24" s="315"/>
      <c r="M24" s="315"/>
      <c r="N24" s="315"/>
      <c r="R24" s="114" t="s">
        <v>1024</v>
      </c>
      <c r="V24" s="6">
        <f>'GF Budget Tracking'!N60</f>
        <v>110000</v>
      </c>
    </row>
    <row r="25" spans="3:22" ht="15" customHeight="1" thickBot="1" x14ac:dyDescent="0.3">
      <c r="G25" s="7">
        <f>SUM(G10:G24)</f>
        <v>1579400</v>
      </c>
      <c r="I25" s="315"/>
      <c r="J25" s="315"/>
      <c r="K25" s="315"/>
      <c r="L25" s="315"/>
      <c r="M25" s="315"/>
      <c r="N25" s="315"/>
      <c r="V25" s="7">
        <f>SUM(V10:V24)</f>
        <v>235000</v>
      </c>
    </row>
    <row r="26" spans="3:22" ht="15" customHeight="1" thickTop="1" x14ac:dyDescent="0.25">
      <c r="I26" s="315"/>
      <c r="M26" s="315"/>
      <c r="N26" s="315"/>
    </row>
    <row r="27" spans="3:22" ht="15" customHeight="1" x14ac:dyDescent="0.25">
      <c r="I27" s="315"/>
      <c r="M27" s="315"/>
      <c r="N27" s="315"/>
    </row>
    <row r="28" spans="3:22" ht="15" customHeight="1" x14ac:dyDescent="0.25">
      <c r="M28" s="315"/>
      <c r="N28" s="315"/>
    </row>
    <row r="29" spans="3:22" ht="15" customHeight="1" x14ac:dyDescent="0.25">
      <c r="M29" s="315"/>
    </row>
    <row r="30" spans="3:22" ht="15" customHeight="1" x14ac:dyDescent="0.25">
      <c r="F30" s="315"/>
      <c r="J30" s="315"/>
      <c r="K30" s="315"/>
      <c r="L30" s="315"/>
      <c r="M30" s="315"/>
    </row>
    <row r="31" spans="3:22" ht="15" customHeight="1" x14ac:dyDescent="0.25">
      <c r="F31" s="315"/>
      <c r="J31" s="315"/>
      <c r="K31" s="315"/>
      <c r="L31" s="315"/>
      <c r="M31" s="315"/>
    </row>
    <row r="32" spans="3:22" ht="15" customHeight="1" x14ac:dyDescent="0.25">
      <c r="F32" s="315"/>
      <c r="G32" s="315"/>
      <c r="H32" s="315"/>
      <c r="I32" s="315"/>
      <c r="J32" s="315"/>
      <c r="K32" s="315"/>
      <c r="L32" s="315"/>
      <c r="M32" s="315"/>
    </row>
    <row r="33" spans="6:18" ht="15" customHeight="1" x14ac:dyDescent="0.25">
      <c r="F33" s="315"/>
      <c r="J33" s="315"/>
      <c r="K33" s="315"/>
      <c r="L33" s="315"/>
      <c r="M33" s="315"/>
    </row>
    <row r="34" spans="6:18" ht="15" customHeight="1" x14ac:dyDescent="0.25">
      <c r="F34" s="315"/>
      <c r="J34" s="315"/>
      <c r="K34" s="315"/>
      <c r="L34" s="315"/>
      <c r="M34" s="315"/>
      <c r="O34" s="113" t="s">
        <v>315</v>
      </c>
    </row>
    <row r="35" spans="6:18" ht="15" customHeight="1" x14ac:dyDescent="0.25">
      <c r="F35" s="315"/>
      <c r="J35" s="315"/>
      <c r="K35" s="315"/>
      <c r="L35" s="315"/>
      <c r="M35" s="315"/>
      <c r="O35" t="s">
        <v>1002</v>
      </c>
      <c r="R35" s="6">
        <f>'GF Budget Tracking'!N12</f>
        <v>0</v>
      </c>
    </row>
    <row r="36" spans="6:18" ht="15" customHeight="1" x14ac:dyDescent="0.25">
      <c r="K36" s="315"/>
      <c r="L36" s="315"/>
      <c r="M36" s="315"/>
      <c r="O36" t="s">
        <v>1003</v>
      </c>
      <c r="R36" s="6">
        <f>'GF Budget Tracking'!N14+'GF Budget Tracking'!N15</f>
        <v>186000</v>
      </c>
    </row>
    <row r="37" spans="6:18" ht="15" customHeight="1" x14ac:dyDescent="0.25">
      <c r="G37" s="113" t="s">
        <v>440</v>
      </c>
      <c r="K37" s="315"/>
      <c r="O37" t="s">
        <v>1004</v>
      </c>
      <c r="R37" s="6">
        <f>'GF Budget Tracking'!N16</f>
        <v>25000</v>
      </c>
    </row>
    <row r="38" spans="6:18" ht="15" customHeight="1" x14ac:dyDescent="0.25">
      <c r="G38" t="s">
        <v>1033</v>
      </c>
      <c r="I38" s="6">
        <f>'GF Budget Tracking'!N10</f>
        <v>0</v>
      </c>
      <c r="K38" s="315"/>
      <c r="O38" s="124" t="s">
        <v>201</v>
      </c>
      <c r="R38" s="6">
        <f>'GF Budget Tracking'!N59</f>
        <v>150000</v>
      </c>
    </row>
    <row r="39" spans="6:18" ht="15" customHeight="1" thickBot="1" x14ac:dyDescent="0.3">
      <c r="I39" s="7">
        <f>SUM(I38)</f>
        <v>0</v>
      </c>
      <c r="K39" s="315"/>
      <c r="O39" s="114" t="s">
        <v>1025</v>
      </c>
      <c r="R39" s="6">
        <f>'GF Budget Tracking'!N61</f>
        <v>10000</v>
      </c>
    </row>
    <row r="40" spans="6:18" ht="15" customHeight="1" thickTop="1" x14ac:dyDescent="0.25">
      <c r="K40" s="315"/>
      <c r="O40" s="114" t="s">
        <v>951</v>
      </c>
      <c r="R40" s="6">
        <f>'GF Budget Tracking'!N66</f>
        <v>0</v>
      </c>
    </row>
    <row r="41" spans="6:18" ht="15" customHeight="1" x14ac:dyDescent="0.25">
      <c r="K41" s="315"/>
      <c r="O41" s="114" t="s">
        <v>933</v>
      </c>
      <c r="R41" s="6">
        <f>'GF Budget Tracking'!N67</f>
        <v>0</v>
      </c>
    </row>
    <row r="42" spans="6:18" x14ac:dyDescent="0.25">
      <c r="O42" s="114" t="s">
        <v>1027</v>
      </c>
      <c r="R42" s="6">
        <f>'GF Budget Tracking'!N68</f>
        <v>0</v>
      </c>
    </row>
    <row r="43" spans="6:18" ht="15.75" thickBot="1" x14ac:dyDescent="0.3">
      <c r="R43" s="7">
        <f>SUM(R35:R42)</f>
        <v>371000</v>
      </c>
    </row>
    <row r="44" spans="6:18" ht="15.75" thickTop="1" x14ac:dyDescent="0.25"/>
    <row r="57" spans="3:22" x14ac:dyDescent="0.25">
      <c r="C57" s="113" t="s">
        <v>1019</v>
      </c>
      <c r="Q57" s="5" t="s">
        <v>1000</v>
      </c>
    </row>
    <row r="58" spans="3:22" x14ac:dyDescent="0.25">
      <c r="C58" s="124" t="s">
        <v>1014</v>
      </c>
      <c r="G58" s="6">
        <f>'GF Budget Tracking'!N40</f>
        <v>0</v>
      </c>
      <c r="Q58" s="124" t="s">
        <v>430</v>
      </c>
      <c r="V58" s="6">
        <f>'GF Budget Tracking'!N63</f>
        <v>0</v>
      </c>
    </row>
    <row r="59" spans="3:22" x14ac:dyDescent="0.25">
      <c r="C59" s="314" t="s">
        <v>1013</v>
      </c>
      <c r="G59" s="6">
        <f>'GF Budget Tracking'!N41</f>
        <v>0</v>
      </c>
      <c r="Q59" s="124" t="s">
        <v>926</v>
      </c>
      <c r="V59" s="6">
        <f>'GF Budget Tracking'!N69</f>
        <v>0</v>
      </c>
    </row>
    <row r="60" spans="3:22" x14ac:dyDescent="0.25">
      <c r="C60" s="314" t="s">
        <v>999</v>
      </c>
      <c r="G60" s="6">
        <f>'GF Budget Tracking'!N42</f>
        <v>50000</v>
      </c>
      <c r="Q60" s="124" t="s">
        <v>929</v>
      </c>
      <c r="V60" s="6">
        <f>'GF Budget Tracking'!N70</f>
        <v>0</v>
      </c>
    </row>
    <row r="61" spans="3:22" x14ac:dyDescent="0.25">
      <c r="C61" t="s">
        <v>1020</v>
      </c>
      <c r="G61" s="6">
        <f>'GF Budget Tracking'!N51</f>
        <v>0</v>
      </c>
      <c r="Q61" s="124" t="s">
        <v>927</v>
      </c>
      <c r="V61" s="6">
        <f>'GF Budget Tracking'!N71</f>
        <v>0</v>
      </c>
    </row>
    <row r="62" spans="3:22" x14ac:dyDescent="0.25">
      <c r="C62" s="114" t="s">
        <v>1022</v>
      </c>
      <c r="G62" s="6">
        <f>'GF Budget Tracking'!N53</f>
        <v>0</v>
      </c>
      <c r="Q62" s="124" t="s">
        <v>928</v>
      </c>
      <c r="V62" s="6">
        <f>'GF Budget Tracking'!N72</f>
        <v>0</v>
      </c>
    </row>
    <row r="63" spans="3:22" x14ac:dyDescent="0.25">
      <c r="C63" s="114" t="s">
        <v>1021</v>
      </c>
      <c r="G63" s="6">
        <f>'GF Budget Tracking'!N54</f>
        <v>0</v>
      </c>
      <c r="Q63" s="124" t="s">
        <v>930</v>
      </c>
      <c r="V63" s="6">
        <f>'GF Budget Tracking'!N73</f>
        <v>0</v>
      </c>
    </row>
    <row r="64" spans="3:22" x14ac:dyDescent="0.25">
      <c r="C64" s="114" t="s">
        <v>1026</v>
      </c>
      <c r="G64" s="6">
        <f>'GF Budget Tracking'!N62</f>
        <v>0</v>
      </c>
      <c r="Q64" s="124" t="s">
        <v>1028</v>
      </c>
      <c r="V64" s="6">
        <f>'GF Budget Tracking'!N74</f>
        <v>0</v>
      </c>
    </row>
    <row r="65" spans="2:22" ht="15.75" thickBot="1" x14ac:dyDescent="0.3">
      <c r="G65" s="7">
        <f>SUM(G58:G64)</f>
        <v>50000</v>
      </c>
      <c r="Q65" s="124" t="s">
        <v>932</v>
      </c>
      <c r="V65" s="6">
        <f>'GF Budget Tracking'!N75</f>
        <v>0</v>
      </c>
    </row>
    <row r="66" spans="2:22" ht="16.5" thickTop="1" thickBot="1" x14ac:dyDescent="0.3">
      <c r="V66" s="7">
        <f>SUM(V58:V65)</f>
        <v>0</v>
      </c>
    </row>
    <row r="67" spans="2:22" ht="15.75" thickTop="1" x14ac:dyDescent="0.25"/>
    <row r="70" spans="2:22" ht="15.75" x14ac:dyDescent="0.25">
      <c r="B70" s="316" t="s">
        <v>1034</v>
      </c>
    </row>
  </sheetData>
  <mergeCells count="2">
    <mergeCell ref="A1:Y1"/>
    <mergeCell ref="B2:W2"/>
  </mergeCells>
  <pageMargins left="0.4" right="0.4" top="0.4" bottom="0.4" header="0" footer="0"/>
  <pageSetup scale="49" orientation="landscape" r:id="rId1"/>
  <headerFooter>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2"/>
  <sheetViews>
    <sheetView showGridLines="0" topLeftCell="A82" zoomScale="72" zoomScaleNormal="72" workbookViewId="0">
      <selection activeCell="A87" sqref="A87"/>
    </sheetView>
  </sheetViews>
  <sheetFormatPr defaultRowHeight="15" x14ac:dyDescent="0.25"/>
  <cols>
    <col min="2" max="2" width="88.5703125" bestFit="1" customWidth="1"/>
    <col min="4" max="4" width="20.5703125" customWidth="1"/>
    <col min="5" max="5" width="15.140625" customWidth="1"/>
    <col min="6" max="6" width="23.28515625" customWidth="1"/>
    <col min="7" max="7" width="63.28515625" customWidth="1"/>
    <col min="8" max="8" width="43.85546875" customWidth="1"/>
    <col min="9" max="10" width="50.140625" customWidth="1"/>
    <col min="11" max="11" width="153.5703125" bestFit="1" customWidth="1"/>
    <col min="12" max="12" width="10.85546875" customWidth="1"/>
  </cols>
  <sheetData>
    <row r="1" spans="1:14" ht="114.75" x14ac:dyDescent="0.25">
      <c r="A1" s="391" t="s">
        <v>1060</v>
      </c>
      <c r="B1" s="391"/>
      <c r="C1" s="391"/>
      <c r="D1" s="391"/>
      <c r="E1" s="391"/>
      <c r="F1" s="391"/>
      <c r="G1" s="391"/>
      <c r="H1" s="391"/>
      <c r="I1" s="391"/>
      <c r="J1" s="391"/>
      <c r="K1" s="391"/>
      <c r="L1" s="391"/>
      <c r="M1" s="391"/>
      <c r="N1" s="391"/>
    </row>
    <row r="3" spans="1:14" s="320" customFormat="1" ht="70.5" x14ac:dyDescent="0.9">
      <c r="A3" s="399" t="e">
        <f>"General Fund Requested "&amp;TEXT((H21+H64+H75+H44+H32+H60),"$##,###")&amp;" to Committee "&amp;TEXT((I21+I64+I75+I44+I32+I60),"$##,###")&amp;" to Town Mgr "&amp;TEXT((J21+J64+J75+J44+J32+J60),"$##,###")</f>
        <v>#N/A</v>
      </c>
      <c r="B3" s="399"/>
      <c r="C3" s="399"/>
      <c r="D3" s="399"/>
      <c r="E3" s="399"/>
      <c r="F3" s="399"/>
      <c r="G3" s="399"/>
      <c r="H3" s="399"/>
      <c r="I3" s="399"/>
      <c r="J3" s="399"/>
      <c r="K3" s="399"/>
      <c r="L3" s="399"/>
      <c r="M3" s="399"/>
      <c r="N3" s="399"/>
    </row>
    <row r="5" spans="1:14" ht="57" x14ac:dyDescent="0.85">
      <c r="C5" s="358"/>
      <c r="D5" s="358"/>
      <c r="E5" s="358"/>
      <c r="F5" s="358"/>
      <c r="G5" s="358"/>
      <c r="H5" s="359" t="s">
        <v>959</v>
      </c>
      <c r="I5" s="359" t="s">
        <v>960</v>
      </c>
      <c r="J5" s="359" t="s">
        <v>961</v>
      </c>
      <c r="K5" s="338"/>
      <c r="L5" s="338"/>
      <c r="M5" s="338"/>
      <c r="N5" s="326"/>
    </row>
    <row r="6" spans="1:14" ht="49.5" customHeight="1" x14ac:dyDescent="0.85">
      <c r="B6" s="361" t="s">
        <v>1001</v>
      </c>
      <c r="C6" s="361" t="s">
        <v>1031</v>
      </c>
      <c r="D6" s="361"/>
      <c r="E6" s="361"/>
      <c r="F6" s="361"/>
      <c r="G6" s="358"/>
      <c r="H6" s="362">
        <f>'GF Budget Tracking'!L23</f>
        <v>440400</v>
      </c>
      <c r="I6" s="362">
        <f>'GF Budget Tracking'!N23</f>
        <v>440400</v>
      </c>
      <c r="J6" s="378">
        <f>'GF Budget Tracking'!P23</f>
        <v>0</v>
      </c>
      <c r="K6" s="383" t="s">
        <v>1098</v>
      </c>
      <c r="L6" s="379"/>
      <c r="M6" s="338"/>
      <c r="N6" s="326"/>
    </row>
    <row r="7" spans="1:14" ht="49.5" customHeight="1" x14ac:dyDescent="0.85">
      <c r="B7" s="361" t="s">
        <v>1001</v>
      </c>
      <c r="C7" s="361" t="s">
        <v>1006</v>
      </c>
      <c r="D7" s="361"/>
      <c r="E7" s="361"/>
      <c r="F7" s="361"/>
      <c r="G7" s="358"/>
      <c r="H7" s="362">
        <f>'GF Budget Tracking'!L24</f>
        <v>500000</v>
      </c>
      <c r="I7" s="362">
        <f>'GF Budget Tracking'!N24</f>
        <v>500000</v>
      </c>
      <c r="J7" s="378">
        <f>'GF Budget Tracking'!P24</f>
        <v>0</v>
      </c>
      <c r="K7" s="383" t="s">
        <v>1099</v>
      </c>
      <c r="L7" s="379"/>
      <c r="M7" s="338"/>
      <c r="N7" s="326"/>
    </row>
    <row r="8" spans="1:14" ht="49.5" customHeight="1" x14ac:dyDescent="0.85">
      <c r="B8" s="361" t="s">
        <v>1001</v>
      </c>
      <c r="C8" s="361" t="s">
        <v>656</v>
      </c>
      <c r="D8" s="361"/>
      <c r="E8" s="361"/>
      <c r="F8" s="361"/>
      <c r="G8" s="358"/>
      <c r="H8" s="362">
        <f>'GF Budget Tracking'!L25</f>
        <v>250000</v>
      </c>
      <c r="I8" s="362">
        <f>'GF Budget Tracking'!N25</f>
        <v>0</v>
      </c>
      <c r="J8" s="362">
        <f>'GF Budget Tracking'!P25</f>
        <v>0</v>
      </c>
      <c r="K8" s="384"/>
      <c r="L8" s="379"/>
      <c r="M8" s="338"/>
      <c r="N8" s="326"/>
    </row>
    <row r="9" spans="1:14" ht="49.5" customHeight="1" x14ac:dyDescent="0.85">
      <c r="B9" s="361" t="s">
        <v>1001</v>
      </c>
      <c r="C9" s="361" t="s">
        <v>1007</v>
      </c>
      <c r="D9" s="361"/>
      <c r="E9" s="361"/>
      <c r="F9" s="361"/>
      <c r="G9" s="358"/>
      <c r="H9" s="362">
        <f>'GF Budget Tracking'!L26</f>
        <v>150000</v>
      </c>
      <c r="I9" s="362">
        <f>'GF Budget Tracking'!N26</f>
        <v>0</v>
      </c>
      <c r="J9" s="362">
        <f>'GF Budget Tracking'!P26</f>
        <v>0</v>
      </c>
      <c r="K9" s="384"/>
      <c r="L9" s="379"/>
      <c r="M9" s="338"/>
      <c r="N9" s="326"/>
    </row>
    <row r="10" spans="1:14" ht="49.5" customHeight="1" x14ac:dyDescent="0.85">
      <c r="B10" s="361" t="s">
        <v>1001</v>
      </c>
      <c r="C10" s="361" t="s">
        <v>52</v>
      </c>
      <c r="D10" s="361"/>
      <c r="E10" s="361"/>
      <c r="F10" s="361"/>
      <c r="G10" s="358"/>
      <c r="H10" s="362">
        <f>'GF Budget Tracking'!L28</f>
        <v>414000</v>
      </c>
      <c r="I10" s="362">
        <f>'GF Budget Tracking'!N28</f>
        <v>414000</v>
      </c>
      <c r="J10" s="378">
        <f>'GF Budget Tracking'!P28</f>
        <v>0</v>
      </c>
      <c r="K10" s="383" t="s">
        <v>1103</v>
      </c>
      <c r="L10" s="379"/>
      <c r="M10" s="338"/>
      <c r="N10" s="326"/>
    </row>
    <row r="11" spans="1:14" ht="49.5" customHeight="1" x14ac:dyDescent="0.85">
      <c r="B11" s="361" t="s">
        <v>1001</v>
      </c>
      <c r="C11" s="363" t="s">
        <v>1032</v>
      </c>
      <c r="D11" s="361"/>
      <c r="E11" s="361"/>
      <c r="F11" s="361"/>
      <c r="G11" s="358"/>
      <c r="H11" s="362">
        <f>'GF Budget Tracking'!L34</f>
        <v>50000</v>
      </c>
      <c r="I11" s="362">
        <f>'GF Budget Tracking'!N34</f>
        <v>0</v>
      </c>
      <c r="J11" s="362">
        <f>'GF Budget Tracking'!P34</f>
        <v>0</v>
      </c>
      <c r="K11" s="384"/>
      <c r="L11" s="379"/>
      <c r="M11" s="338"/>
      <c r="N11" s="326"/>
    </row>
    <row r="12" spans="1:14" ht="49.5" customHeight="1" x14ac:dyDescent="0.85">
      <c r="B12" s="361" t="s">
        <v>1001</v>
      </c>
      <c r="C12" s="363" t="s">
        <v>1008</v>
      </c>
      <c r="D12" s="361"/>
      <c r="E12" s="361"/>
      <c r="F12" s="361"/>
      <c r="G12" s="358"/>
      <c r="H12" s="362">
        <f>'GF Budget Tracking'!L35</f>
        <v>100000</v>
      </c>
      <c r="I12" s="362">
        <f>'GF Budget Tracking'!N35</f>
        <v>0</v>
      </c>
      <c r="J12" s="362">
        <f>'GF Budget Tracking'!P35</f>
        <v>0</v>
      </c>
      <c r="K12" s="384"/>
      <c r="L12" s="379"/>
      <c r="M12" s="338"/>
      <c r="N12" s="326"/>
    </row>
    <row r="13" spans="1:14" ht="49.5" customHeight="1" x14ac:dyDescent="0.85">
      <c r="B13" s="361" t="s">
        <v>1001</v>
      </c>
      <c r="C13" s="363" t="s">
        <v>1009</v>
      </c>
      <c r="D13" s="361"/>
      <c r="E13" s="361"/>
      <c r="F13" s="361"/>
      <c r="G13" s="358"/>
      <c r="H13" s="362">
        <f>'GF Budget Tracking'!L36</f>
        <v>75000</v>
      </c>
      <c r="I13" s="362">
        <f>'GF Budget Tracking'!N36</f>
        <v>0</v>
      </c>
      <c r="J13" s="362">
        <f>'GF Budget Tracking'!P36</f>
        <v>0</v>
      </c>
      <c r="K13" s="384"/>
      <c r="L13" s="381"/>
      <c r="M13" s="377"/>
      <c r="N13" s="332"/>
    </row>
    <row r="14" spans="1:14" ht="49.5" customHeight="1" x14ac:dyDescent="0.85">
      <c r="B14" s="361" t="s">
        <v>1001</v>
      </c>
      <c r="C14" s="365" t="s">
        <v>1082</v>
      </c>
      <c r="D14" s="361"/>
      <c r="E14" s="361"/>
      <c r="F14" s="361"/>
      <c r="G14" s="358"/>
      <c r="H14" s="362">
        <f>'GF Budget Tracking'!L37</f>
        <v>100000</v>
      </c>
      <c r="I14" s="362">
        <f>'GF Budget Tracking'!N37</f>
        <v>0</v>
      </c>
      <c r="J14" s="362">
        <f>'GF Budget Tracking'!P37</f>
        <v>0</v>
      </c>
      <c r="K14" s="384"/>
      <c r="L14" s="381"/>
      <c r="M14" s="377"/>
      <c r="N14" s="332"/>
    </row>
    <row r="15" spans="1:14" ht="49.5" customHeight="1" x14ac:dyDescent="0.85">
      <c r="B15" s="361" t="s">
        <v>1001</v>
      </c>
      <c r="C15" s="360" t="s">
        <v>1011</v>
      </c>
      <c r="D15" s="361"/>
      <c r="E15" s="361"/>
      <c r="F15" s="361"/>
      <c r="G15" s="358"/>
      <c r="H15" s="362">
        <f>'GF Budget Tracking'!L38</f>
        <v>50000</v>
      </c>
      <c r="I15" s="362">
        <f>'GF Budget Tracking'!N38</f>
        <v>0</v>
      </c>
      <c r="J15" s="362" t="e">
        <f>'GF Budget Tracking'!P38</f>
        <v>#N/A</v>
      </c>
      <c r="K15" s="384"/>
      <c r="L15" s="381"/>
      <c r="M15" s="377"/>
      <c r="N15" s="332"/>
    </row>
    <row r="16" spans="1:14" ht="49.5" customHeight="1" x14ac:dyDescent="0.85">
      <c r="B16" s="361" t="s">
        <v>1001</v>
      </c>
      <c r="C16" s="360" t="s">
        <v>1012</v>
      </c>
      <c r="D16" s="361"/>
      <c r="E16" s="361"/>
      <c r="F16" s="361"/>
      <c r="G16" s="358"/>
      <c r="H16" s="362">
        <f>'GF Budget Tracking'!L39</f>
        <v>80000</v>
      </c>
      <c r="I16" s="362">
        <f>'GF Budget Tracking'!N39</f>
        <v>0</v>
      </c>
      <c r="J16" s="362">
        <f>'GF Budget Tracking'!P39</f>
        <v>0</v>
      </c>
      <c r="K16" s="384"/>
      <c r="L16" s="381"/>
      <c r="M16" s="377"/>
      <c r="N16" s="332"/>
    </row>
    <row r="17" spans="2:14" ht="49.5" customHeight="1" x14ac:dyDescent="0.85">
      <c r="B17" s="361" t="s">
        <v>1001</v>
      </c>
      <c r="C17" s="363" t="s">
        <v>729</v>
      </c>
      <c r="D17" s="361"/>
      <c r="E17" s="361"/>
      <c r="F17" s="361"/>
      <c r="G17" s="358"/>
      <c r="H17" s="362">
        <f>'GF Budget Tracking'!L57</f>
        <v>150000</v>
      </c>
      <c r="I17" s="362">
        <f>'GF Budget Tracking'!N57</f>
        <v>0</v>
      </c>
      <c r="J17" s="362">
        <f>'GF Budget Tracking'!P57</f>
        <v>0</v>
      </c>
      <c r="K17" s="384"/>
      <c r="L17" s="381"/>
      <c r="M17" s="377"/>
      <c r="N17" s="332"/>
    </row>
    <row r="18" spans="2:14" ht="49.5" customHeight="1" x14ac:dyDescent="0.85">
      <c r="B18" s="361" t="s">
        <v>1001</v>
      </c>
      <c r="C18" s="363" t="s">
        <v>718</v>
      </c>
      <c r="D18" s="361"/>
      <c r="E18" s="361"/>
      <c r="F18" s="361"/>
      <c r="G18" s="358"/>
      <c r="H18" s="362">
        <f>'GF Budget Tracking'!L58</f>
        <v>50000</v>
      </c>
      <c r="I18" s="362">
        <f>'GF Budget Tracking'!N58</f>
        <v>0</v>
      </c>
      <c r="J18" s="362">
        <f>'GF Budget Tracking'!P58</f>
        <v>0</v>
      </c>
      <c r="K18" s="384"/>
      <c r="L18" s="381"/>
      <c r="M18" s="377"/>
      <c r="N18" s="332"/>
    </row>
    <row r="19" spans="2:14" ht="49.5" customHeight="1" x14ac:dyDescent="0.85">
      <c r="B19" s="361" t="s">
        <v>1001</v>
      </c>
      <c r="C19" s="360" t="s">
        <v>704</v>
      </c>
      <c r="D19" s="361"/>
      <c r="E19" s="361"/>
      <c r="F19" s="361"/>
      <c r="G19" s="358"/>
      <c r="H19" s="362">
        <f>'GF Budget Tracking'!L64</f>
        <v>100000</v>
      </c>
      <c r="I19" s="362">
        <f>'GF Budget Tracking'!N64</f>
        <v>0</v>
      </c>
      <c r="J19" s="362">
        <f>'GF Budget Tracking'!P64</f>
        <v>0</v>
      </c>
      <c r="K19" s="384" t="s">
        <v>1072</v>
      </c>
      <c r="L19" s="381"/>
      <c r="M19" s="377"/>
      <c r="N19" s="332"/>
    </row>
    <row r="20" spans="2:14" ht="49.5" customHeight="1" x14ac:dyDescent="0.85">
      <c r="B20" s="361" t="s">
        <v>1001</v>
      </c>
      <c r="C20" s="360" t="s">
        <v>722</v>
      </c>
      <c r="D20" s="361"/>
      <c r="E20" s="361"/>
      <c r="F20" s="361"/>
      <c r="G20" s="358"/>
      <c r="H20" s="362">
        <f>'GF Budget Tracking'!L65</f>
        <v>225000</v>
      </c>
      <c r="I20" s="362">
        <f>'GF Budget Tracking'!N65</f>
        <v>225000</v>
      </c>
      <c r="J20" s="362">
        <f>'GF Budget Tracking'!P65</f>
        <v>0</v>
      </c>
      <c r="K20" s="384" t="s">
        <v>1059</v>
      </c>
      <c r="L20" s="381"/>
      <c r="M20" s="377"/>
      <c r="N20" s="332"/>
    </row>
    <row r="21" spans="2:14" ht="53.25" customHeight="1" thickBot="1" x14ac:dyDescent="0.9">
      <c r="C21" s="361"/>
      <c r="D21" s="361"/>
      <c r="E21" s="361"/>
      <c r="F21" s="361"/>
      <c r="G21" s="358"/>
      <c r="H21" s="364">
        <f>SUM(H6:H20)</f>
        <v>2734400</v>
      </c>
      <c r="I21" s="364">
        <f>SUM(I6:I20)</f>
        <v>1579400</v>
      </c>
      <c r="J21" s="364" t="e">
        <f>SUM(J6:J20)</f>
        <v>#N/A</v>
      </c>
      <c r="K21" s="385"/>
      <c r="L21" s="381"/>
      <c r="M21" s="377"/>
      <c r="N21" s="332"/>
    </row>
    <row r="22" spans="2:14" ht="15" customHeight="1" thickTop="1" x14ac:dyDescent="0.7">
      <c r="C22" s="326"/>
      <c r="D22" s="326"/>
      <c r="E22" s="326"/>
      <c r="F22" s="326"/>
      <c r="G22" s="326"/>
      <c r="H22" s="326"/>
      <c r="I22" s="332"/>
      <c r="J22" s="332"/>
      <c r="K22" s="386"/>
      <c r="L22" s="379"/>
      <c r="M22" s="338"/>
      <c r="N22" s="332"/>
    </row>
    <row r="23" spans="2:14" ht="42" customHeight="1" x14ac:dyDescent="0.85">
      <c r="C23" s="326"/>
      <c r="D23" s="358"/>
      <c r="E23" s="358"/>
      <c r="F23" s="358"/>
      <c r="G23" s="358"/>
      <c r="H23" s="359"/>
      <c r="I23" s="359"/>
      <c r="J23" s="359"/>
      <c r="K23" s="386"/>
      <c r="L23" s="379"/>
      <c r="M23" s="338"/>
      <c r="N23" s="326"/>
    </row>
    <row r="24" spans="2:14" ht="47.25" customHeight="1" x14ac:dyDescent="0.85">
      <c r="B24" s="361" t="s">
        <v>315</v>
      </c>
      <c r="C24" s="361" t="s">
        <v>1002</v>
      </c>
      <c r="E24" s="361"/>
      <c r="F24" s="361"/>
      <c r="G24" s="361"/>
      <c r="H24" s="362">
        <f>'GF Budget Tracking'!L12</f>
        <v>300000</v>
      </c>
      <c r="I24" s="362">
        <f>'GF Budget Tracking'!N12</f>
        <v>0</v>
      </c>
      <c r="J24" s="362">
        <f>'GF Budget Tracking'!P12</f>
        <v>0</v>
      </c>
      <c r="K24" s="384"/>
      <c r="L24" s="380"/>
      <c r="M24" s="338"/>
      <c r="N24" s="326"/>
    </row>
    <row r="25" spans="2:14" ht="47.25" customHeight="1" x14ac:dyDescent="0.85">
      <c r="B25" s="361" t="s">
        <v>315</v>
      </c>
      <c r="C25" s="361" t="s">
        <v>1003</v>
      </c>
      <c r="E25" s="361"/>
      <c r="F25" s="361"/>
      <c r="G25" s="361"/>
      <c r="H25" s="362">
        <f>'GF Budget Tracking'!L14+'GF Budget Tracking'!L15</f>
        <v>221000</v>
      </c>
      <c r="I25" s="362">
        <f>'GF Budget Tracking'!N14+'GF Budget Tracking'!N15</f>
        <v>186000</v>
      </c>
      <c r="J25" s="378" t="e">
        <f>'GF Budget Tracking'!P14+'GF Budget Tracking'!P15</f>
        <v>#N/A</v>
      </c>
      <c r="K25" s="384" t="s">
        <v>1057</v>
      </c>
      <c r="L25" s="380"/>
      <c r="M25" s="338"/>
      <c r="N25" s="326"/>
    </row>
    <row r="26" spans="2:14" ht="47.25" customHeight="1" x14ac:dyDescent="0.85">
      <c r="B26" s="361" t="s">
        <v>315</v>
      </c>
      <c r="C26" s="361" t="s">
        <v>1004</v>
      </c>
      <c r="E26" s="361"/>
      <c r="F26" s="361"/>
      <c r="G26" s="361"/>
      <c r="H26" s="362">
        <f>'GF Budget Tracking'!L16</f>
        <v>25000</v>
      </c>
      <c r="I26" s="362">
        <f>'GF Budget Tracking'!N16</f>
        <v>25000</v>
      </c>
      <c r="J26" s="362" t="e">
        <f>'GF Budget Tracking'!P16</f>
        <v>#N/A</v>
      </c>
      <c r="K26" s="384"/>
      <c r="L26" s="380"/>
      <c r="M26" s="338"/>
      <c r="N26" s="326"/>
    </row>
    <row r="27" spans="2:14" ht="47.25" customHeight="1" x14ac:dyDescent="0.85">
      <c r="B27" s="361" t="s">
        <v>315</v>
      </c>
      <c r="C27" s="360" t="s">
        <v>201</v>
      </c>
      <c r="E27" s="361"/>
      <c r="F27" s="361"/>
      <c r="G27" s="361"/>
      <c r="H27" s="362">
        <f>'GF Budget Tracking'!L59</f>
        <v>150000</v>
      </c>
      <c r="I27" s="362">
        <f>'GF Budget Tracking'!N59</f>
        <v>150000</v>
      </c>
      <c r="J27" s="362" t="e">
        <f>'GF Budget Tracking'!P59</f>
        <v>#N/A</v>
      </c>
      <c r="K27" s="384"/>
      <c r="L27" s="380"/>
      <c r="M27" s="338"/>
      <c r="N27" s="326"/>
    </row>
    <row r="28" spans="2:14" ht="47.25" customHeight="1" x14ac:dyDescent="0.85">
      <c r="B28" s="361" t="s">
        <v>315</v>
      </c>
      <c r="C28" s="363" t="s">
        <v>1025</v>
      </c>
      <c r="E28" s="361"/>
      <c r="F28" s="361"/>
      <c r="G28" s="361"/>
      <c r="H28" s="362">
        <f>'GF Budget Tracking'!L61</f>
        <v>50000</v>
      </c>
      <c r="I28" s="362">
        <f>'GF Budget Tracking'!N61</f>
        <v>10000</v>
      </c>
      <c r="J28" s="362">
        <f>'GF Budget Tracking'!P61</f>
        <v>0</v>
      </c>
      <c r="K28" s="384" t="s">
        <v>1053</v>
      </c>
      <c r="L28" s="380"/>
      <c r="M28" s="338"/>
      <c r="N28" s="326"/>
    </row>
    <row r="29" spans="2:14" ht="47.25" customHeight="1" x14ac:dyDescent="0.85">
      <c r="B29" s="361" t="s">
        <v>315</v>
      </c>
      <c r="C29" s="363" t="s">
        <v>951</v>
      </c>
      <c r="E29" s="361"/>
      <c r="F29" s="361"/>
      <c r="G29" s="361"/>
      <c r="H29" s="362">
        <f>'GF Budget Tracking'!L66</f>
        <v>110000</v>
      </c>
      <c r="I29" s="362">
        <f>'GF Budget Tracking'!N66</f>
        <v>0</v>
      </c>
      <c r="J29" s="362">
        <f>'GF Budget Tracking'!P66</f>
        <v>0</v>
      </c>
      <c r="K29" s="384" t="s">
        <v>1056</v>
      </c>
      <c r="L29" s="380"/>
      <c r="M29" s="338"/>
      <c r="N29" s="326"/>
    </row>
    <row r="30" spans="2:14" ht="47.25" customHeight="1" x14ac:dyDescent="0.85">
      <c r="B30" s="361" t="s">
        <v>315</v>
      </c>
      <c r="C30" s="363" t="s">
        <v>933</v>
      </c>
      <c r="E30" s="361"/>
      <c r="F30" s="361"/>
      <c r="G30" s="361"/>
      <c r="H30" s="362">
        <f>'GF Budget Tracking'!L67</f>
        <v>25000</v>
      </c>
      <c r="I30" s="362">
        <f>'GF Budget Tracking'!N67</f>
        <v>0</v>
      </c>
      <c r="J30" s="362">
        <f>'GF Budget Tracking'!P67</f>
        <v>0</v>
      </c>
      <c r="K30" s="384" t="s">
        <v>1055</v>
      </c>
      <c r="L30" s="380"/>
      <c r="M30" s="338"/>
      <c r="N30" s="326"/>
    </row>
    <row r="31" spans="2:14" ht="47.25" customHeight="1" x14ac:dyDescent="0.85">
      <c r="B31" s="361" t="s">
        <v>315</v>
      </c>
      <c r="C31" s="363" t="s">
        <v>1027</v>
      </c>
      <c r="E31" s="361"/>
      <c r="F31" s="361"/>
      <c r="G31" s="361"/>
      <c r="H31" s="362">
        <f>'GF Budget Tracking'!L68</f>
        <v>100000</v>
      </c>
      <c r="I31" s="362">
        <f>'GF Budget Tracking'!N68</f>
        <v>0</v>
      </c>
      <c r="J31" s="362">
        <f>'GF Budget Tracking'!P68</f>
        <v>0</v>
      </c>
      <c r="K31" s="384" t="s">
        <v>1055</v>
      </c>
      <c r="L31" s="380"/>
      <c r="M31" s="338"/>
      <c r="N31" s="326"/>
    </row>
    <row r="32" spans="2:14" ht="47.25" customHeight="1" thickBot="1" x14ac:dyDescent="0.9">
      <c r="C32" s="326"/>
      <c r="D32" s="361"/>
      <c r="E32" s="361"/>
      <c r="F32" s="361"/>
      <c r="G32" s="361"/>
      <c r="H32" s="364">
        <f>SUM(H24:H31)</f>
        <v>981000</v>
      </c>
      <c r="I32" s="364">
        <f>SUM(I24:I31)</f>
        <v>371000</v>
      </c>
      <c r="J32" s="364" t="e">
        <f>SUM(J24:J31)</f>
        <v>#N/A</v>
      </c>
      <c r="K32" s="384"/>
      <c r="L32" s="380"/>
      <c r="M32" s="338"/>
      <c r="N32" s="326"/>
    </row>
    <row r="33" spans="2:14" ht="46.5" thickTop="1" x14ac:dyDescent="0.7">
      <c r="K33" s="387"/>
      <c r="L33" s="382"/>
      <c r="M33" s="322"/>
    </row>
    <row r="34" spans="2:14" ht="47.25" customHeight="1" x14ac:dyDescent="0.85">
      <c r="D34" s="358"/>
      <c r="E34" s="358"/>
      <c r="F34" s="358"/>
      <c r="G34" s="358"/>
      <c r="H34" s="359"/>
      <c r="I34" s="359"/>
      <c r="J34" s="359"/>
      <c r="K34" s="386"/>
      <c r="L34" s="382"/>
      <c r="M34" s="338"/>
      <c r="N34" s="335"/>
    </row>
    <row r="35" spans="2:14" ht="47.25" customHeight="1" x14ac:dyDescent="0.85">
      <c r="B35" s="361" t="s">
        <v>1000</v>
      </c>
      <c r="C35" s="360" t="s">
        <v>430</v>
      </c>
      <c r="E35" s="361"/>
      <c r="F35" s="361"/>
      <c r="G35" s="361"/>
      <c r="H35" s="362">
        <f>'GF Budget Tracking'!L63</f>
        <v>150000</v>
      </c>
      <c r="I35" s="362">
        <f>'GF Budget Tracking'!N63</f>
        <v>0</v>
      </c>
      <c r="J35" s="362">
        <f>'GF Budget Tracking'!P63</f>
        <v>0</v>
      </c>
      <c r="K35" s="384"/>
      <c r="L35" s="382"/>
      <c r="M35" s="338"/>
      <c r="N35" s="335"/>
    </row>
    <row r="36" spans="2:14" ht="47.25" customHeight="1" x14ac:dyDescent="0.85">
      <c r="B36" s="361" t="s">
        <v>1000</v>
      </c>
      <c r="C36" s="360" t="s">
        <v>1096</v>
      </c>
      <c r="E36" s="361"/>
      <c r="F36" s="361"/>
      <c r="G36" s="361"/>
      <c r="H36" s="362">
        <f>'GF Budget Tracking'!L69</f>
        <v>82000</v>
      </c>
      <c r="I36" s="362">
        <f>'GF Budget Tracking'!N69</f>
        <v>0</v>
      </c>
      <c r="J36" s="362" t="e">
        <f>'GF Budget Tracking'!P69</f>
        <v>#N/A</v>
      </c>
      <c r="K36" s="384"/>
      <c r="L36" s="382"/>
      <c r="M36" s="338"/>
      <c r="N36" s="335"/>
    </row>
    <row r="37" spans="2:14" ht="47.25" customHeight="1" x14ac:dyDescent="0.85">
      <c r="B37" s="361" t="s">
        <v>1000</v>
      </c>
      <c r="C37" s="360" t="s">
        <v>1083</v>
      </c>
      <c r="E37" s="361"/>
      <c r="F37" s="361"/>
      <c r="G37" s="361"/>
      <c r="H37" s="362">
        <f>'GF Budget Tracking'!L70</f>
        <v>25000</v>
      </c>
      <c r="I37" s="362">
        <f>'GF Budget Tracking'!N70</f>
        <v>0</v>
      </c>
      <c r="J37" s="362" t="e">
        <f>'GF Budget Tracking'!P70</f>
        <v>#N/A</v>
      </c>
      <c r="K37" s="384"/>
      <c r="L37" s="382"/>
      <c r="M37" s="338"/>
      <c r="N37" s="335"/>
    </row>
    <row r="38" spans="2:14" ht="47.25" customHeight="1" x14ac:dyDescent="0.85">
      <c r="B38" s="361" t="s">
        <v>1000</v>
      </c>
      <c r="C38" s="360" t="s">
        <v>1084</v>
      </c>
      <c r="E38" s="361"/>
      <c r="F38" s="361"/>
      <c r="G38" s="361"/>
      <c r="H38" s="362">
        <f>'GF Budget Tracking'!L71</f>
        <v>30000</v>
      </c>
      <c r="I38" s="362">
        <f>'GF Budget Tracking'!N71</f>
        <v>0</v>
      </c>
      <c r="J38" s="362" t="e">
        <f>'GF Budget Tracking'!P71</f>
        <v>#N/A</v>
      </c>
      <c r="K38" s="384"/>
      <c r="L38" s="382"/>
      <c r="M38" s="338"/>
      <c r="N38" s="335"/>
    </row>
    <row r="39" spans="2:14" ht="47.25" customHeight="1" x14ac:dyDescent="0.85">
      <c r="B39" s="361" t="s">
        <v>1000</v>
      </c>
      <c r="C39" s="360" t="s">
        <v>1097</v>
      </c>
      <c r="E39" s="361"/>
      <c r="F39" s="361"/>
      <c r="G39" s="361"/>
      <c r="H39" s="362">
        <f>'GF Budget Tracking'!L72</f>
        <v>62000</v>
      </c>
      <c r="I39" s="362">
        <f>'GF Budget Tracking'!N72</f>
        <v>0</v>
      </c>
      <c r="J39" s="362" t="e">
        <f>'GF Budget Tracking'!P72</f>
        <v>#N/A</v>
      </c>
      <c r="K39" s="384"/>
      <c r="L39" s="382"/>
      <c r="M39" s="338"/>
      <c r="N39" s="335"/>
    </row>
    <row r="40" spans="2:14" ht="47.25" customHeight="1" x14ac:dyDescent="0.85">
      <c r="B40" s="361" t="s">
        <v>1000</v>
      </c>
      <c r="C40" s="360" t="s">
        <v>1085</v>
      </c>
      <c r="E40" s="361"/>
      <c r="F40" s="361"/>
      <c r="G40" s="361"/>
      <c r="H40" s="362">
        <f>'GF Budget Tracking'!L73</f>
        <v>75000</v>
      </c>
      <c r="I40" s="362">
        <f>'GF Budget Tracking'!N73</f>
        <v>0</v>
      </c>
      <c r="J40" s="362" t="e">
        <f>'GF Budget Tracking'!P73</f>
        <v>#N/A</v>
      </c>
      <c r="K40" s="384"/>
      <c r="L40" s="382"/>
      <c r="M40" s="338"/>
      <c r="N40" s="335"/>
    </row>
    <row r="41" spans="2:14" ht="47.25" customHeight="1" x14ac:dyDescent="0.85">
      <c r="B41" s="361" t="s">
        <v>1000</v>
      </c>
      <c r="C41" s="360" t="s">
        <v>1081</v>
      </c>
      <c r="E41" s="361"/>
      <c r="F41" s="361"/>
      <c r="G41" s="361"/>
      <c r="H41" s="362">
        <f>'GF Budget Tracking'!L74</f>
        <v>75000</v>
      </c>
      <c r="I41" s="362">
        <f>'GF Budget Tracking'!N74</f>
        <v>0</v>
      </c>
      <c r="J41" s="362">
        <f>'GF Budget Tracking'!P74</f>
        <v>0</v>
      </c>
      <c r="K41" s="384" t="s">
        <v>1090</v>
      </c>
      <c r="L41" s="382"/>
      <c r="M41" s="338"/>
      <c r="N41" s="335"/>
    </row>
    <row r="42" spans="2:14" ht="47.25" customHeight="1" x14ac:dyDescent="0.85">
      <c r="B42" s="361" t="s">
        <v>1000</v>
      </c>
      <c r="C42" s="360" t="s">
        <v>1080</v>
      </c>
      <c r="E42" s="361"/>
      <c r="F42" s="361"/>
      <c r="G42" s="361"/>
      <c r="H42" s="362">
        <f>'GF Budget Tracking'!L75</f>
        <v>25000</v>
      </c>
      <c r="I42" s="362">
        <f>'GF Budget Tracking'!N75</f>
        <v>0</v>
      </c>
      <c r="J42" s="362" t="e">
        <f>'GF Budget Tracking'!P75</f>
        <v>#N/A</v>
      </c>
      <c r="K42" s="384"/>
      <c r="L42" s="382"/>
      <c r="M42" s="338"/>
      <c r="N42" s="335"/>
    </row>
    <row r="43" spans="2:14" ht="47.25" customHeight="1" x14ac:dyDescent="0.85">
      <c r="B43" s="361" t="s">
        <v>1000</v>
      </c>
      <c r="C43" s="363" t="s">
        <v>1024</v>
      </c>
      <c r="E43" s="361"/>
      <c r="F43" s="361"/>
      <c r="G43" s="361"/>
      <c r="H43" s="362">
        <f>'GF Budget Tracking'!L60</f>
        <v>110000</v>
      </c>
      <c r="I43" s="362">
        <f>'GF Budget Tracking'!N60</f>
        <v>110000</v>
      </c>
      <c r="J43" s="362">
        <f>'GF Budget Tracking'!P60</f>
        <v>0</v>
      </c>
      <c r="K43" s="384" t="s">
        <v>1052</v>
      </c>
      <c r="L43" s="382"/>
      <c r="M43" s="338"/>
      <c r="N43" s="326"/>
    </row>
    <row r="44" spans="2:14" ht="47.25" customHeight="1" thickBot="1" x14ac:dyDescent="0.9">
      <c r="D44" s="360"/>
      <c r="E44" s="361"/>
      <c r="F44" s="361"/>
      <c r="G44" s="361"/>
      <c r="H44" s="364">
        <f>SUM(H35:H43)</f>
        <v>634000</v>
      </c>
      <c r="I44" s="364">
        <f>SUM(I35:I43)</f>
        <v>110000</v>
      </c>
      <c r="J44" s="364" t="e">
        <f>SUM(J35:J43)</f>
        <v>#N/A</v>
      </c>
      <c r="K44" s="384"/>
      <c r="L44" s="382"/>
      <c r="M44" s="338"/>
      <c r="N44" s="335"/>
    </row>
    <row r="45" spans="2:14" ht="46.5" thickTop="1" x14ac:dyDescent="0.7">
      <c r="K45" s="387"/>
      <c r="L45" s="382"/>
      <c r="M45" s="322"/>
    </row>
    <row r="46" spans="2:14" s="320" customFormat="1" ht="47.25" customHeight="1" x14ac:dyDescent="0.9">
      <c r="C46" s="351"/>
      <c r="D46" s="358"/>
      <c r="E46" s="358"/>
      <c r="F46" s="358"/>
      <c r="G46" s="358"/>
      <c r="H46" s="359"/>
      <c r="I46" s="359"/>
      <c r="J46" s="359"/>
      <c r="K46" s="386"/>
      <c r="L46" s="379"/>
      <c r="M46" s="338"/>
      <c r="N46" s="326"/>
    </row>
    <row r="47" spans="2:14" s="320" customFormat="1" ht="47.25" customHeight="1" x14ac:dyDescent="0.9">
      <c r="B47" s="361" t="s">
        <v>1015</v>
      </c>
      <c r="C47" s="361" t="s">
        <v>318</v>
      </c>
      <c r="D47" s="361"/>
      <c r="F47" s="361"/>
      <c r="G47" s="361"/>
      <c r="H47" s="362">
        <f>'GF Budget Tracking'!L20</f>
        <v>100000</v>
      </c>
      <c r="I47" s="362">
        <f>'GF Budget Tracking'!N20</f>
        <v>0</v>
      </c>
      <c r="J47" s="362">
        <f>'GF Budget Tracking'!P20</f>
        <v>0</v>
      </c>
      <c r="K47" s="384"/>
      <c r="L47" s="379"/>
      <c r="M47" s="338"/>
      <c r="N47" s="326"/>
    </row>
    <row r="48" spans="2:14" s="320" customFormat="1" ht="47.25" customHeight="1" x14ac:dyDescent="0.9">
      <c r="B48" s="361" t="s">
        <v>1015</v>
      </c>
      <c r="C48" s="361" t="s">
        <v>1005</v>
      </c>
      <c r="D48" s="361"/>
      <c r="F48" s="361"/>
      <c r="G48" s="361"/>
      <c r="H48" s="362">
        <f>'GF Budget Tracking'!L21</f>
        <v>45000</v>
      </c>
      <c r="I48" s="362">
        <f>'GF Budget Tracking'!N21</f>
        <v>0</v>
      </c>
      <c r="J48" s="362" t="e">
        <f>'GF Budget Tracking'!P21</f>
        <v>#N/A</v>
      </c>
      <c r="K48" s="384"/>
      <c r="L48" s="379"/>
      <c r="M48" s="338"/>
      <c r="N48" s="326"/>
    </row>
    <row r="49" spans="2:14" s="320" customFormat="1" ht="47.25" customHeight="1" x14ac:dyDescent="0.9">
      <c r="B49" s="361" t="s">
        <v>1015</v>
      </c>
      <c r="C49" s="363" t="s">
        <v>921</v>
      </c>
      <c r="D49" s="363"/>
      <c r="F49" s="363"/>
      <c r="G49" s="361"/>
      <c r="H49" s="362">
        <f>'GF Budget Tracking'!L29</f>
        <v>50000</v>
      </c>
      <c r="I49" s="362">
        <f>'GF Budget Tracking'!N29</f>
        <v>50000</v>
      </c>
      <c r="J49" s="362" t="e">
        <f>'GF Budget Tracking'!P29</f>
        <v>#N/A</v>
      </c>
      <c r="K49" s="384" t="s">
        <v>1051</v>
      </c>
      <c r="L49" s="379"/>
      <c r="M49" s="338"/>
      <c r="N49" s="326"/>
    </row>
    <row r="50" spans="2:14" s="320" customFormat="1" ht="47.25" customHeight="1" x14ac:dyDescent="0.9">
      <c r="B50" s="361" t="s">
        <v>1015</v>
      </c>
      <c r="C50" s="363" t="s">
        <v>520</v>
      </c>
      <c r="D50" s="363"/>
      <c r="F50" s="363"/>
      <c r="G50" s="361"/>
      <c r="H50" s="362">
        <f>'GF Budget Tracking'!L30</f>
        <v>75000</v>
      </c>
      <c r="I50" s="362">
        <f>'GF Budget Tracking'!N30</f>
        <v>75000</v>
      </c>
      <c r="J50" s="362" t="e">
        <f>'GF Budget Tracking'!P30</f>
        <v>#N/A</v>
      </c>
      <c r="K50" s="384" t="s">
        <v>1063</v>
      </c>
      <c r="L50" s="379"/>
      <c r="M50" s="338"/>
      <c r="N50" s="326"/>
    </row>
    <row r="51" spans="2:14" s="320" customFormat="1" ht="47.25" customHeight="1" x14ac:dyDescent="0.9">
      <c r="B51" s="361" t="s">
        <v>1015</v>
      </c>
      <c r="C51" s="363" t="s">
        <v>922</v>
      </c>
      <c r="D51" s="363"/>
      <c r="F51" s="363"/>
      <c r="G51" s="361"/>
      <c r="H51" s="362">
        <f>'GF Budget Tracking'!L31</f>
        <v>110000</v>
      </c>
      <c r="I51" s="362">
        <f>'GF Budget Tracking'!N31</f>
        <v>0</v>
      </c>
      <c r="J51" s="362" t="e">
        <f>'GF Budget Tracking'!P31</f>
        <v>#N/A</v>
      </c>
      <c r="K51" s="384"/>
      <c r="L51" s="379"/>
      <c r="M51" s="338"/>
      <c r="N51" s="326"/>
    </row>
    <row r="52" spans="2:14" s="320" customFormat="1" ht="47.25" customHeight="1" x14ac:dyDescent="0.9">
      <c r="B52" s="361" t="s">
        <v>1015</v>
      </c>
      <c r="C52" s="363" t="s">
        <v>923</v>
      </c>
      <c r="D52" s="363"/>
      <c r="F52" s="363"/>
      <c r="G52" s="361"/>
      <c r="H52" s="362">
        <f>'GF Budget Tracking'!L32</f>
        <v>25000</v>
      </c>
      <c r="I52" s="362">
        <f>'GF Budget Tracking'!N32</f>
        <v>0</v>
      </c>
      <c r="J52" s="362" t="e">
        <f>'GF Budget Tracking'!P32</f>
        <v>#N/A</v>
      </c>
      <c r="K52" s="384"/>
      <c r="L52" s="379"/>
      <c r="M52" s="338"/>
      <c r="N52" s="326"/>
    </row>
    <row r="53" spans="2:14" s="320" customFormat="1" ht="47.25" customHeight="1" x14ac:dyDescent="0.9">
      <c r="B53" s="361" t="s">
        <v>1015</v>
      </c>
      <c r="C53" s="363" t="s">
        <v>938</v>
      </c>
      <c r="D53" s="363"/>
      <c r="F53" s="363"/>
      <c r="G53" s="361"/>
      <c r="H53" s="362">
        <f>'GF Budget Tracking'!L43</f>
        <v>38000</v>
      </c>
      <c r="I53" s="362">
        <f>'GF Budget Tracking'!N43</f>
        <v>0</v>
      </c>
      <c r="J53" s="362" t="e">
        <f>'GF Budget Tracking'!P43</f>
        <v>#N/A</v>
      </c>
      <c r="K53" s="384"/>
      <c r="L53" s="379"/>
      <c r="M53" s="338"/>
      <c r="N53" s="326"/>
    </row>
    <row r="54" spans="2:14" s="320" customFormat="1" ht="47.25" customHeight="1" x14ac:dyDescent="0.9">
      <c r="B54" s="361" t="s">
        <v>1015</v>
      </c>
      <c r="C54" s="363" t="s">
        <v>939</v>
      </c>
      <c r="D54" s="363"/>
      <c r="F54" s="363"/>
      <c r="G54" s="361"/>
      <c r="H54" s="362">
        <f>'GF Budget Tracking'!L44</f>
        <v>38000</v>
      </c>
      <c r="I54" s="362">
        <f>'GF Budget Tracking'!N44</f>
        <v>0</v>
      </c>
      <c r="J54" s="362">
        <f>'GF Budget Tracking'!P44</f>
        <v>0</v>
      </c>
      <c r="K54" s="384"/>
      <c r="L54" s="379"/>
      <c r="M54" s="338"/>
      <c r="N54" s="326"/>
    </row>
    <row r="55" spans="2:14" s="320" customFormat="1" ht="47.25" customHeight="1" x14ac:dyDescent="0.9">
      <c r="B55" s="361" t="s">
        <v>1015</v>
      </c>
      <c r="C55" s="363" t="s">
        <v>695</v>
      </c>
      <c r="D55" s="361"/>
      <c r="F55" s="361"/>
      <c r="G55" s="361"/>
      <c r="H55" s="362">
        <f>'GF Budget Tracking'!L18</f>
        <v>45000</v>
      </c>
      <c r="I55" s="362">
        <f>'GF Budget Tracking'!N18</f>
        <v>0</v>
      </c>
      <c r="J55" s="362">
        <f>'GF Budget Tracking'!P18</f>
        <v>0</v>
      </c>
      <c r="K55" s="384"/>
      <c r="L55" s="379"/>
      <c r="M55" s="338"/>
      <c r="N55" s="326"/>
    </row>
    <row r="56" spans="2:14" s="320" customFormat="1" ht="47.25" customHeight="1" x14ac:dyDescent="0.9">
      <c r="B56" s="361" t="s">
        <v>1015</v>
      </c>
      <c r="C56" s="363" t="s">
        <v>1016</v>
      </c>
      <c r="D56" s="361"/>
      <c r="F56" s="361"/>
      <c r="G56" s="361"/>
      <c r="H56" s="362">
        <f>'GF Budget Tracking'!L47</f>
        <v>25000</v>
      </c>
      <c r="I56" s="362">
        <f>'GF Budget Tracking'!N47</f>
        <v>0</v>
      </c>
      <c r="J56" s="362">
        <f>'GF Budget Tracking'!P47</f>
        <v>0</v>
      </c>
      <c r="K56" s="384"/>
      <c r="L56" s="379"/>
      <c r="M56" s="338"/>
      <c r="N56" s="326"/>
    </row>
    <row r="57" spans="2:14" s="320" customFormat="1" ht="47.25" customHeight="1" x14ac:dyDescent="0.9">
      <c r="B57" s="361" t="s">
        <v>1015</v>
      </c>
      <c r="C57" s="363" t="s">
        <v>1086</v>
      </c>
      <c r="D57" s="361"/>
      <c r="F57" s="361"/>
      <c r="G57" s="361"/>
      <c r="H57" s="362">
        <f>'GF Budget Tracking'!L48</f>
        <v>75000</v>
      </c>
      <c r="I57" s="362">
        <f>'GF Budget Tracking'!N48</f>
        <v>0</v>
      </c>
      <c r="J57" s="362" t="e">
        <f>'GF Budget Tracking'!P48</f>
        <v>#N/A</v>
      </c>
      <c r="K57" s="384"/>
      <c r="L57" s="379"/>
      <c r="M57" s="338"/>
      <c r="N57" s="326"/>
    </row>
    <row r="58" spans="2:14" s="320" customFormat="1" ht="47.25" customHeight="1" x14ac:dyDescent="0.9">
      <c r="B58" s="361" t="s">
        <v>1015</v>
      </c>
      <c r="C58" s="363" t="s">
        <v>1087</v>
      </c>
      <c r="D58" s="361"/>
      <c r="F58" s="361"/>
      <c r="G58" s="361"/>
      <c r="H58" s="362">
        <f>'GF Budget Tracking'!L49</f>
        <v>26565</v>
      </c>
      <c r="I58" s="362">
        <f>'GF Budget Tracking'!N49</f>
        <v>0</v>
      </c>
      <c r="J58" s="362">
        <f>'GF Budget Tracking'!P49</f>
        <v>0</v>
      </c>
      <c r="K58" s="384"/>
      <c r="L58" s="379"/>
      <c r="M58" s="338"/>
      <c r="N58" s="326"/>
    </row>
    <row r="59" spans="2:14" s="320" customFormat="1" ht="47.25" customHeight="1" x14ac:dyDescent="0.9">
      <c r="B59" s="361" t="s">
        <v>1015</v>
      </c>
      <c r="C59" s="363" t="s">
        <v>1023</v>
      </c>
      <c r="D59" s="361"/>
      <c r="F59" s="361"/>
      <c r="G59" s="361"/>
      <c r="H59" s="362">
        <f>'GF Budget Tracking'!L55</f>
        <v>42000</v>
      </c>
      <c r="I59" s="362">
        <f>'GF Budget Tracking'!N55</f>
        <v>0</v>
      </c>
      <c r="J59" s="362">
        <f>'GF Budget Tracking'!P55</f>
        <v>0</v>
      </c>
      <c r="K59" s="384"/>
      <c r="L59" s="379"/>
      <c r="M59" s="338"/>
      <c r="N59" s="326"/>
    </row>
    <row r="60" spans="2:14" s="320" customFormat="1" ht="47.25" customHeight="1" thickBot="1" x14ac:dyDescent="0.95">
      <c r="C60" s="326"/>
      <c r="D60" s="358"/>
      <c r="E60" s="358"/>
      <c r="F60" s="358"/>
      <c r="G60" s="358"/>
      <c r="H60" s="364">
        <f>SUM(H47:H59)</f>
        <v>694565</v>
      </c>
      <c r="I60" s="364">
        <f>SUM(I47:I59)</f>
        <v>125000</v>
      </c>
      <c r="J60" s="364" t="e">
        <f>SUM(J47:J59)</f>
        <v>#N/A</v>
      </c>
      <c r="K60" s="386"/>
      <c r="L60" s="379"/>
      <c r="M60" s="338"/>
      <c r="N60" s="326"/>
    </row>
    <row r="61" spans="2:14" ht="46.5" thickTop="1" x14ac:dyDescent="0.7">
      <c r="K61" s="387"/>
      <c r="L61" s="382"/>
      <c r="M61" s="322"/>
    </row>
    <row r="62" spans="2:14" s="324" customFormat="1" ht="47.25" customHeight="1" x14ac:dyDescent="0.85">
      <c r="C62" s="326"/>
      <c r="D62" s="326"/>
      <c r="E62" s="326"/>
      <c r="F62" s="358"/>
      <c r="G62" s="358"/>
      <c r="H62" s="359"/>
      <c r="I62" s="359"/>
      <c r="J62" s="359"/>
      <c r="K62" s="386"/>
      <c r="L62" s="381"/>
      <c r="M62" s="338"/>
      <c r="N62" s="326"/>
    </row>
    <row r="63" spans="2:14" s="324" customFormat="1" ht="47.25" customHeight="1" x14ac:dyDescent="0.85">
      <c r="B63" s="361" t="s">
        <v>440</v>
      </c>
      <c r="C63" s="361" t="s">
        <v>1095</v>
      </c>
      <c r="D63" s="326"/>
      <c r="E63" s="326"/>
      <c r="G63" s="361"/>
      <c r="H63" s="362">
        <f>'GF Budget Tracking'!L10</f>
        <v>700000</v>
      </c>
      <c r="I63" s="362">
        <f>'GF Budget Tracking'!N10</f>
        <v>0</v>
      </c>
      <c r="J63" s="362">
        <f>'GF Budget Tracking'!P10</f>
        <v>0</v>
      </c>
      <c r="K63" s="384" t="s">
        <v>1042</v>
      </c>
      <c r="L63" s="381"/>
      <c r="M63" s="338"/>
      <c r="N63" s="326"/>
    </row>
    <row r="64" spans="2:14" s="324" customFormat="1" ht="47.25" customHeight="1" thickBot="1" x14ac:dyDescent="0.9">
      <c r="C64" s="326"/>
      <c r="D64" s="326"/>
      <c r="E64" s="326"/>
      <c r="F64" s="361"/>
      <c r="G64" s="361"/>
      <c r="H64" s="364">
        <f>SUM(H63)</f>
        <v>700000</v>
      </c>
      <c r="I64" s="364">
        <f>SUM(I63)</f>
        <v>0</v>
      </c>
      <c r="J64" s="364">
        <f>SUM(J63)</f>
        <v>0</v>
      </c>
      <c r="K64" s="384"/>
      <c r="L64" s="381"/>
      <c r="M64" s="338"/>
      <c r="N64" s="326"/>
    </row>
    <row r="65" spans="1:14" ht="46.5" thickTop="1" x14ac:dyDescent="0.7">
      <c r="K65" s="387"/>
      <c r="L65" s="382"/>
      <c r="M65" s="322"/>
    </row>
    <row r="66" spans="1:14" ht="45.75" x14ac:dyDescent="0.7">
      <c r="K66" s="387"/>
      <c r="L66" s="382"/>
      <c r="M66" s="322"/>
    </row>
    <row r="67" spans="1:14" s="324" customFormat="1" ht="50.25" customHeight="1" x14ac:dyDescent="0.85">
      <c r="C67" s="335"/>
      <c r="D67" s="358"/>
      <c r="E67" s="358"/>
      <c r="F67" s="358"/>
      <c r="G67" s="358"/>
      <c r="H67" s="359"/>
      <c r="I67" s="359"/>
      <c r="J67" s="359"/>
      <c r="K67" s="386"/>
      <c r="L67" s="379"/>
      <c r="M67" s="338"/>
      <c r="N67" s="335"/>
    </row>
    <row r="68" spans="1:14" s="324" customFormat="1" ht="57" x14ac:dyDescent="0.85">
      <c r="B68" s="361" t="s">
        <v>1093</v>
      </c>
      <c r="C68" s="360" t="s">
        <v>1076</v>
      </c>
      <c r="E68" s="361"/>
      <c r="F68" s="361"/>
      <c r="G68" s="361"/>
      <c r="H68" s="362">
        <f>'GF Budget Tracking'!L40</f>
        <v>100000</v>
      </c>
      <c r="I68" s="362">
        <f>'GF Budget Tracking'!N40</f>
        <v>0</v>
      </c>
      <c r="J68" s="362">
        <f>'GF Budget Tracking'!P40</f>
        <v>0</v>
      </c>
      <c r="K68" s="384"/>
      <c r="L68" s="379"/>
      <c r="M68" s="338"/>
      <c r="N68" s="335"/>
    </row>
    <row r="69" spans="1:14" ht="57" x14ac:dyDescent="0.85">
      <c r="B69" s="361" t="s">
        <v>1093</v>
      </c>
      <c r="C69" s="365" t="s">
        <v>1013</v>
      </c>
      <c r="E69" s="361"/>
      <c r="F69" s="361"/>
      <c r="G69" s="361"/>
      <c r="H69" s="362">
        <f>'GF Budget Tracking'!L41</f>
        <v>175000</v>
      </c>
      <c r="I69" s="362">
        <f>'GF Budget Tracking'!N41</f>
        <v>0</v>
      </c>
      <c r="J69" s="362">
        <f>'GF Budget Tracking'!P41</f>
        <v>0</v>
      </c>
      <c r="K69" s="384"/>
      <c r="L69" s="379"/>
      <c r="M69" s="338"/>
      <c r="N69" s="335"/>
    </row>
    <row r="70" spans="1:14" ht="57" x14ac:dyDescent="0.85">
      <c r="B70" s="361" t="s">
        <v>1093</v>
      </c>
      <c r="C70" s="365" t="s">
        <v>1077</v>
      </c>
      <c r="E70" s="361"/>
      <c r="F70" s="361"/>
      <c r="G70" s="361"/>
      <c r="H70" s="362">
        <f>'GF Budget Tracking'!L42</f>
        <v>50000</v>
      </c>
      <c r="I70" s="362">
        <f>'GF Budget Tracking'!N42</f>
        <v>50000</v>
      </c>
      <c r="J70" s="362">
        <f>'GF Budget Tracking'!P42</f>
        <v>0</v>
      </c>
      <c r="K70" s="384" t="s">
        <v>1091</v>
      </c>
      <c r="L70" s="379"/>
      <c r="M70" s="338"/>
      <c r="N70" s="335"/>
    </row>
    <row r="71" spans="1:14" ht="57" x14ac:dyDescent="0.85">
      <c r="B71" s="361" t="s">
        <v>1093</v>
      </c>
      <c r="C71" s="361" t="s">
        <v>1075</v>
      </c>
      <c r="E71" s="361"/>
      <c r="F71" s="361"/>
      <c r="G71" s="361"/>
      <c r="H71" s="362">
        <f>'GF Budget Tracking'!L51</f>
        <v>50000</v>
      </c>
      <c r="I71" s="362">
        <f>'GF Budget Tracking'!N51</f>
        <v>0</v>
      </c>
      <c r="J71" s="362">
        <f>'GF Budget Tracking'!P51</f>
        <v>0</v>
      </c>
      <c r="K71" s="384"/>
      <c r="L71" s="379"/>
      <c r="M71" s="338"/>
      <c r="N71" s="335"/>
    </row>
    <row r="72" spans="1:14" ht="57" x14ac:dyDescent="0.85">
      <c r="B72" s="361" t="s">
        <v>1093</v>
      </c>
      <c r="C72" s="363" t="s">
        <v>1022</v>
      </c>
      <c r="E72" s="361"/>
      <c r="F72" s="361"/>
      <c r="G72" s="361"/>
      <c r="H72" s="362">
        <f>'GF Budget Tracking'!L53</f>
        <v>275000</v>
      </c>
      <c r="I72" s="362">
        <f>'GF Budget Tracking'!N53</f>
        <v>0</v>
      </c>
      <c r="J72" s="362" t="e">
        <f>'GF Budget Tracking'!P53</f>
        <v>#N/A</v>
      </c>
      <c r="K72" s="384"/>
      <c r="L72" s="379"/>
      <c r="M72" s="338"/>
      <c r="N72" s="335"/>
    </row>
    <row r="73" spans="1:14" ht="57" x14ac:dyDescent="0.85">
      <c r="B73" s="361" t="s">
        <v>1093</v>
      </c>
      <c r="C73" s="363" t="s">
        <v>1021</v>
      </c>
      <c r="E73" s="361"/>
      <c r="F73" s="361"/>
      <c r="G73" s="361"/>
      <c r="H73" s="362">
        <f>'GF Budget Tracking'!L54</f>
        <v>495000</v>
      </c>
      <c r="I73" s="362">
        <f>'GF Budget Tracking'!N54</f>
        <v>0</v>
      </c>
      <c r="J73" s="362">
        <f>'GF Budget Tracking'!P54</f>
        <v>0</v>
      </c>
      <c r="K73" s="384" t="s">
        <v>1044</v>
      </c>
      <c r="L73" s="379"/>
      <c r="M73" s="338"/>
      <c r="N73" s="335"/>
    </row>
    <row r="74" spans="1:14" ht="57" x14ac:dyDescent="0.85">
      <c r="B74" s="361" t="s">
        <v>1093</v>
      </c>
      <c r="C74" s="363" t="s">
        <v>1074</v>
      </c>
      <c r="E74" s="361"/>
      <c r="F74" s="361"/>
      <c r="G74" s="361"/>
      <c r="H74" s="362">
        <f>'GF Budget Tracking'!L62</f>
        <v>88000</v>
      </c>
      <c r="I74" s="362">
        <f>'GF Budget Tracking'!N62</f>
        <v>0</v>
      </c>
      <c r="J74" s="362">
        <f>'GF Budget Tracking'!P62</f>
        <v>0</v>
      </c>
      <c r="K74" s="384"/>
      <c r="L74" s="379"/>
      <c r="M74" s="338"/>
      <c r="N74" s="335"/>
    </row>
    <row r="75" spans="1:14" ht="57.75" thickBot="1" x14ac:dyDescent="0.9">
      <c r="C75" s="335"/>
      <c r="D75" s="361"/>
      <c r="E75" s="361"/>
      <c r="F75" s="361"/>
      <c r="G75" s="361"/>
      <c r="H75" s="364">
        <f>SUM(H68:H74)</f>
        <v>1233000</v>
      </c>
      <c r="I75" s="364">
        <f>SUM(I68:I74)</f>
        <v>50000</v>
      </c>
      <c r="J75" s="364" t="e">
        <f>SUM(J68:J74)</f>
        <v>#N/A</v>
      </c>
      <c r="K75" s="384"/>
      <c r="L75" s="338"/>
      <c r="M75" s="338"/>
      <c r="N75" s="335"/>
    </row>
    <row r="76" spans="1:14" ht="51.75" thickTop="1" x14ac:dyDescent="0.75">
      <c r="C76" s="335"/>
      <c r="D76" s="327"/>
      <c r="E76" s="327"/>
      <c r="F76" s="327"/>
      <c r="G76" s="327"/>
      <c r="H76" s="328"/>
      <c r="I76" s="328"/>
      <c r="J76" s="328"/>
      <c r="K76" s="337"/>
      <c r="L76" s="335"/>
      <c r="M76" s="335"/>
      <c r="N76" s="335"/>
    </row>
    <row r="79" spans="1:14" s="320" customFormat="1" ht="70.5" x14ac:dyDescent="1.05">
      <c r="A79" s="400" t="s">
        <v>1094</v>
      </c>
      <c r="B79" s="400"/>
      <c r="C79" s="400"/>
      <c r="D79" s="400"/>
      <c r="E79" s="400"/>
      <c r="F79" s="400"/>
      <c r="G79" s="400"/>
      <c r="H79" s="400"/>
      <c r="I79" s="400"/>
      <c r="J79" s="400"/>
      <c r="K79" s="400"/>
      <c r="L79" s="400"/>
      <c r="M79" s="400"/>
      <c r="N79" s="400"/>
    </row>
    <row r="80" spans="1:14" s="322" customFormat="1" ht="31.5" x14ac:dyDescent="0.5">
      <c r="A80"/>
      <c r="B80"/>
      <c r="C80"/>
      <c r="D80"/>
      <c r="E80"/>
      <c r="F80"/>
      <c r="G80"/>
      <c r="H80"/>
      <c r="I80"/>
      <c r="J80"/>
      <c r="K80"/>
      <c r="L80"/>
      <c r="M80"/>
      <c r="N80"/>
    </row>
    <row r="81" spans="1:13" ht="61.5" x14ac:dyDescent="0.9">
      <c r="A81" s="370" t="s">
        <v>1105</v>
      </c>
      <c r="H81" s="326"/>
      <c r="I81" s="326"/>
      <c r="J81" s="326"/>
      <c r="K81" s="326"/>
      <c r="L81" s="326"/>
      <c r="M81" s="326"/>
    </row>
    <row r="82" spans="1:13" ht="9.9499999999999993" customHeight="1" x14ac:dyDescent="0.9">
      <c r="A82" s="320"/>
      <c r="H82" s="326"/>
      <c r="I82" s="326"/>
      <c r="J82" s="326"/>
      <c r="K82" s="326"/>
      <c r="L82" s="326"/>
      <c r="M82" s="326"/>
    </row>
    <row r="83" spans="1:13" ht="61.5" x14ac:dyDescent="0.9">
      <c r="A83" s="370" t="s">
        <v>1100</v>
      </c>
      <c r="H83" s="326"/>
      <c r="I83" s="326"/>
      <c r="J83" s="326"/>
      <c r="K83" s="326"/>
      <c r="L83" s="326"/>
      <c r="M83" s="326"/>
    </row>
    <row r="84" spans="1:13" ht="9.9499999999999993" customHeight="1" x14ac:dyDescent="0.9">
      <c r="A84" s="320"/>
      <c r="H84" s="326"/>
      <c r="I84" s="326"/>
      <c r="J84" s="326"/>
      <c r="K84" s="326"/>
      <c r="L84" s="326"/>
      <c r="M84" s="326"/>
    </row>
    <row r="85" spans="1:13" ht="61.5" x14ac:dyDescent="0.9">
      <c r="A85" s="370" t="s">
        <v>1104</v>
      </c>
      <c r="H85" s="326"/>
      <c r="I85" s="326"/>
      <c r="J85" s="326"/>
      <c r="K85" s="326"/>
      <c r="L85" s="326"/>
      <c r="M85" s="326"/>
    </row>
    <row r="86" spans="1:13" ht="9.9499999999999993" customHeight="1" x14ac:dyDescent="0.9">
      <c r="A86" s="320"/>
      <c r="H86" s="326"/>
      <c r="I86" s="326"/>
      <c r="J86" s="326"/>
      <c r="K86" s="326"/>
      <c r="L86" s="326"/>
      <c r="M86" s="326"/>
    </row>
    <row r="87" spans="1:13" ht="61.5" x14ac:dyDescent="0.9">
      <c r="A87" s="370" t="s">
        <v>1110</v>
      </c>
      <c r="H87" s="326"/>
      <c r="I87" s="326"/>
      <c r="J87" s="326"/>
      <c r="K87" s="326"/>
      <c r="L87" s="326"/>
      <c r="M87" s="326"/>
    </row>
    <row r="88" spans="1:13" ht="57" x14ac:dyDescent="0.85">
      <c r="B88" s="366" t="s">
        <v>1106</v>
      </c>
      <c r="C88" s="371"/>
      <c r="H88" s="326"/>
      <c r="I88" s="326"/>
      <c r="J88" s="326"/>
      <c r="K88" s="326"/>
      <c r="L88" s="326"/>
      <c r="M88" s="326"/>
    </row>
    <row r="89" spans="1:13" ht="57" x14ac:dyDescent="0.85">
      <c r="B89" s="366" t="s">
        <v>1101</v>
      </c>
      <c r="C89" s="371"/>
      <c r="H89" s="326"/>
      <c r="I89" s="326"/>
      <c r="J89" s="326"/>
      <c r="K89" s="326"/>
      <c r="L89" s="326"/>
      <c r="M89" s="326"/>
    </row>
    <row r="90" spans="1:13" ht="57" x14ac:dyDescent="0.85">
      <c r="B90" s="366" t="s">
        <v>1109</v>
      </c>
      <c r="C90" s="371"/>
      <c r="H90" s="326"/>
      <c r="I90" s="326"/>
      <c r="J90" s="326"/>
      <c r="K90" s="326"/>
      <c r="L90" s="326"/>
      <c r="M90" s="326"/>
    </row>
    <row r="91" spans="1:13" ht="57" x14ac:dyDescent="0.85">
      <c r="B91" s="375" t="s">
        <v>1102</v>
      </c>
      <c r="C91" s="376"/>
      <c r="H91" s="326"/>
      <c r="I91" s="326"/>
      <c r="J91" s="326"/>
      <c r="K91" s="326"/>
      <c r="L91" s="326"/>
      <c r="M91" s="326"/>
    </row>
    <row r="92" spans="1:13" x14ac:dyDescent="0.25">
      <c r="H92" s="326"/>
      <c r="I92" s="326"/>
      <c r="J92" s="326"/>
      <c r="K92" s="326"/>
      <c r="L92" s="326"/>
      <c r="M92" s="326"/>
    </row>
  </sheetData>
  <mergeCells count="3">
    <mergeCell ref="A1:N1"/>
    <mergeCell ref="A3:N3"/>
    <mergeCell ref="A79:N79"/>
  </mergeCells>
  <pageMargins left="0.3" right="0.1" top="0.5" bottom="0.1" header="0" footer="0"/>
  <pageSetup scale="17" orientation="portrait"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16</vt:i4>
      </vt:variant>
    </vt:vector>
  </HeadingPairs>
  <TitlesOfParts>
    <vt:vector size="42" baseType="lpstr">
      <vt:lpstr>Project Details by Yr - MASTER</vt:lpstr>
      <vt:lpstr>Project Details by Yr</vt:lpstr>
      <vt:lpstr>FY 2018-19 Capital Requests</vt:lpstr>
      <vt:lpstr>Summary</vt:lpstr>
      <vt:lpstr>Capital-Debt Strategy</vt:lpstr>
      <vt:lpstr>Capital Graphic</vt:lpstr>
      <vt:lpstr>Requested Graphic</vt:lpstr>
      <vt:lpstr>Committee Graphic</vt:lpstr>
      <vt:lpstr>Capital Graphic (2)</vt:lpstr>
      <vt:lpstr>CIP Details</vt:lpstr>
      <vt:lpstr>Bond Details</vt:lpstr>
      <vt:lpstr>Water Control</vt:lpstr>
      <vt:lpstr>Capital-Funding Budget Summary</vt:lpstr>
      <vt:lpstr>GF Budget Tracking</vt:lpstr>
      <vt:lpstr>Ops amts removed from plan</vt:lpstr>
      <vt:lpstr>Other Capital Needs</vt:lpstr>
      <vt:lpstr>Public Grounds</vt:lpstr>
      <vt:lpstr>Public Buildings</vt:lpstr>
      <vt:lpstr>Bridges</vt:lpstr>
      <vt:lpstr>Parking Lots &amp; Playgrounds</vt:lpstr>
      <vt:lpstr>Vehicles</vt:lpstr>
      <vt:lpstr>GF Detail (CY only)</vt:lpstr>
      <vt:lpstr>GF Details (FY20 ONLY)</vt:lpstr>
      <vt:lpstr>GF Details (FY21 ONLY)</vt:lpstr>
      <vt:lpstr>FY21 Capital Budget Summary</vt:lpstr>
      <vt:lpstr>Bridge Funding</vt:lpstr>
      <vt:lpstr>'Capital Graphic (2)'!Print_Area</vt:lpstr>
      <vt:lpstr>'Capital-Funding Budget Summary'!Print_Area</vt:lpstr>
      <vt:lpstr>'CIP Details'!Print_Area</vt:lpstr>
      <vt:lpstr>'FY21 Capital Budget Summary'!Print_Area</vt:lpstr>
      <vt:lpstr>'GF Budget Tracking'!Print_Area</vt:lpstr>
      <vt:lpstr>'GF Detail (CY only)'!Print_Area</vt:lpstr>
      <vt:lpstr>'GF Details (FY20 ONLY)'!Print_Area</vt:lpstr>
      <vt:lpstr>'Other Capital Needs'!Print_Area</vt:lpstr>
      <vt:lpstr>'Project Details by Yr'!Print_Area</vt:lpstr>
      <vt:lpstr>'Public Buildings'!Print_Area</vt:lpstr>
      <vt:lpstr>'Public Grounds'!Print_Area</vt:lpstr>
      <vt:lpstr>'Capital-Funding Budget Summary'!Print_Titles</vt:lpstr>
      <vt:lpstr>'CIP Details'!Print_Titles</vt:lpstr>
      <vt:lpstr>'FY21 Capital Budget Summary'!Print_Titles</vt:lpstr>
      <vt:lpstr>'GF Budget Tracking'!Print_Titles</vt:lpstr>
      <vt:lpstr>'GF Details (FY20 ONLY)'!Print_Titles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Delaney</dc:creator>
  <cp:lastModifiedBy>Alex and Steph Delaney</cp:lastModifiedBy>
  <cp:lastPrinted>2020-05-05T10:27:30Z</cp:lastPrinted>
  <dcterms:created xsi:type="dcterms:W3CDTF">2017-03-31T14:08:20Z</dcterms:created>
  <dcterms:modified xsi:type="dcterms:W3CDTF">2020-05-05T10:38:54Z</dcterms:modified>
</cp:coreProperties>
</file>