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own of Berlin\CIP\FY20\Town Website Versions\"/>
    </mc:Choice>
  </mc:AlternateContent>
  <xr:revisionPtr revIDLastSave="0" documentId="13_ncr:1_{33F79FEF-67D1-4976-8E9D-960DA02D5394}" xr6:coauthVersionLast="36" xr6:coauthVersionMax="36" xr10:uidLastSave="{00000000-0000-0000-0000-000000000000}"/>
  <bookViews>
    <workbookView xWindow="0" yWindow="60" windowWidth="20730" windowHeight="11700" tabRatio="892" firstSheet="4" activeTab="4" xr2:uid="{00000000-000D-0000-FFFF-FFFF00000000}"/>
  </bookViews>
  <sheets>
    <sheet name="Project Details by Yr - MASTER" sheetId="10" state="hidden" r:id="rId1"/>
    <sheet name="Project Details by Yr" sheetId="11" state="hidden" r:id="rId2"/>
    <sheet name="FY 2018-19 Capital Requests" sheetId="12" state="hidden" r:id="rId3"/>
    <sheet name="Summary" sheetId="1" state="hidden" r:id="rId4"/>
    <sheet name="CIP Details" sheetId="13" r:id="rId5"/>
    <sheet name="Bond Details" sheetId="9" r:id="rId6"/>
    <sheet name="Other Capital Needs" sheetId="8" state="hidden" r:id="rId7"/>
    <sheet name="Public Grounds" sheetId="2" state="hidden" r:id="rId8"/>
    <sheet name="Public Buildings" sheetId="3" state="hidden" r:id="rId9"/>
    <sheet name="Bridges" sheetId="4" state="hidden" r:id="rId10"/>
    <sheet name="Parking Lots &amp; Playgrounds" sheetId="5" state="hidden" r:id="rId11"/>
    <sheet name="Vehicles" sheetId="6" state="hidden" r:id="rId12"/>
    <sheet name="Water Control" sheetId="7" r:id="rId13"/>
    <sheet name="GF Detail (CY only)" sheetId="14" state="hidden" r:id="rId14"/>
    <sheet name="GF Details (FY20 ONLY)" sheetId="17" state="hidden" r:id="rId15"/>
  </sheets>
  <definedNames>
    <definedName name="_xlnm._FilterDatabase" localSheetId="13" hidden="1">'GF Detail (CY only)'!$A$2:$E$65</definedName>
    <definedName name="_xlnm.Print_Area" localSheetId="4">'CIP Details'!$C$1:$W$381</definedName>
    <definedName name="_xlnm.Print_Area" localSheetId="13">'GF Detail (CY only)'!$A$2:$G$71</definedName>
    <definedName name="_xlnm.Print_Area" localSheetId="14">'GF Details (FY20 ONLY)'!$C$1:$M$60</definedName>
    <definedName name="_xlnm.Print_Area" localSheetId="6">'Other Capital Needs'!$A$1:$Q$132</definedName>
    <definedName name="_xlnm.Print_Area" localSheetId="1">'Project Details by Yr'!$A$1:$K$300</definedName>
    <definedName name="_xlnm.Print_Area" localSheetId="8">'Public Buildings'!$A$1:$O$131</definedName>
    <definedName name="_xlnm.Print_Area" localSheetId="7">'Public Grounds'!$A$1:$O$84</definedName>
    <definedName name="_xlnm.Print_Titles" localSheetId="4">'CIP Details'!$1:$8</definedName>
    <definedName name="_xlnm.Print_Titles" localSheetId="14">'GF Details (FY20 ONLY)'!$1:$1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86" i="13" l="1"/>
  <c r="N286" i="13"/>
  <c r="O222" i="13"/>
  <c r="N222" i="13"/>
  <c r="O216" i="13"/>
  <c r="N216" i="13"/>
  <c r="N215" i="13"/>
  <c r="O201" i="13"/>
  <c r="N201" i="13"/>
  <c r="O199" i="13"/>
  <c r="N199" i="13"/>
  <c r="N145" i="13"/>
  <c r="O130" i="13"/>
  <c r="N130" i="13"/>
  <c r="N46" i="13"/>
  <c r="O44" i="13"/>
  <c r="N44" i="13"/>
  <c r="N43" i="13"/>
  <c r="N10" i="13"/>
  <c r="N128" i="13" l="1"/>
  <c r="O100" i="13" l="1"/>
  <c r="N252" i="13" l="1"/>
  <c r="N100" i="13" s="1"/>
  <c r="P252" i="13"/>
  <c r="R155" i="13"/>
  <c r="P155" i="13"/>
  <c r="Q133" i="13"/>
  <c r="Q132" i="13"/>
  <c r="Q131" i="13"/>
  <c r="P133" i="13"/>
  <c r="P132" i="13"/>
  <c r="P131" i="13"/>
  <c r="O230" i="13"/>
  <c r="R219" i="13"/>
  <c r="Q127" i="13"/>
  <c r="W120" i="13"/>
  <c r="V120" i="13"/>
  <c r="U120" i="13"/>
  <c r="T120" i="13"/>
  <c r="S120" i="13"/>
  <c r="R120" i="13"/>
  <c r="Q120" i="13"/>
  <c r="P120" i="13"/>
  <c r="O120" i="13"/>
  <c r="S106" i="13"/>
  <c r="O106" i="13"/>
  <c r="Q85" i="13"/>
  <c r="O85" i="13"/>
  <c r="P69" i="13"/>
  <c r="O69" i="13"/>
  <c r="Q37" i="13"/>
  <c r="P37" i="13"/>
  <c r="O37" i="13"/>
  <c r="P297" i="13"/>
  <c r="N297" i="13"/>
  <c r="O291" i="13"/>
  <c r="N291" i="13"/>
  <c r="N279" i="13"/>
  <c r="N227" i="13"/>
  <c r="N219" i="13"/>
  <c r="O144" i="13"/>
  <c r="N144" i="13"/>
  <c r="N92" i="13"/>
  <c r="A92" i="13"/>
  <c r="N69" i="13"/>
  <c r="W11" i="13" l="1"/>
  <c r="V11" i="13"/>
  <c r="U11" i="13"/>
  <c r="T11" i="13"/>
  <c r="S11" i="13"/>
  <c r="R11" i="13"/>
  <c r="Q11" i="13"/>
  <c r="P11" i="13"/>
  <c r="O11" i="13"/>
  <c r="N11" i="13"/>
  <c r="L11" i="13"/>
  <c r="K11" i="13"/>
  <c r="A10" i="13"/>
  <c r="A101" i="13" l="1"/>
  <c r="A322" i="13"/>
  <c r="A323" i="13"/>
  <c r="P100" i="13"/>
  <c r="Q100" i="13" s="1"/>
  <c r="R100" i="13" s="1"/>
  <c r="S100" i="13" s="1"/>
  <c r="T100" i="13" s="1"/>
  <c r="U100" i="13" s="1"/>
  <c r="V100" i="13" s="1"/>
  <c r="W100" i="13" s="1"/>
  <c r="N200" i="13"/>
  <c r="P201" i="13" l="1"/>
  <c r="Q201" i="13" s="1"/>
  <c r="A98" i="13" l="1"/>
  <c r="A97" i="13"/>
  <c r="A19" i="13" l="1"/>
  <c r="A15" i="13"/>
  <c r="A14" i="13"/>
  <c r="A16" i="13"/>
  <c r="O94" i="13" l="1"/>
  <c r="O93" i="13" s="1"/>
  <c r="P94" i="13"/>
  <c r="P93" i="13" s="1"/>
  <c r="N91" i="13"/>
  <c r="N90" i="13"/>
  <c r="Q91" i="13"/>
  <c r="Q90" i="13"/>
  <c r="N31" i="13" l="1"/>
  <c r="N51" i="13"/>
  <c r="N66" i="13"/>
  <c r="N70" i="13"/>
  <c r="N76" i="13"/>
  <c r="N104" i="13"/>
  <c r="N105" i="13"/>
  <c r="N127" i="13"/>
  <c r="N150" i="13"/>
  <c r="N158" i="13"/>
  <c r="N159" i="13"/>
  <c r="N221" i="13"/>
  <c r="N226" i="13"/>
  <c r="N249" i="13"/>
  <c r="N283" i="13"/>
  <c r="N284" i="13"/>
  <c r="N309" i="13"/>
  <c r="R31" i="13"/>
  <c r="R160" i="13" l="1"/>
  <c r="P160" i="13"/>
  <c r="R258" i="13"/>
  <c r="O258" i="13"/>
  <c r="Q288" i="13"/>
  <c r="O288" i="13"/>
  <c r="Q277" i="13"/>
  <c r="P277" i="13"/>
  <c r="R284" i="13"/>
  <c r="R283" i="13"/>
  <c r="O249" i="13"/>
  <c r="Q221" i="13"/>
  <c r="P158" i="13"/>
  <c r="O159" i="13"/>
  <c r="P150" i="13"/>
  <c r="O76" i="13"/>
  <c r="T183" i="13" l="1"/>
  <c r="U183" i="13"/>
  <c r="R175" i="13"/>
  <c r="S175" i="13"/>
  <c r="Q27" i="13"/>
  <c r="P27" i="13"/>
  <c r="T184" i="13"/>
  <c r="S184" i="13"/>
  <c r="Q190" i="13"/>
  <c r="O190" i="13"/>
  <c r="Q308" i="13"/>
  <c r="O308" i="13"/>
  <c r="P57" i="13"/>
  <c r="O57" i="13"/>
  <c r="P51" i="13"/>
  <c r="O51" i="13"/>
  <c r="O33" i="13"/>
  <c r="A48" i="17" l="1"/>
  <c r="A43" i="17"/>
  <c r="A284" i="13"/>
  <c r="W355" i="13" l="1"/>
  <c r="A357" i="13"/>
  <c r="A358" i="13"/>
  <c r="A356" i="13"/>
  <c r="P105" i="13"/>
  <c r="W371" i="13" l="1"/>
  <c r="A13" i="17" l="1"/>
  <c r="A14" i="17"/>
  <c r="A91" i="13"/>
  <c r="A94" i="13"/>
  <c r="A52" i="17" l="1"/>
  <c r="A51" i="17"/>
  <c r="A50" i="17"/>
  <c r="A49" i="17"/>
  <c r="A47" i="17"/>
  <c r="A46" i="17"/>
  <c r="A45" i="17"/>
  <c r="A44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2" i="17"/>
  <c r="A11" i="17"/>
  <c r="A10" i="17"/>
  <c r="A9" i="17"/>
  <c r="A8" i="17"/>
  <c r="A7" i="17"/>
  <c r="A6" i="17"/>
  <c r="A5" i="17"/>
  <c r="A4" i="17"/>
  <c r="A3" i="17"/>
  <c r="E39" i="7"/>
  <c r="F39" i="7"/>
  <c r="G39" i="7"/>
  <c r="H39" i="7"/>
  <c r="I39" i="7"/>
  <c r="J39" i="7"/>
  <c r="K39" i="7"/>
  <c r="L39" i="7"/>
  <c r="M39" i="7"/>
  <c r="N39" i="7"/>
  <c r="D39" i="7"/>
  <c r="P44" i="9"/>
  <c r="P45" i="9"/>
  <c r="P49" i="9"/>
  <c r="A312" i="13" l="1"/>
  <c r="A311" i="13"/>
  <c r="A310" i="13"/>
  <c r="A271" i="13"/>
  <c r="A261" i="13"/>
  <c r="A260" i="13"/>
  <c r="A259" i="13"/>
  <c r="A258" i="13"/>
  <c r="A257" i="13"/>
  <c r="A266" i="13"/>
  <c r="A315" i="13"/>
  <c r="A270" i="13"/>
  <c r="A296" i="13"/>
  <c r="A269" i="13"/>
  <c r="A295" i="13"/>
  <c r="A265" i="13"/>
  <c r="A264" i="13"/>
  <c r="A268" i="13"/>
  <c r="A294" i="13"/>
  <c r="A263" i="13"/>
  <c r="A308" i="13"/>
  <c r="A307" i="13"/>
  <c r="A306" i="13"/>
  <c r="A305" i="13"/>
  <c r="A304" i="13"/>
  <c r="A303" i="13"/>
  <c r="A318" i="13"/>
  <c r="A317" i="13"/>
  <c r="A316" i="13"/>
  <c r="A267" i="13"/>
  <c r="A262" i="13"/>
  <c r="A291" i="13"/>
  <c r="A297" i="13"/>
  <c r="W250" i="13" l="1"/>
  <c r="V250" i="13"/>
  <c r="U250" i="13"/>
  <c r="T250" i="13"/>
  <c r="S250" i="13"/>
  <c r="R250" i="13"/>
  <c r="Q250" i="13"/>
  <c r="P250" i="13"/>
  <c r="O250" i="13"/>
  <c r="N250" i="13"/>
  <c r="L250" i="13"/>
  <c r="K250" i="13"/>
  <c r="A76" i="13"/>
  <c r="W67" i="13"/>
  <c r="V67" i="13"/>
  <c r="U67" i="13"/>
  <c r="T67" i="13"/>
  <c r="S67" i="13"/>
  <c r="R67" i="13"/>
  <c r="Q67" i="13"/>
  <c r="P67" i="13"/>
  <c r="O67" i="13"/>
  <c r="N67" i="13"/>
  <c r="L67" i="13"/>
  <c r="K67" i="13"/>
  <c r="A66" i="13"/>
  <c r="A249" i="13"/>
  <c r="O244" i="13"/>
  <c r="O247" i="13" s="1"/>
  <c r="W247" i="13"/>
  <c r="V247" i="13"/>
  <c r="U247" i="13"/>
  <c r="T247" i="13"/>
  <c r="S247" i="13"/>
  <c r="R247" i="13"/>
  <c r="Q247" i="13"/>
  <c r="P247" i="13"/>
  <c r="N247" i="13"/>
  <c r="K247" i="13"/>
  <c r="A246" i="13"/>
  <c r="A245" i="13"/>
  <c r="A234" i="13"/>
  <c r="A220" i="13"/>
  <c r="A210" i="13"/>
  <c r="O207" i="13"/>
  <c r="N207" i="13"/>
  <c r="L207" i="13"/>
  <c r="K207" i="13"/>
  <c r="U206" i="13"/>
  <c r="V206" i="13" s="1"/>
  <c r="A206" i="13"/>
  <c r="S205" i="13"/>
  <c r="T205" i="13" s="1"/>
  <c r="U205" i="13" s="1"/>
  <c r="V205" i="13" s="1"/>
  <c r="P204" i="13"/>
  <c r="Q204" i="13" s="1"/>
  <c r="R204" i="13" s="1"/>
  <c r="S204" i="13" s="1"/>
  <c r="A199" i="13"/>
  <c r="L193" i="13"/>
  <c r="A193" i="13"/>
  <c r="Q207" i="13" l="1"/>
  <c r="R207" i="13"/>
  <c r="V207" i="13"/>
  <c r="P207" i="13"/>
  <c r="W206" i="13"/>
  <c r="W207" i="13" s="1"/>
  <c r="S207" i="13"/>
  <c r="T207" i="13"/>
  <c r="U207" i="13"/>
  <c r="A170" i="13"/>
  <c r="A162" i="13"/>
  <c r="A192" i="13"/>
  <c r="A149" i="13"/>
  <c r="A161" i="13"/>
  <c r="A160" i="13"/>
  <c r="A155" i="13"/>
  <c r="A190" i="13"/>
  <c r="A185" i="13"/>
  <c r="A167" i="13"/>
  <c r="A164" i="13"/>
  <c r="A166" i="13"/>
  <c r="A165" i="13"/>
  <c r="A172" i="13"/>
  <c r="A186" i="13"/>
  <c r="A158" i="13"/>
  <c r="A145" i="13"/>
  <c r="W20" i="13" l="1"/>
  <c r="V20" i="13"/>
  <c r="U20" i="13"/>
  <c r="T20" i="13"/>
  <c r="S20" i="13"/>
  <c r="R20" i="13"/>
  <c r="Q20" i="13"/>
  <c r="P20" i="13"/>
  <c r="O20" i="13"/>
  <c r="L20" i="13"/>
  <c r="K20" i="13"/>
  <c r="N20" i="13"/>
  <c r="L43" i="13"/>
  <c r="W139" i="13" l="1"/>
  <c r="A138" i="13"/>
  <c r="N139" i="13"/>
  <c r="L139" i="13"/>
  <c r="K139" i="13"/>
  <c r="A109" i="13"/>
  <c r="A108" i="13"/>
  <c r="A107" i="13"/>
  <c r="A110" i="13"/>
  <c r="A106" i="13"/>
  <c r="A105" i="13"/>
  <c r="A104" i="13"/>
  <c r="A103" i="13"/>
  <c r="A102" i="13"/>
  <c r="A113" i="13"/>
  <c r="V139" i="13"/>
  <c r="U139" i="13"/>
  <c r="T139" i="13"/>
  <c r="S139" i="13"/>
  <c r="R139" i="13"/>
  <c r="Q139" i="13"/>
  <c r="P139" i="13"/>
  <c r="O139" i="13"/>
  <c r="A72" i="13"/>
  <c r="A74" i="13"/>
  <c r="A73" i="13"/>
  <c r="A80" i="13"/>
  <c r="A79" i="13"/>
  <c r="A78" i="13"/>
  <c r="A77" i="13"/>
  <c r="A58" i="13"/>
  <c r="A53" i="13"/>
  <c r="A47" i="13"/>
  <c r="A48" i="13"/>
  <c r="A49" i="13"/>
  <c r="P44" i="13"/>
  <c r="Q44" i="13"/>
  <c r="A45" i="13"/>
  <c r="U44" i="13"/>
  <c r="T44" i="13"/>
  <c r="O43" i="13"/>
  <c r="P43" i="13" s="1"/>
  <c r="Q43" i="13" s="1"/>
  <c r="R43" i="13" s="1"/>
  <c r="S43" i="13" s="1"/>
  <c r="T43" i="13" s="1"/>
  <c r="U43" i="13" s="1"/>
  <c r="V43" i="13" s="1"/>
  <c r="W43" i="13" s="1"/>
  <c r="A93" i="13" l="1"/>
  <c r="A90" i="13"/>
  <c r="N95" i="13"/>
  <c r="N96" i="13" l="1"/>
  <c r="N333" i="13"/>
  <c r="A119" i="13" l="1"/>
  <c r="A124" i="13"/>
  <c r="A84" i="13"/>
  <c r="B4" i="9" l="1"/>
  <c r="B3" i="9"/>
  <c r="A29" i="13"/>
  <c r="A27" i="13"/>
  <c r="A25" i="13"/>
  <c r="W41" i="13" l="1"/>
  <c r="W61" i="13"/>
  <c r="W64" i="13"/>
  <c r="W81" i="13"/>
  <c r="W333" i="13"/>
  <c r="W116" i="13"/>
  <c r="W195" i="13"/>
  <c r="W211" i="13"/>
  <c r="W241" i="13"/>
  <c r="W325" i="13"/>
  <c r="W330" i="13"/>
  <c r="W342" i="13" s="1"/>
  <c r="W331" i="13"/>
  <c r="W332" i="13"/>
  <c r="W334" i="13"/>
  <c r="W335" i="13"/>
  <c r="W336" i="13"/>
  <c r="W337" i="13"/>
  <c r="W343" i="13"/>
  <c r="W344" i="13"/>
  <c r="W345" i="13"/>
  <c r="W347" i="13"/>
  <c r="W348" i="13"/>
  <c r="W349" i="13"/>
  <c r="W328" i="13" l="1"/>
  <c r="W338" i="13"/>
  <c r="W346" i="13"/>
  <c r="W350" i="13" s="1"/>
  <c r="W340" i="13" l="1"/>
  <c r="W339" i="13"/>
  <c r="A121" i="13"/>
  <c r="K87" i="13"/>
  <c r="O89" i="13"/>
  <c r="L213" i="13"/>
  <c r="F7" i="14"/>
  <c r="L279" i="13" l="1"/>
  <c r="F56" i="14"/>
  <c r="G56" i="14" s="1"/>
  <c r="F6" i="14"/>
  <c r="F3" i="14" l="1"/>
  <c r="F29" i="14"/>
  <c r="G29" i="14" s="1"/>
  <c r="G30" i="14"/>
  <c r="G61" i="14"/>
  <c r="G64" i="14"/>
  <c r="G60" i="14"/>
  <c r="L148" i="13"/>
  <c r="G3" i="14" l="1"/>
  <c r="G48" i="14"/>
  <c r="L247" i="13"/>
  <c r="G53" i="14" l="1"/>
  <c r="G8" i="14"/>
  <c r="G12" i="14"/>
  <c r="F8" i="14"/>
  <c r="G27" i="14"/>
  <c r="G38" i="14"/>
  <c r="G37" i="14"/>
  <c r="G65" i="14" l="1"/>
  <c r="G63" i="14"/>
  <c r="G62" i="14"/>
  <c r="G59" i="14"/>
  <c r="G17" i="14"/>
  <c r="G32" i="14"/>
  <c r="G68" i="14"/>
  <c r="G18" i="14"/>
  <c r="G69" i="14"/>
  <c r="L273" i="13" l="1"/>
  <c r="F58" i="14" l="1"/>
  <c r="F57" i="14"/>
  <c r="G55" i="14"/>
  <c r="F54" i="14"/>
  <c r="G51" i="14"/>
  <c r="G50" i="14"/>
  <c r="F15" i="14"/>
  <c r="F14" i="14"/>
  <c r="F13" i="14"/>
  <c r="G5" i="14"/>
  <c r="F11" i="14"/>
  <c r="G9" i="14"/>
  <c r="G7" i="14"/>
  <c r="F10" i="14"/>
  <c r="G6" i="14"/>
  <c r="G36" i="14"/>
  <c r="G35" i="14"/>
  <c r="F34" i="14"/>
  <c r="F33" i="14"/>
  <c r="F19" i="14"/>
  <c r="G31" i="14"/>
  <c r="F21" i="14"/>
  <c r="F28" i="14"/>
  <c r="F20" i="14"/>
  <c r="G26" i="14"/>
  <c r="G23" i="14"/>
  <c r="G16" i="14"/>
  <c r="G25" i="14"/>
  <c r="F22" i="14"/>
  <c r="G24" i="14"/>
  <c r="F41" i="14"/>
  <c r="F47" i="14"/>
  <c r="F49" i="14"/>
  <c r="G46" i="14"/>
  <c r="F40" i="14"/>
  <c r="F45" i="14"/>
  <c r="G39" i="14"/>
  <c r="F44" i="14"/>
  <c r="F43" i="14"/>
  <c r="G42" i="14"/>
  <c r="F67" i="14"/>
  <c r="G4" i="14"/>
  <c r="G66" i="14"/>
  <c r="G71" i="14" l="1"/>
  <c r="M48" i="14"/>
  <c r="M3" i="14"/>
  <c r="M71" i="14" l="1"/>
  <c r="M73" i="14" s="1"/>
  <c r="E52" i="14"/>
  <c r="F52" i="14" l="1"/>
  <c r="F71" i="14" s="1"/>
  <c r="E71" i="14"/>
  <c r="E77" i="14" l="1"/>
  <c r="L272" i="13"/>
  <c r="E78" i="14" s="1"/>
  <c r="A272" i="13"/>
  <c r="E82" i="14" l="1"/>
  <c r="A302" i="13"/>
  <c r="A301" i="13"/>
  <c r="A300" i="13"/>
  <c r="A299" i="13"/>
  <c r="A298" i="13"/>
  <c r="A189" i="13"/>
  <c r="A188" i="13"/>
  <c r="A198" i="13" l="1"/>
  <c r="A285" i="13" l="1"/>
  <c r="S285" i="13"/>
  <c r="A273" i="13" l="1"/>
  <c r="L143" i="13"/>
  <c r="L287" i="13"/>
  <c r="L325" i="13" s="1"/>
  <c r="A324" i="13" l="1"/>
  <c r="A321" i="13"/>
  <c r="A320" i="13"/>
  <c r="A319" i="13"/>
  <c r="A256" i="13"/>
  <c r="A292" i="13"/>
  <c r="A280" i="13"/>
  <c r="A254" i="13"/>
  <c r="A255" i="13"/>
  <c r="A276" i="13"/>
  <c r="A313" i="13"/>
  <c r="A293" i="13"/>
  <c r="A275" i="13"/>
  <c r="A309" i="13"/>
  <c r="A314" i="13"/>
  <c r="A283" i="13"/>
  <c r="A277" i="13"/>
  <c r="A289" i="13"/>
  <c r="A253" i="13"/>
  <c r="A282" i="13"/>
  <c r="A290" i="13"/>
  <c r="A274" i="13"/>
  <c r="A278" i="13"/>
  <c r="A279" i="13"/>
  <c r="A288" i="13"/>
  <c r="A286" i="13"/>
  <c r="A287" i="13"/>
  <c r="A252" i="13"/>
  <c r="A281" i="13"/>
  <c r="A244" i="13"/>
  <c r="A240" i="13"/>
  <c r="A239" i="13"/>
  <c r="A238" i="13"/>
  <c r="A237" i="13"/>
  <c r="A236" i="13"/>
  <c r="A235" i="13"/>
  <c r="A233" i="13"/>
  <c r="A232" i="13"/>
  <c r="A231" i="13"/>
  <c r="A230" i="13"/>
  <c r="A229" i="13"/>
  <c r="A227" i="13"/>
  <c r="A225" i="13"/>
  <c r="A224" i="13"/>
  <c r="A223" i="13"/>
  <c r="A222" i="13"/>
  <c r="A221" i="13"/>
  <c r="A219" i="13"/>
  <c r="A218" i="13"/>
  <c r="A217" i="13"/>
  <c r="A226" i="13"/>
  <c r="A228" i="13"/>
  <c r="A216" i="13"/>
  <c r="A215" i="13"/>
  <c r="A214" i="13"/>
  <c r="A213" i="13"/>
  <c r="A209" i="13"/>
  <c r="A205" i="13"/>
  <c r="A204" i="13"/>
  <c r="A203" i="13"/>
  <c r="A202" i="13"/>
  <c r="A201" i="13"/>
  <c r="A200" i="13"/>
  <c r="A194" i="13"/>
  <c r="A147" i="13"/>
  <c r="A146" i="13"/>
  <c r="A191" i="13"/>
  <c r="A184" i="13"/>
  <c r="A179" i="13"/>
  <c r="A187" i="13"/>
  <c r="A153" i="13"/>
  <c r="A183" i="13"/>
  <c r="A182" i="13"/>
  <c r="A181" i="13"/>
  <c r="A178" i="13"/>
  <c r="A177" i="13"/>
  <c r="A176" i="13"/>
  <c r="A175" i="13"/>
  <c r="A174" i="13"/>
  <c r="A151" i="13"/>
  <c r="A159" i="13"/>
  <c r="A173" i="13"/>
  <c r="A171" i="13"/>
  <c r="A157" i="13"/>
  <c r="A169" i="13"/>
  <c r="A168" i="13"/>
  <c r="A163" i="13"/>
  <c r="A180" i="13"/>
  <c r="A156" i="13"/>
  <c r="A154" i="13"/>
  <c r="A150" i="13"/>
  <c r="A152" i="13"/>
  <c r="A148" i="13"/>
  <c r="A144" i="13"/>
  <c r="A143" i="13"/>
  <c r="A142" i="13"/>
  <c r="A141" i="13"/>
  <c r="A123" i="13"/>
  <c r="A137" i="13"/>
  <c r="A136" i="13"/>
  <c r="A135" i="13"/>
  <c r="A134" i="13"/>
  <c r="A133" i="13"/>
  <c r="A132" i="13"/>
  <c r="A131" i="13"/>
  <c r="A130" i="13"/>
  <c r="A129" i="13"/>
  <c r="A128" i="13"/>
  <c r="A127" i="13"/>
  <c r="A120" i="13"/>
  <c r="A126" i="13"/>
  <c r="A125" i="13"/>
  <c r="A122" i="13"/>
  <c r="A118" i="13"/>
  <c r="A86" i="13"/>
  <c r="A114" i="13"/>
  <c r="A85" i="13"/>
  <c r="A100" i="13"/>
  <c r="A99" i="13"/>
  <c r="A88" i="13"/>
  <c r="A112" i="13"/>
  <c r="A111" i="13"/>
  <c r="A96" i="13"/>
  <c r="A89" i="13"/>
  <c r="A95" i="13"/>
  <c r="A87" i="13"/>
  <c r="A83" i="13"/>
  <c r="A71" i="13"/>
  <c r="A70" i="13"/>
  <c r="A75" i="13"/>
  <c r="A69" i="13"/>
  <c r="A63" i="13"/>
  <c r="A60" i="13"/>
  <c r="A59" i="13"/>
  <c r="A57" i="13"/>
  <c r="A55" i="13"/>
  <c r="A54" i="13"/>
  <c r="A52" i="13"/>
  <c r="A51" i="13"/>
  <c r="A50" i="13"/>
  <c r="A46" i="13"/>
  <c r="A44" i="13"/>
  <c r="A56" i="13"/>
  <c r="A43" i="13"/>
  <c r="A40" i="13"/>
  <c r="A39" i="13"/>
  <c r="A38" i="13"/>
  <c r="A37" i="13"/>
  <c r="A36" i="13"/>
  <c r="A35" i="13"/>
  <c r="A34" i="13"/>
  <c r="A33" i="13"/>
  <c r="A32" i="13"/>
  <c r="A31" i="13"/>
  <c r="A30" i="13"/>
  <c r="A28" i="13"/>
  <c r="A26" i="13"/>
  <c r="A24" i="13"/>
  <c r="A23" i="13"/>
  <c r="A22" i="13"/>
  <c r="A18" i="13"/>
  <c r="A17" i="13"/>
  <c r="A13" i="13"/>
  <c r="E9" i="9" l="1"/>
  <c r="G9" i="9"/>
  <c r="M12" i="9"/>
  <c r="N19" i="9"/>
  <c r="O26" i="9"/>
  <c r="P33" i="9"/>
  <c r="E10" i="9"/>
  <c r="G10" i="9"/>
  <c r="N12" i="9"/>
  <c r="O19" i="9"/>
  <c r="P26" i="9"/>
  <c r="H34" i="9"/>
  <c r="E11" i="9"/>
  <c r="G11" i="9"/>
  <c r="O12" i="9"/>
  <c r="P19" i="9"/>
  <c r="H27" i="9"/>
  <c r="I34" i="9"/>
  <c r="E12" i="9"/>
  <c r="G12" i="9"/>
  <c r="P12" i="9"/>
  <c r="H20" i="9"/>
  <c r="I27" i="9"/>
  <c r="J34" i="9"/>
  <c r="E13" i="9"/>
  <c r="G13" i="9"/>
  <c r="H13" i="9"/>
  <c r="I20" i="9"/>
  <c r="J27" i="9"/>
  <c r="K34" i="9"/>
  <c r="E14" i="9"/>
  <c r="G14" i="9"/>
  <c r="I13" i="9"/>
  <c r="J20" i="9"/>
  <c r="K27" i="9"/>
  <c r="L34" i="9"/>
  <c r="E15" i="9"/>
  <c r="G15" i="9"/>
  <c r="J13" i="9"/>
  <c r="K20" i="9"/>
  <c r="L27" i="9"/>
  <c r="M34" i="9"/>
  <c r="E16" i="9"/>
  <c r="G16" i="9"/>
  <c r="K13" i="9"/>
  <c r="L20" i="9"/>
  <c r="M27" i="9"/>
  <c r="E24" i="9"/>
  <c r="L28" i="9"/>
  <c r="L36" i="9"/>
  <c r="E17" i="9"/>
  <c r="G17" i="9"/>
  <c r="L13" i="9"/>
  <c r="M20" i="9"/>
  <c r="N27" i="9"/>
  <c r="O34" i="9"/>
  <c r="E18" i="9"/>
  <c r="G18" i="9"/>
  <c r="M13" i="9"/>
  <c r="N20" i="9"/>
  <c r="O27" i="9"/>
  <c r="P34" i="9"/>
  <c r="E19" i="9"/>
  <c r="G19" i="9"/>
  <c r="N13" i="9"/>
  <c r="O20" i="9"/>
  <c r="P27" i="9"/>
  <c r="H35" i="9"/>
  <c r="E20" i="9"/>
  <c r="G20" i="9"/>
  <c r="O13" i="9"/>
  <c r="P20" i="9"/>
  <c r="H28" i="9"/>
  <c r="I35" i="9"/>
  <c r="E21" i="9"/>
  <c r="G21" i="9"/>
  <c r="P13" i="9"/>
  <c r="H21" i="9"/>
  <c r="I28" i="9"/>
  <c r="J35" i="9"/>
  <c r="E22" i="9"/>
  <c r="G22" i="9"/>
  <c r="H14" i="9"/>
  <c r="I21" i="9"/>
  <c r="J28" i="9"/>
  <c r="K35" i="9"/>
  <c r="E23" i="9"/>
  <c r="G23" i="9"/>
  <c r="I14" i="9"/>
  <c r="J21" i="9"/>
  <c r="L35" i="9"/>
  <c r="J14" i="9"/>
  <c r="M35" i="9"/>
  <c r="I15" i="9"/>
  <c r="E25" i="9"/>
  <c r="G25" i="9"/>
  <c r="K14" i="9"/>
  <c r="L21" i="9"/>
  <c r="M28" i="9"/>
  <c r="N35" i="9"/>
  <c r="E26" i="9"/>
  <c r="G26" i="9"/>
  <c r="L14" i="9"/>
  <c r="M21" i="9"/>
  <c r="N28" i="9"/>
  <c r="O35" i="9"/>
  <c r="E27" i="9"/>
  <c r="G27" i="9"/>
  <c r="M14" i="9"/>
  <c r="N21" i="9"/>
  <c r="O28" i="9"/>
  <c r="P35" i="9"/>
  <c r="E28" i="9"/>
  <c r="G28" i="9"/>
  <c r="N14" i="9"/>
  <c r="O21" i="9"/>
  <c r="P28" i="9"/>
  <c r="H36" i="9"/>
  <c r="E29" i="9"/>
  <c r="G29" i="9"/>
  <c r="O14" i="9"/>
  <c r="P21" i="9"/>
  <c r="H29" i="9"/>
  <c r="I36" i="9"/>
  <c r="E30" i="9"/>
  <c r="G30" i="9"/>
  <c r="P14" i="9"/>
  <c r="H22" i="9"/>
  <c r="I29" i="9"/>
  <c r="J36" i="9"/>
  <c r="E31" i="9"/>
  <c r="G31" i="9"/>
  <c r="H15" i="9"/>
  <c r="I22" i="9"/>
  <c r="J29" i="9"/>
  <c r="K36" i="9"/>
  <c r="E32" i="9"/>
  <c r="G32" i="9"/>
  <c r="J22" i="9"/>
  <c r="E33" i="9"/>
  <c r="G33" i="9"/>
  <c r="J15" i="9"/>
  <c r="K22" i="9"/>
  <c r="L29" i="9"/>
  <c r="M36" i="9"/>
  <c r="E34" i="9"/>
  <c r="G34" i="9"/>
  <c r="K15" i="9"/>
  <c r="L22" i="9"/>
  <c r="M29" i="9"/>
  <c r="N36" i="9"/>
  <c r="E35" i="9"/>
  <c r="G35" i="9"/>
  <c r="L15" i="9"/>
  <c r="M22" i="9"/>
  <c r="N29" i="9"/>
  <c r="O36" i="9"/>
  <c r="E36" i="9"/>
  <c r="G36" i="9"/>
  <c r="M15" i="9"/>
  <c r="N22" i="9"/>
  <c r="O29" i="9"/>
  <c r="P36" i="9"/>
  <c r="E37" i="9"/>
  <c r="G37" i="9"/>
  <c r="N15" i="9"/>
  <c r="O22" i="9"/>
  <c r="P29" i="9"/>
  <c r="H37" i="9"/>
  <c r="E38" i="9"/>
  <c r="G38" i="9"/>
  <c r="O15" i="9"/>
  <c r="P22" i="9"/>
  <c r="H30" i="9"/>
  <c r="I37" i="9"/>
  <c r="E39" i="9"/>
  <c r="G39" i="9"/>
  <c r="P15" i="9"/>
  <c r="H23" i="9"/>
  <c r="I30" i="9"/>
  <c r="J37" i="9"/>
  <c r="E40" i="9"/>
  <c r="G40" i="9"/>
  <c r="H16" i="9"/>
  <c r="I23" i="9"/>
  <c r="J30" i="9"/>
  <c r="K37" i="9"/>
  <c r="P32" i="9"/>
  <c r="F9" i="9"/>
  <c r="H9" i="9"/>
  <c r="I16" i="9"/>
  <c r="J23" i="9"/>
  <c r="K30" i="9"/>
  <c r="L37" i="9"/>
  <c r="F10" i="9"/>
  <c r="I9" i="9"/>
  <c r="J16" i="9"/>
  <c r="K23" i="9"/>
  <c r="L30" i="9"/>
  <c r="M37" i="9"/>
  <c r="F11" i="9"/>
  <c r="J9" i="9"/>
  <c r="K16" i="9"/>
  <c r="L23" i="9"/>
  <c r="M30" i="9"/>
  <c r="N37" i="9"/>
  <c r="F12" i="9"/>
  <c r="K9" i="9"/>
  <c r="L16" i="9"/>
  <c r="M23" i="9"/>
  <c r="N30" i="9"/>
  <c r="O37" i="9"/>
  <c r="F13" i="9"/>
  <c r="L9" i="9"/>
  <c r="M16" i="9"/>
  <c r="N23" i="9"/>
  <c r="O30" i="9"/>
  <c r="P37" i="9"/>
  <c r="F14" i="9"/>
  <c r="M9" i="9"/>
  <c r="N16" i="9"/>
  <c r="O23" i="9"/>
  <c r="P30" i="9"/>
  <c r="H38" i="9"/>
  <c r="F15" i="9"/>
  <c r="N9" i="9"/>
  <c r="O16" i="9"/>
  <c r="P23" i="9"/>
  <c r="H31" i="9"/>
  <c r="I38" i="9"/>
  <c r="F16" i="9"/>
  <c r="O9" i="9"/>
  <c r="P16" i="9"/>
  <c r="H24" i="9"/>
  <c r="I31" i="9"/>
  <c r="J38" i="9"/>
  <c r="N10" i="9"/>
  <c r="P24" i="9"/>
  <c r="I39" i="9"/>
  <c r="F17" i="9"/>
  <c r="P9" i="9"/>
  <c r="H17" i="9"/>
  <c r="I24" i="9"/>
  <c r="J31" i="9"/>
  <c r="K38" i="9"/>
  <c r="F18" i="9"/>
  <c r="H10" i="9"/>
  <c r="I17" i="9"/>
  <c r="J24" i="9"/>
  <c r="K31" i="9"/>
  <c r="L38" i="9"/>
  <c r="F19" i="9"/>
  <c r="I10" i="9"/>
  <c r="J17" i="9"/>
  <c r="K24" i="9"/>
  <c r="L31" i="9"/>
  <c r="M38" i="9"/>
  <c r="F20" i="9"/>
  <c r="J10" i="9"/>
  <c r="K17" i="9"/>
  <c r="L24" i="9"/>
  <c r="M31" i="9"/>
  <c r="N38" i="9"/>
  <c r="F21" i="9"/>
  <c r="K10" i="9"/>
  <c r="L17" i="9"/>
  <c r="M24" i="9"/>
  <c r="N31" i="9"/>
  <c r="O38" i="9"/>
  <c r="F22" i="9"/>
  <c r="L10" i="9"/>
  <c r="M17" i="9"/>
  <c r="N24" i="9"/>
  <c r="O31" i="9"/>
  <c r="P38" i="9"/>
  <c r="F23" i="9"/>
  <c r="M10" i="9"/>
  <c r="N17" i="9"/>
  <c r="O24" i="9"/>
  <c r="P31" i="9"/>
  <c r="H39" i="9"/>
  <c r="F24" i="9"/>
  <c r="O17" i="9"/>
  <c r="H32" i="9"/>
  <c r="O25" i="9"/>
  <c r="F25" i="9"/>
  <c r="O10" i="9"/>
  <c r="P17" i="9"/>
  <c r="H25" i="9"/>
  <c r="I32" i="9"/>
  <c r="J39" i="9"/>
  <c r="F26" i="9"/>
  <c r="P10" i="9"/>
  <c r="H18" i="9"/>
  <c r="I25" i="9"/>
  <c r="J32" i="9"/>
  <c r="K39" i="9"/>
  <c r="F27" i="9"/>
  <c r="H11" i="9"/>
  <c r="I18" i="9"/>
  <c r="J25" i="9"/>
  <c r="K32" i="9"/>
  <c r="L39" i="9"/>
  <c r="F28" i="9"/>
  <c r="I11" i="9"/>
  <c r="J18" i="9"/>
  <c r="K25" i="9"/>
  <c r="L32" i="9"/>
  <c r="M39" i="9"/>
  <c r="F29" i="9"/>
  <c r="J11" i="9"/>
  <c r="K18" i="9"/>
  <c r="L25" i="9"/>
  <c r="M32" i="9"/>
  <c r="N39" i="9"/>
  <c r="F30" i="9"/>
  <c r="K11" i="9"/>
  <c r="L18" i="9"/>
  <c r="M25" i="9"/>
  <c r="N32" i="9"/>
  <c r="O39" i="9"/>
  <c r="F31" i="9"/>
  <c r="L11" i="9"/>
  <c r="M18" i="9"/>
  <c r="N25" i="9"/>
  <c r="O32" i="9"/>
  <c r="P39" i="9"/>
  <c r="F32" i="9"/>
  <c r="M11" i="9"/>
  <c r="N18" i="9"/>
  <c r="H40" i="9"/>
  <c r="F33" i="9"/>
  <c r="N11" i="9"/>
  <c r="O18" i="9"/>
  <c r="P25" i="9"/>
  <c r="H33" i="9"/>
  <c r="I40" i="9"/>
  <c r="F34" i="9"/>
  <c r="O11" i="9"/>
  <c r="P18" i="9"/>
  <c r="H26" i="9"/>
  <c r="I33" i="9"/>
  <c r="J40" i="9"/>
  <c r="F35" i="9"/>
  <c r="P11" i="9"/>
  <c r="H19" i="9"/>
  <c r="I26" i="9"/>
  <c r="J33" i="9"/>
  <c r="K40" i="9"/>
  <c r="F36" i="9"/>
  <c r="H12" i="9"/>
  <c r="I19" i="9"/>
  <c r="J26" i="9"/>
  <c r="K33" i="9"/>
  <c r="L40" i="9"/>
  <c r="F37" i="9"/>
  <c r="I12" i="9"/>
  <c r="J19" i="9"/>
  <c r="K26" i="9"/>
  <c r="L33" i="9"/>
  <c r="M40" i="9"/>
  <c r="F38" i="9"/>
  <c r="J12" i="9"/>
  <c r="K19" i="9"/>
  <c r="L26" i="9"/>
  <c r="M33" i="9"/>
  <c r="N40" i="9"/>
  <c r="F39" i="9"/>
  <c r="K12" i="9"/>
  <c r="L19" i="9"/>
  <c r="M26" i="9"/>
  <c r="N33" i="9"/>
  <c r="O40" i="9"/>
  <c r="F40" i="9"/>
  <c r="L12" i="9"/>
  <c r="M19" i="9"/>
  <c r="N26" i="9"/>
  <c r="O33" i="9"/>
  <c r="P40" i="9"/>
  <c r="N34" i="9"/>
  <c r="K28" i="9"/>
  <c r="G24" i="9"/>
  <c r="K21" i="9"/>
  <c r="K29" i="9"/>
  <c r="K45" i="17"/>
  <c r="K28" i="17"/>
  <c r="K49" i="17"/>
  <c r="K14" i="17"/>
  <c r="K13" i="17"/>
  <c r="K36" i="17"/>
  <c r="K38" i="17"/>
  <c r="K15" i="17"/>
  <c r="K7" i="17"/>
  <c r="K8" i="17"/>
  <c r="K34" i="17"/>
  <c r="K43" i="17"/>
  <c r="K46" i="17"/>
  <c r="K16" i="17"/>
  <c r="K29" i="17"/>
  <c r="K24" i="17"/>
  <c r="K17" i="17"/>
  <c r="K26" i="17"/>
  <c r="K9" i="17"/>
  <c r="K3" i="17"/>
  <c r="K5" i="17"/>
  <c r="K30" i="17"/>
  <c r="K52" i="17"/>
  <c r="K37" i="17"/>
  <c r="K20" i="17"/>
  <c r="K32" i="17"/>
  <c r="K25" i="17"/>
  <c r="K42" i="17"/>
  <c r="K19" i="17"/>
  <c r="K12" i="17"/>
  <c r="K48" i="17"/>
  <c r="K6" i="17"/>
  <c r="K18" i="17"/>
  <c r="K44" i="17"/>
  <c r="K21" i="17"/>
  <c r="K40" i="17"/>
  <c r="K33" i="17"/>
  <c r="K50" i="17"/>
  <c r="K27" i="17"/>
  <c r="K11" i="17"/>
  <c r="K23" i="17"/>
  <c r="K4" i="17"/>
  <c r="K31" i="17"/>
  <c r="K47" i="17"/>
  <c r="K41" i="17"/>
  <c r="K35" i="17"/>
  <c r="K39" i="17"/>
  <c r="K22" i="17"/>
  <c r="K51" i="17"/>
  <c r="K10" i="17"/>
  <c r="P48" i="9" l="1"/>
  <c r="L57" i="17"/>
  <c r="P47" i="9"/>
  <c r="P46" i="9"/>
  <c r="P41" i="9"/>
  <c r="P42" i="9" s="1"/>
  <c r="P50" i="9"/>
  <c r="K54" i="17"/>
  <c r="K337" i="13"/>
  <c r="L337" i="13"/>
  <c r="N337" i="13"/>
  <c r="Q337" i="13"/>
  <c r="R337" i="13"/>
  <c r="S337" i="13"/>
  <c r="T337" i="13"/>
  <c r="U337" i="13"/>
  <c r="V337" i="13"/>
  <c r="K59" i="17" l="1"/>
  <c r="P51" i="9"/>
  <c r="P52" i="9" s="1"/>
  <c r="T349" i="13"/>
  <c r="K349" i="13"/>
  <c r="V348" i="13"/>
  <c r="U348" i="13"/>
  <c r="T348" i="13"/>
  <c r="S348" i="13"/>
  <c r="R348" i="13"/>
  <c r="Q348" i="13"/>
  <c r="P348" i="13"/>
  <c r="O348" i="13"/>
  <c r="N348" i="13"/>
  <c r="L348" i="13"/>
  <c r="K348" i="13"/>
  <c r="V347" i="13"/>
  <c r="U347" i="13"/>
  <c r="T347" i="13"/>
  <c r="S347" i="13"/>
  <c r="Q347" i="13"/>
  <c r="N347" i="13"/>
  <c r="L347" i="13"/>
  <c r="K347" i="13"/>
  <c r="U346" i="13"/>
  <c r="T346" i="13"/>
  <c r="S346" i="13"/>
  <c r="R346" i="13"/>
  <c r="Q346" i="13"/>
  <c r="P346" i="13"/>
  <c r="N346" i="13"/>
  <c r="K346" i="13"/>
  <c r="U345" i="13"/>
  <c r="T345" i="13"/>
  <c r="S345" i="13"/>
  <c r="R345" i="13"/>
  <c r="Q345" i="13"/>
  <c r="P345" i="13"/>
  <c r="O345" i="13"/>
  <c r="N345" i="13"/>
  <c r="L345" i="13"/>
  <c r="K345" i="13"/>
  <c r="V344" i="13"/>
  <c r="U344" i="13"/>
  <c r="T344" i="13"/>
  <c r="S344" i="13"/>
  <c r="R344" i="13"/>
  <c r="Q344" i="13"/>
  <c r="P344" i="13"/>
  <c r="O344" i="13"/>
  <c r="N344" i="13"/>
  <c r="L344" i="13"/>
  <c r="K344" i="13"/>
  <c r="V343" i="13"/>
  <c r="U343" i="13"/>
  <c r="T343" i="13"/>
  <c r="S343" i="13"/>
  <c r="R343" i="13"/>
  <c r="Q343" i="13"/>
  <c r="P343" i="13"/>
  <c r="N343" i="13"/>
  <c r="K343" i="13"/>
  <c r="L343" i="13"/>
  <c r="V336" i="13"/>
  <c r="U336" i="13"/>
  <c r="T336" i="13"/>
  <c r="S336" i="13"/>
  <c r="R336" i="13"/>
  <c r="Q336" i="13"/>
  <c r="P336" i="13"/>
  <c r="O336" i="13"/>
  <c r="N336" i="13"/>
  <c r="L336" i="13"/>
  <c r="K336" i="13"/>
  <c r="V335" i="13"/>
  <c r="U335" i="13"/>
  <c r="T335" i="13"/>
  <c r="S335" i="13"/>
  <c r="R335" i="13"/>
  <c r="Q335" i="13"/>
  <c r="P335" i="13"/>
  <c r="O335" i="13"/>
  <c r="N335" i="13"/>
  <c r="L335" i="13"/>
  <c r="K335" i="13"/>
  <c r="V334" i="13"/>
  <c r="U334" i="13"/>
  <c r="T334" i="13"/>
  <c r="S334" i="13"/>
  <c r="R334" i="13"/>
  <c r="Q334" i="13"/>
  <c r="P334" i="13"/>
  <c r="N334" i="13"/>
  <c r="K334" i="13"/>
  <c r="U333" i="13"/>
  <c r="T333" i="13"/>
  <c r="S333" i="13"/>
  <c r="R333" i="13"/>
  <c r="Q333" i="13"/>
  <c r="P333" i="13"/>
  <c r="O333" i="13"/>
  <c r="K333" i="13"/>
  <c r="V332" i="13"/>
  <c r="U332" i="13"/>
  <c r="T332" i="13"/>
  <c r="S332" i="13"/>
  <c r="Q332" i="13"/>
  <c r="P332" i="13"/>
  <c r="O332" i="13"/>
  <c r="N332" i="13"/>
  <c r="L332" i="13"/>
  <c r="K332" i="13"/>
  <c r="T331" i="13"/>
  <c r="K331" i="13"/>
  <c r="T338" i="13" l="1"/>
  <c r="K338" i="13"/>
  <c r="T340" i="13" l="1"/>
  <c r="K340" i="13"/>
  <c r="L349" i="13" l="1"/>
  <c r="U61" i="13" l="1"/>
  <c r="T61" i="13"/>
  <c r="S61" i="13"/>
  <c r="R61" i="13"/>
  <c r="Q61" i="13"/>
  <c r="P61" i="13"/>
  <c r="O61" i="13"/>
  <c r="N61" i="13"/>
  <c r="L61" i="13"/>
  <c r="K61" i="13"/>
  <c r="T350" i="13" l="1"/>
  <c r="V64" i="13"/>
  <c r="U64" i="13"/>
  <c r="T64" i="13"/>
  <c r="S64" i="13"/>
  <c r="R64" i="13"/>
  <c r="Q64" i="13"/>
  <c r="P64" i="13"/>
  <c r="O64" i="13"/>
  <c r="N64" i="13"/>
  <c r="L64" i="13"/>
  <c r="K64" i="13"/>
  <c r="T325" i="13"/>
  <c r="K325" i="13"/>
  <c r="V241" i="13"/>
  <c r="U241" i="13"/>
  <c r="T241" i="13"/>
  <c r="S241" i="13"/>
  <c r="Q241" i="13"/>
  <c r="P241" i="13"/>
  <c r="O241" i="13"/>
  <c r="N241" i="13"/>
  <c r="L241" i="13"/>
  <c r="K241" i="13"/>
  <c r="V211" i="13"/>
  <c r="U211" i="13"/>
  <c r="T211" i="13"/>
  <c r="S211" i="13"/>
  <c r="R211" i="13"/>
  <c r="Q211" i="13"/>
  <c r="P211" i="13"/>
  <c r="O211" i="13"/>
  <c r="N211" i="13"/>
  <c r="L211" i="13"/>
  <c r="K211" i="13"/>
  <c r="U195" i="13"/>
  <c r="T195" i="13"/>
  <c r="S195" i="13"/>
  <c r="R195" i="13"/>
  <c r="Q195" i="13"/>
  <c r="P195" i="13"/>
  <c r="N195" i="13"/>
  <c r="K195" i="13"/>
  <c r="U116" i="13"/>
  <c r="T116" i="13"/>
  <c r="S116" i="13"/>
  <c r="R116" i="13"/>
  <c r="Q116" i="13"/>
  <c r="P116" i="13"/>
  <c r="O116" i="13"/>
  <c r="N116" i="13"/>
  <c r="K116" i="13"/>
  <c r="V81" i="13"/>
  <c r="U81" i="13"/>
  <c r="T81" i="13"/>
  <c r="S81" i="13"/>
  <c r="R81" i="13"/>
  <c r="Q81" i="13"/>
  <c r="P81" i="13"/>
  <c r="O81" i="13"/>
  <c r="N81" i="13"/>
  <c r="L81" i="13"/>
  <c r="K81" i="13"/>
  <c r="V41" i="13"/>
  <c r="U41" i="13"/>
  <c r="T41" i="13"/>
  <c r="S41" i="13"/>
  <c r="R41" i="13"/>
  <c r="Q41" i="13"/>
  <c r="P41" i="13"/>
  <c r="O41" i="13"/>
  <c r="N41" i="13"/>
  <c r="L41" i="13"/>
  <c r="K41" i="13"/>
  <c r="V330" i="13"/>
  <c r="V342" i="13" s="1"/>
  <c r="U330" i="13"/>
  <c r="U342" i="13" s="1"/>
  <c r="T330" i="13"/>
  <c r="T342" i="13" s="1"/>
  <c r="S330" i="13"/>
  <c r="S342" i="13" s="1"/>
  <c r="R330" i="13"/>
  <c r="R342" i="13" s="1"/>
  <c r="Q330" i="13"/>
  <c r="Q342" i="13" s="1"/>
  <c r="P330" i="13"/>
  <c r="P342" i="13" s="1"/>
  <c r="O330" i="13"/>
  <c r="O342" i="13" s="1"/>
  <c r="N330" i="13"/>
  <c r="N342" i="13" s="1"/>
  <c r="L330" i="13"/>
  <c r="L342" i="13" s="1"/>
  <c r="K330" i="13"/>
  <c r="K342" i="13" s="1"/>
  <c r="V279" i="13"/>
  <c r="V349" i="13" s="1"/>
  <c r="U279" i="13"/>
  <c r="U325" i="13" s="1"/>
  <c r="S279" i="13"/>
  <c r="R279" i="13"/>
  <c r="R325" i="13" s="1"/>
  <c r="Q279" i="13"/>
  <c r="P279" i="13"/>
  <c r="P325" i="13" s="1"/>
  <c r="O279" i="13"/>
  <c r="O349" i="13" s="1"/>
  <c r="N325" i="13"/>
  <c r="L195" i="13" l="1"/>
  <c r="V195" i="13"/>
  <c r="O325" i="13"/>
  <c r="V325" i="13"/>
  <c r="U349" i="13"/>
  <c r="U350" i="13" s="1"/>
  <c r="U331" i="13"/>
  <c r="N349" i="13"/>
  <c r="N350" i="13" s="1"/>
  <c r="N331" i="13"/>
  <c r="Q331" i="13"/>
  <c r="Q349" i="13"/>
  <c r="Q350" i="13" s="1"/>
  <c r="T328" i="13"/>
  <c r="T339" i="13" s="1"/>
  <c r="R331" i="13"/>
  <c r="R349" i="13"/>
  <c r="K328" i="13"/>
  <c r="K339" i="13" s="1"/>
  <c r="P349" i="13"/>
  <c r="S349" i="13"/>
  <c r="S350" i="13" s="1"/>
  <c r="S331" i="13"/>
  <c r="N328" i="13"/>
  <c r="U328" i="13"/>
  <c r="K350" i="13"/>
  <c r="K55" i="17" l="1"/>
  <c r="U338" i="13"/>
  <c r="U339" i="13" s="1"/>
  <c r="N338" i="13"/>
  <c r="N339" i="13" s="1"/>
  <c r="S338" i="13"/>
  <c r="S340" i="13" s="1"/>
  <c r="Q338" i="13"/>
  <c r="Q340" i="13" s="1"/>
  <c r="U340" i="13" l="1"/>
  <c r="N340" i="13"/>
  <c r="L331" i="13"/>
  <c r="L333" i="13"/>
  <c r="E72" i="14" l="1"/>
  <c r="O343" i="13"/>
  <c r="V345" i="13"/>
  <c r="V331" i="13"/>
  <c r="V346" i="13"/>
  <c r="V333" i="13"/>
  <c r="R347" i="13"/>
  <c r="R350" i="13" s="1"/>
  <c r="R332" i="13"/>
  <c r="R338" i="13" s="1"/>
  <c r="O346" i="13"/>
  <c r="O334" i="13"/>
  <c r="L346" i="13"/>
  <c r="L350" i="13" s="1"/>
  <c r="L334" i="13"/>
  <c r="L338" i="13" s="1"/>
  <c r="V61" i="13"/>
  <c r="O195" i="13"/>
  <c r="V116" i="13"/>
  <c r="Q325" i="13"/>
  <c r="R241" i="13"/>
  <c r="R328" i="13" s="1"/>
  <c r="L116" i="13"/>
  <c r="L328" i="13" s="1"/>
  <c r="S325" i="13"/>
  <c r="S328" i="13" s="1"/>
  <c r="S339" i="13" s="1"/>
  <c r="E13" i="4"/>
  <c r="E14" i="4"/>
  <c r="Q328" i="13" l="1"/>
  <c r="Q339" i="13" s="1"/>
  <c r="L339" i="13"/>
  <c r="R339" i="13"/>
  <c r="R340" i="13"/>
  <c r="L340" i="13"/>
  <c r="V338" i="13"/>
  <c r="V328" i="13"/>
  <c r="V350" i="13"/>
  <c r="K91" i="3"/>
  <c r="I92" i="3"/>
  <c r="V339" i="13" l="1"/>
  <c r="V340" i="13"/>
  <c r="N22" i="7"/>
  <c r="M22" i="7"/>
  <c r="L22" i="7"/>
  <c r="K22" i="7"/>
  <c r="J22" i="7"/>
  <c r="I22" i="7"/>
  <c r="H22" i="7"/>
  <c r="G22" i="7"/>
  <c r="F22" i="7"/>
  <c r="E22" i="7"/>
  <c r="D22" i="7"/>
  <c r="F81" i="12" l="1"/>
  <c r="G81" i="12" s="1"/>
  <c r="F69" i="12"/>
  <c r="G69" i="12" s="1"/>
  <c r="F67" i="12"/>
  <c r="G67" i="12" s="1"/>
  <c r="F63" i="12"/>
  <c r="G63" i="12" s="1"/>
  <c r="F61" i="12"/>
  <c r="G61" i="12" s="1"/>
  <c r="F41" i="12"/>
  <c r="G41" i="12" s="1"/>
  <c r="F32" i="12"/>
  <c r="F28" i="12"/>
  <c r="F23" i="12"/>
  <c r="F22" i="12"/>
  <c r="F17" i="12"/>
  <c r="F15" i="12"/>
  <c r="F7" i="12"/>
  <c r="E33" i="12"/>
  <c r="F33" i="12" s="1"/>
  <c r="E25" i="12"/>
  <c r="N101" i="3"/>
  <c r="M101" i="3"/>
  <c r="L101" i="3"/>
  <c r="K101" i="3"/>
  <c r="J101" i="3"/>
  <c r="I101" i="3"/>
  <c r="H101" i="3"/>
  <c r="E101" i="3"/>
  <c r="N100" i="3"/>
  <c r="M100" i="3"/>
  <c r="M102" i="3" s="1"/>
  <c r="L100" i="3"/>
  <c r="K100" i="3"/>
  <c r="J100" i="3"/>
  <c r="I100" i="3"/>
  <c r="H100" i="3"/>
  <c r="G100" i="3"/>
  <c r="F100" i="3"/>
  <c r="E100" i="3"/>
  <c r="D101" i="3"/>
  <c r="D100" i="3"/>
  <c r="J46" i="2"/>
  <c r="J54" i="2" s="1"/>
  <c r="N54" i="2"/>
  <c r="M54" i="2"/>
  <c r="L54" i="2"/>
  <c r="K54" i="2"/>
  <c r="I54" i="2"/>
  <c r="H54" i="2"/>
  <c r="G54" i="2"/>
  <c r="F54" i="2"/>
  <c r="E54" i="2"/>
  <c r="N53" i="2"/>
  <c r="M53" i="2"/>
  <c r="L53" i="2"/>
  <c r="K53" i="2"/>
  <c r="J53" i="2"/>
  <c r="I53" i="2"/>
  <c r="H53" i="2"/>
  <c r="G53" i="2"/>
  <c r="F53" i="2"/>
  <c r="E53" i="2"/>
  <c r="D54" i="2"/>
  <c r="D53" i="2"/>
  <c r="N102" i="3" l="1"/>
  <c r="J102" i="3"/>
  <c r="D102" i="3"/>
  <c r="E102" i="3"/>
  <c r="H102" i="3"/>
  <c r="I102" i="3"/>
  <c r="K102" i="3"/>
  <c r="L102" i="3"/>
  <c r="E83" i="12"/>
  <c r="F26" i="12"/>
  <c r="O100" i="8"/>
  <c r="M115" i="1" s="1"/>
  <c r="N100" i="8"/>
  <c r="L115" i="1" s="1"/>
  <c r="M100" i="8"/>
  <c r="K115" i="1" s="1"/>
  <c r="L100" i="8"/>
  <c r="K100" i="8"/>
  <c r="I115" i="1" s="1"/>
  <c r="J100" i="8"/>
  <c r="H115" i="1" s="1"/>
  <c r="H100" i="8"/>
  <c r="F100" i="8"/>
  <c r="D115" i="1" s="1"/>
  <c r="P99" i="8"/>
  <c r="N114" i="1" s="1"/>
  <c r="O99" i="8"/>
  <c r="M114" i="1" s="1"/>
  <c r="N99" i="8"/>
  <c r="L114" i="1" s="1"/>
  <c r="M99" i="8"/>
  <c r="K114" i="1" s="1"/>
  <c r="L99" i="8"/>
  <c r="J114" i="1" s="1"/>
  <c r="K99" i="8"/>
  <c r="I114" i="1" s="1"/>
  <c r="J99" i="8"/>
  <c r="H114" i="1" s="1"/>
  <c r="I99" i="8"/>
  <c r="G114" i="1" s="1"/>
  <c r="H99" i="8"/>
  <c r="F114" i="1" s="1"/>
  <c r="G99" i="8"/>
  <c r="E114" i="1" s="1"/>
  <c r="F99" i="8"/>
  <c r="D114" i="1" s="1"/>
  <c r="P121" i="8"/>
  <c r="O121" i="8"/>
  <c r="N121" i="8"/>
  <c r="M121" i="8"/>
  <c r="L121" i="8"/>
  <c r="K121" i="8"/>
  <c r="J121" i="8"/>
  <c r="I121" i="8"/>
  <c r="H121" i="8"/>
  <c r="P120" i="8"/>
  <c r="O120" i="8"/>
  <c r="N120" i="8"/>
  <c r="M120" i="8"/>
  <c r="L120" i="8"/>
  <c r="K120" i="8"/>
  <c r="J120" i="8"/>
  <c r="I120" i="8"/>
  <c r="H120" i="8"/>
  <c r="G120" i="8"/>
  <c r="P119" i="8"/>
  <c r="O119" i="8"/>
  <c r="N119" i="8"/>
  <c r="M119" i="8"/>
  <c r="L119" i="8"/>
  <c r="K119" i="8"/>
  <c r="J119" i="8"/>
  <c r="I119" i="8"/>
  <c r="H119" i="8"/>
  <c r="G119" i="8"/>
  <c r="O118" i="8"/>
  <c r="N118" i="8"/>
  <c r="M118" i="8"/>
  <c r="L118" i="8"/>
  <c r="K118" i="8"/>
  <c r="J118" i="8"/>
  <c r="I118" i="8"/>
  <c r="H118" i="8"/>
  <c r="G118" i="8"/>
  <c r="O117" i="8"/>
  <c r="N117" i="8"/>
  <c r="M117" i="8"/>
  <c r="L117" i="8"/>
  <c r="K117" i="8"/>
  <c r="J117" i="8"/>
  <c r="I117" i="8"/>
  <c r="H117" i="8"/>
  <c r="G117" i="8"/>
  <c r="P116" i="8"/>
  <c r="O116" i="8"/>
  <c r="N116" i="8"/>
  <c r="M116" i="8"/>
  <c r="L116" i="8"/>
  <c r="K116" i="8"/>
  <c r="J116" i="8"/>
  <c r="I116" i="8"/>
  <c r="H116" i="8"/>
  <c r="G116" i="8"/>
  <c r="P115" i="8"/>
  <c r="O115" i="8"/>
  <c r="N115" i="8"/>
  <c r="M115" i="8"/>
  <c r="L115" i="8"/>
  <c r="K115" i="8"/>
  <c r="J115" i="8"/>
  <c r="H115" i="8"/>
  <c r="F121" i="8"/>
  <c r="F120" i="8"/>
  <c r="F119" i="8"/>
  <c r="F118" i="8"/>
  <c r="F117" i="8"/>
  <c r="F116" i="8"/>
  <c r="F115" i="8"/>
  <c r="F110" i="8"/>
  <c r="F109" i="8"/>
  <c r="F108" i="8"/>
  <c r="F107" i="8"/>
  <c r="F106" i="8"/>
  <c r="F105" i="8"/>
  <c r="F83" i="12" l="1"/>
  <c r="G33" i="12"/>
  <c r="G83" i="12" s="1"/>
  <c r="H101" i="8"/>
  <c r="L101" i="8"/>
  <c r="J115" i="1"/>
  <c r="F101" i="8"/>
  <c r="M101" i="8"/>
  <c r="K101" i="8"/>
  <c r="O101" i="8"/>
  <c r="J101" i="8"/>
  <c r="N101" i="8"/>
  <c r="O136" i="1" l="1"/>
  <c r="O141" i="1"/>
  <c r="O140" i="1"/>
  <c r="O135" i="1"/>
  <c r="O134" i="1"/>
  <c r="O138" i="1"/>
  <c r="O139" i="1"/>
  <c r="O131" i="1"/>
  <c r="O132" i="1"/>
  <c r="O133" i="1"/>
  <c r="O137" i="1"/>
  <c r="O142" i="1" l="1"/>
  <c r="N124" i="1"/>
  <c r="M124" i="1"/>
  <c r="L124" i="1"/>
  <c r="K124" i="1"/>
  <c r="J124" i="1"/>
  <c r="I124" i="1"/>
  <c r="H124" i="1"/>
  <c r="G124" i="1"/>
  <c r="F124" i="1"/>
  <c r="E124" i="1"/>
  <c r="D124" i="1"/>
  <c r="N88" i="1"/>
  <c r="M88" i="1"/>
  <c r="L88" i="1"/>
  <c r="K88" i="1"/>
  <c r="J88" i="1"/>
  <c r="I88" i="1"/>
  <c r="H88" i="1"/>
  <c r="G88" i="1"/>
  <c r="F88" i="1"/>
  <c r="E88" i="1"/>
  <c r="D88" i="1"/>
  <c r="N99" i="1"/>
  <c r="M99" i="1"/>
  <c r="L99" i="1"/>
  <c r="K99" i="1"/>
  <c r="J99" i="1"/>
  <c r="I99" i="1"/>
  <c r="H99" i="1"/>
  <c r="G99" i="1"/>
  <c r="F99" i="1"/>
  <c r="E99" i="1"/>
  <c r="D99" i="1"/>
  <c r="O50" i="9" l="1"/>
  <c r="N50" i="9"/>
  <c r="M50" i="9"/>
  <c r="L50" i="9"/>
  <c r="K50" i="9"/>
  <c r="J50" i="9"/>
  <c r="I50" i="9"/>
  <c r="H50" i="9"/>
  <c r="G50" i="9"/>
  <c r="F50" i="9"/>
  <c r="O49" i="9"/>
  <c r="N49" i="9"/>
  <c r="M49" i="9"/>
  <c r="L49" i="9"/>
  <c r="K49" i="9"/>
  <c r="J49" i="9"/>
  <c r="I49" i="9"/>
  <c r="H49" i="9"/>
  <c r="G49" i="9"/>
  <c r="F49" i="9"/>
  <c r="O45" i="9"/>
  <c r="N45" i="9"/>
  <c r="M45" i="9"/>
  <c r="L45" i="9"/>
  <c r="K45" i="9"/>
  <c r="J45" i="9"/>
  <c r="I45" i="9"/>
  <c r="H45" i="9"/>
  <c r="G45" i="9"/>
  <c r="F45" i="9"/>
  <c r="O44" i="9"/>
  <c r="N44" i="9"/>
  <c r="M44" i="9"/>
  <c r="L44" i="9"/>
  <c r="K44" i="9"/>
  <c r="J44" i="9"/>
  <c r="I44" i="9"/>
  <c r="H44" i="9"/>
  <c r="G44" i="9"/>
  <c r="F44" i="9"/>
  <c r="E50" i="9"/>
  <c r="E49" i="9"/>
  <c r="E45" i="9"/>
  <c r="E44" i="9"/>
  <c r="F68" i="6"/>
  <c r="G68" i="6"/>
  <c r="H68" i="6"/>
  <c r="I68" i="6"/>
  <c r="J68" i="6"/>
  <c r="K68" i="6"/>
  <c r="L68" i="6"/>
  <c r="M68" i="6"/>
  <c r="N68" i="6"/>
  <c r="M100" i="1" s="1"/>
  <c r="O68" i="6"/>
  <c r="N100" i="1" s="1"/>
  <c r="F69" i="6"/>
  <c r="G69" i="6"/>
  <c r="F101" i="1" s="1"/>
  <c r="H69" i="6"/>
  <c r="I69" i="6"/>
  <c r="J69" i="6"/>
  <c r="K69" i="6"/>
  <c r="L69" i="6"/>
  <c r="K101" i="1" s="1"/>
  <c r="M69" i="6"/>
  <c r="L101" i="1" s="1"/>
  <c r="N69" i="6"/>
  <c r="M101" i="1" s="1"/>
  <c r="O69" i="6"/>
  <c r="F70" i="6"/>
  <c r="G70" i="6"/>
  <c r="F102" i="1" s="1"/>
  <c r="H70" i="6"/>
  <c r="I70" i="6"/>
  <c r="H102" i="1" s="1"/>
  <c r="J70" i="6"/>
  <c r="I102" i="1" s="1"/>
  <c r="K70" i="6"/>
  <c r="J102" i="1" s="1"/>
  <c r="L70" i="6"/>
  <c r="K102" i="1" s="1"/>
  <c r="M70" i="6"/>
  <c r="L102" i="1" s="1"/>
  <c r="N70" i="6"/>
  <c r="M102" i="1" s="1"/>
  <c r="O70" i="6"/>
  <c r="F71" i="6"/>
  <c r="G71" i="6"/>
  <c r="H71" i="6"/>
  <c r="I71" i="6"/>
  <c r="J71" i="6"/>
  <c r="K71" i="6"/>
  <c r="L71" i="6"/>
  <c r="M71" i="6"/>
  <c r="N71" i="6"/>
  <c r="O71" i="6"/>
  <c r="F72" i="6"/>
  <c r="G72" i="6"/>
  <c r="H72" i="6"/>
  <c r="I72" i="6"/>
  <c r="J72" i="6"/>
  <c r="K72" i="6"/>
  <c r="L72" i="6"/>
  <c r="M72" i="6"/>
  <c r="N72" i="6"/>
  <c r="O72" i="6"/>
  <c r="F73" i="6"/>
  <c r="E105" i="1" s="1"/>
  <c r="G73" i="6"/>
  <c r="F105" i="1" s="1"/>
  <c r="H73" i="6"/>
  <c r="G105" i="1" s="1"/>
  <c r="I73" i="6"/>
  <c r="H105" i="1" s="1"/>
  <c r="J73" i="6"/>
  <c r="I105" i="1" s="1"/>
  <c r="K73" i="6"/>
  <c r="J105" i="1" s="1"/>
  <c r="L73" i="6"/>
  <c r="K105" i="1" s="1"/>
  <c r="M73" i="6"/>
  <c r="N73" i="6"/>
  <c r="M105" i="1" s="1"/>
  <c r="O73" i="6"/>
  <c r="N105" i="1" s="1"/>
  <c r="F74" i="6"/>
  <c r="M74" i="6"/>
  <c r="L106" i="1" s="1"/>
  <c r="E74" i="6"/>
  <c r="D106" i="1" s="1"/>
  <c r="E73" i="6"/>
  <c r="D105" i="1" s="1"/>
  <c r="E72" i="6"/>
  <c r="E71" i="6"/>
  <c r="E70" i="6"/>
  <c r="D102" i="1" s="1"/>
  <c r="E69" i="6"/>
  <c r="D101" i="1" s="1"/>
  <c r="E68" i="6"/>
  <c r="D100" i="1" s="1"/>
  <c r="G102" i="1"/>
  <c r="E102" i="1"/>
  <c r="J101" i="1"/>
  <c r="I101" i="1"/>
  <c r="H101" i="1"/>
  <c r="G101" i="1"/>
  <c r="K100" i="1"/>
  <c r="J100" i="1"/>
  <c r="I100" i="1"/>
  <c r="F75" i="6" l="1"/>
  <c r="M75" i="6"/>
  <c r="L105" i="1"/>
  <c r="E75" i="6"/>
  <c r="H122" i="8"/>
  <c r="F122" i="8"/>
  <c r="E101" i="1"/>
  <c r="J122" i="8"/>
  <c r="N122" i="8"/>
  <c r="L122" i="8"/>
  <c r="N101" i="1"/>
  <c r="M122" i="8"/>
  <c r="K122" i="8"/>
  <c r="O122" i="8"/>
  <c r="H100" i="1"/>
  <c r="L100" i="1"/>
  <c r="F100" i="1"/>
  <c r="P66" i="8"/>
  <c r="P70" i="8"/>
  <c r="P118" i="8" s="1"/>
  <c r="G92" i="8"/>
  <c r="G52" i="8"/>
  <c r="F101" i="3"/>
  <c r="Q89" i="8"/>
  <c r="G50" i="3"/>
  <c r="G46" i="3"/>
  <c r="E11" i="4"/>
  <c r="E12" i="4"/>
  <c r="I51" i="8"/>
  <c r="G101" i="3" l="1"/>
  <c r="G102" i="3" s="1"/>
  <c r="F102" i="3"/>
  <c r="F115" i="1"/>
  <c r="I115" i="8"/>
  <c r="G100" i="1" s="1"/>
  <c r="I100" i="8"/>
  <c r="G100" i="8"/>
  <c r="G115" i="8"/>
  <c r="E100" i="1" s="1"/>
  <c r="P117" i="8"/>
  <c r="P122" i="8" s="1"/>
  <c r="P100" i="8"/>
  <c r="G121" i="8"/>
  <c r="E106" i="1" s="1"/>
  <c r="K182" i="11"/>
  <c r="I182" i="11"/>
  <c r="G182" i="11"/>
  <c r="J182" i="11" s="1"/>
  <c r="K285" i="11"/>
  <c r="I285" i="11"/>
  <c r="G285" i="11"/>
  <c r="J285" i="11" s="1"/>
  <c r="K238" i="11"/>
  <c r="I238" i="11"/>
  <c r="G238" i="11"/>
  <c r="J238" i="11" s="1"/>
  <c r="K185" i="11"/>
  <c r="I185" i="11"/>
  <c r="G185" i="11"/>
  <c r="J185" i="11" s="1"/>
  <c r="K129" i="11"/>
  <c r="I129" i="11"/>
  <c r="G129" i="11"/>
  <c r="J129" i="11" s="1"/>
  <c r="K63" i="11"/>
  <c r="I63" i="11"/>
  <c r="G63" i="11"/>
  <c r="J63" i="11" s="1"/>
  <c r="K104" i="11"/>
  <c r="I104" i="11"/>
  <c r="G104" i="11"/>
  <c r="J104" i="11" s="1"/>
  <c r="K32" i="11"/>
  <c r="I32" i="11"/>
  <c r="G32" i="11"/>
  <c r="J32" i="11" s="1"/>
  <c r="G101" i="8" l="1"/>
  <c r="E115" i="1"/>
  <c r="I101" i="8"/>
  <c r="G115" i="1"/>
  <c r="P101" i="8"/>
  <c r="N115" i="1"/>
  <c r="G122" i="8"/>
  <c r="N102" i="1"/>
  <c r="I122" i="8"/>
  <c r="K91" i="11"/>
  <c r="I91" i="11"/>
  <c r="G91" i="11"/>
  <c r="J91" i="11" s="1"/>
  <c r="E274" i="11" l="1"/>
  <c r="K274" i="11" s="1"/>
  <c r="D274" i="11"/>
  <c r="C274" i="11"/>
  <c r="E273" i="11"/>
  <c r="I273" i="11" s="1"/>
  <c r="D273" i="11"/>
  <c r="C273" i="11"/>
  <c r="E272" i="11"/>
  <c r="K272" i="11" s="1"/>
  <c r="D272" i="11"/>
  <c r="C272" i="11"/>
  <c r="B274" i="11"/>
  <c r="B273" i="11"/>
  <c r="B272" i="11"/>
  <c r="E123" i="11"/>
  <c r="K123" i="11" s="1"/>
  <c r="D123" i="11"/>
  <c r="C123" i="11"/>
  <c r="E122" i="11"/>
  <c r="K122" i="11" s="1"/>
  <c r="D122" i="11"/>
  <c r="C122" i="11"/>
  <c r="B123" i="11"/>
  <c r="B122" i="11"/>
  <c r="E140" i="11"/>
  <c r="K140" i="11" s="1"/>
  <c r="D140" i="11"/>
  <c r="C140" i="11"/>
  <c r="B140" i="11"/>
  <c r="G50" i="11"/>
  <c r="K77" i="11"/>
  <c r="I77" i="11"/>
  <c r="G77" i="11"/>
  <c r="J77" i="11" s="1"/>
  <c r="K273" i="11" l="1"/>
  <c r="I123" i="11"/>
  <c r="I272" i="11"/>
  <c r="I274" i="11"/>
  <c r="I122" i="11"/>
  <c r="J140" i="11"/>
  <c r="K297" i="11"/>
  <c r="I297" i="11"/>
  <c r="K296" i="11"/>
  <c r="I296" i="11"/>
  <c r="K294" i="11"/>
  <c r="I294" i="11"/>
  <c r="K293" i="11"/>
  <c r="I293" i="11"/>
  <c r="K292" i="11"/>
  <c r="I292" i="11"/>
  <c r="K291" i="11"/>
  <c r="I291" i="11"/>
  <c r="K290" i="11"/>
  <c r="I290" i="11"/>
  <c r="K289" i="11"/>
  <c r="I289" i="11"/>
  <c r="K288" i="11"/>
  <c r="I288" i="11"/>
  <c r="K287" i="11"/>
  <c r="I287" i="11"/>
  <c r="K286" i="11"/>
  <c r="I286" i="11"/>
  <c r="K284" i="11"/>
  <c r="I284" i="11"/>
  <c r="K283" i="11"/>
  <c r="I283" i="11"/>
  <c r="K282" i="11"/>
  <c r="I282" i="11"/>
  <c r="K281" i="11"/>
  <c r="I281" i="11"/>
  <c r="K280" i="11"/>
  <c r="I280" i="11"/>
  <c r="K279" i="11"/>
  <c r="I279" i="11"/>
  <c r="K278" i="11"/>
  <c r="I278" i="11"/>
  <c r="K277" i="11"/>
  <c r="I277" i="11"/>
  <c r="K276" i="11"/>
  <c r="J276" i="11"/>
  <c r="I276" i="11"/>
  <c r="K275" i="11"/>
  <c r="J275" i="11"/>
  <c r="I275" i="11"/>
  <c r="K271" i="11"/>
  <c r="J271" i="11"/>
  <c r="K270" i="11"/>
  <c r="J270" i="11"/>
  <c r="I270" i="11"/>
  <c r="K269" i="11"/>
  <c r="J269" i="11"/>
  <c r="I269" i="11"/>
  <c r="K268" i="11"/>
  <c r="J268" i="11"/>
  <c r="I268" i="11"/>
  <c r="K267" i="11"/>
  <c r="J267" i="11"/>
  <c r="I267" i="11"/>
  <c r="K266" i="11"/>
  <c r="J266" i="11"/>
  <c r="I266" i="11"/>
  <c r="J265" i="11"/>
  <c r="I265" i="11"/>
  <c r="K264" i="11"/>
  <c r="I264" i="11"/>
  <c r="K263" i="11"/>
  <c r="I263" i="11"/>
  <c r="K262" i="11"/>
  <c r="I262" i="11"/>
  <c r="K261" i="11"/>
  <c r="I261" i="11"/>
  <c r="K260" i="11"/>
  <c r="I260" i="11"/>
  <c r="K259" i="11"/>
  <c r="I259" i="11"/>
  <c r="H299" i="11"/>
  <c r="H253" i="11"/>
  <c r="K251" i="11"/>
  <c r="I251" i="11"/>
  <c r="K250" i="11"/>
  <c r="J250" i="11"/>
  <c r="K249" i="11"/>
  <c r="I249" i="11"/>
  <c r="K247" i="11"/>
  <c r="I247" i="11"/>
  <c r="K246" i="11"/>
  <c r="I246" i="11"/>
  <c r="K245" i="11"/>
  <c r="I245" i="11"/>
  <c r="K244" i="11"/>
  <c r="I244" i="11"/>
  <c r="K243" i="11"/>
  <c r="I243" i="11"/>
  <c r="K242" i="11"/>
  <c r="I242" i="11"/>
  <c r="K241" i="11"/>
  <c r="J241" i="11"/>
  <c r="I241" i="11"/>
  <c r="K240" i="11"/>
  <c r="I240" i="11"/>
  <c r="K239" i="11"/>
  <c r="I239" i="11"/>
  <c r="K237" i="11"/>
  <c r="I237" i="11"/>
  <c r="K236" i="11"/>
  <c r="I236" i="11"/>
  <c r="K235" i="11"/>
  <c r="I235" i="11"/>
  <c r="K234" i="11"/>
  <c r="I234" i="11"/>
  <c r="K233" i="11"/>
  <c r="I233" i="11"/>
  <c r="K232" i="11"/>
  <c r="J232" i="11"/>
  <c r="K231" i="11"/>
  <c r="I231" i="11"/>
  <c r="K230" i="11"/>
  <c r="I230" i="11"/>
  <c r="K229" i="11"/>
  <c r="I229" i="11"/>
  <c r="K228" i="11"/>
  <c r="I228" i="11"/>
  <c r="K227" i="11"/>
  <c r="I227" i="11"/>
  <c r="K226" i="11"/>
  <c r="I226" i="11"/>
  <c r="K225" i="11"/>
  <c r="J225" i="11"/>
  <c r="K224" i="11"/>
  <c r="I224" i="11"/>
  <c r="K223" i="11"/>
  <c r="I223" i="11"/>
  <c r="K222" i="11"/>
  <c r="J222" i="11"/>
  <c r="I222" i="11"/>
  <c r="K221" i="11"/>
  <c r="J221" i="11"/>
  <c r="I221" i="11"/>
  <c r="K220" i="11"/>
  <c r="J220" i="11"/>
  <c r="I220" i="11"/>
  <c r="K219" i="11"/>
  <c r="J219" i="11"/>
  <c r="I219" i="11"/>
  <c r="K218" i="11"/>
  <c r="J218" i="11"/>
  <c r="I218" i="11"/>
  <c r="K217" i="11"/>
  <c r="J217" i="11"/>
  <c r="I217" i="11"/>
  <c r="K216" i="11"/>
  <c r="J216" i="11"/>
  <c r="I216" i="11"/>
  <c r="K215" i="11"/>
  <c r="I215" i="11"/>
  <c r="J214" i="11"/>
  <c r="I214" i="11"/>
  <c r="K213" i="11"/>
  <c r="I213" i="11"/>
  <c r="K212" i="11"/>
  <c r="I212" i="11"/>
  <c r="K211" i="11"/>
  <c r="I211" i="11"/>
  <c r="K210" i="11"/>
  <c r="I210" i="11"/>
  <c r="K209" i="11"/>
  <c r="I209" i="11"/>
  <c r="K208" i="11"/>
  <c r="I208" i="11"/>
  <c r="K207" i="11"/>
  <c r="J207" i="11"/>
  <c r="I207" i="11"/>
  <c r="K206" i="11"/>
  <c r="J206" i="11"/>
  <c r="I206" i="11"/>
  <c r="K205" i="11"/>
  <c r="I205" i="11"/>
  <c r="I197" i="11"/>
  <c r="I194" i="11"/>
  <c r="I193" i="11"/>
  <c r="I192" i="11"/>
  <c r="I191" i="11"/>
  <c r="I190" i="11"/>
  <c r="I189" i="11"/>
  <c r="I188" i="11"/>
  <c r="I187" i="11"/>
  <c r="I186" i="11"/>
  <c r="I184" i="11"/>
  <c r="I183" i="11"/>
  <c r="I181" i="11"/>
  <c r="I180" i="11"/>
  <c r="I179" i="11"/>
  <c r="I178" i="11"/>
  <c r="I177" i="11"/>
  <c r="I175" i="11"/>
  <c r="I174" i="11"/>
  <c r="I173" i="11"/>
  <c r="I172" i="11"/>
  <c r="I171" i="11"/>
  <c r="I170" i="11"/>
  <c r="I169" i="11"/>
  <c r="I165" i="11"/>
  <c r="I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68" i="11"/>
  <c r="K197" i="11"/>
  <c r="K196" i="11"/>
  <c r="J196" i="11"/>
  <c r="H199" i="11"/>
  <c r="K194" i="11"/>
  <c r="K193" i="11"/>
  <c r="J193" i="11"/>
  <c r="K192" i="11"/>
  <c r="J192" i="11"/>
  <c r="K191" i="11"/>
  <c r="J191" i="11"/>
  <c r="K190" i="11"/>
  <c r="J190" i="11"/>
  <c r="K189" i="11"/>
  <c r="J189" i="11"/>
  <c r="K188" i="11"/>
  <c r="J188" i="11"/>
  <c r="K187" i="11"/>
  <c r="K186" i="11"/>
  <c r="K184" i="11"/>
  <c r="K183" i="11"/>
  <c r="K181" i="11"/>
  <c r="K180" i="11"/>
  <c r="K179" i="11"/>
  <c r="K178" i="11"/>
  <c r="K177" i="11"/>
  <c r="K176" i="11"/>
  <c r="J176" i="11"/>
  <c r="K175" i="11"/>
  <c r="K174" i="11"/>
  <c r="K173" i="11"/>
  <c r="K172" i="11"/>
  <c r="K171" i="11"/>
  <c r="K170" i="11"/>
  <c r="K169" i="11"/>
  <c r="J169" i="11"/>
  <c r="K168" i="11"/>
  <c r="J168" i="11"/>
  <c r="K167" i="11"/>
  <c r="J167" i="11"/>
  <c r="K166" i="11"/>
  <c r="J166" i="11"/>
  <c r="K165" i="11"/>
  <c r="K164" i="11"/>
  <c r="K163" i="11"/>
  <c r="J163" i="11"/>
  <c r="K162" i="11"/>
  <c r="J162" i="11"/>
  <c r="K161" i="11"/>
  <c r="J161" i="11"/>
  <c r="K160" i="11"/>
  <c r="J160" i="11"/>
  <c r="K159" i="11"/>
  <c r="J159" i="11"/>
  <c r="K158" i="11"/>
  <c r="J157" i="11"/>
  <c r="K156" i="11"/>
  <c r="K155" i="11"/>
  <c r="K154" i="11"/>
  <c r="K153" i="11"/>
  <c r="K152" i="11"/>
  <c r="K151" i="11"/>
  <c r="K150" i="11"/>
  <c r="J149" i="11"/>
  <c r="K148" i="11"/>
  <c r="K147" i="11"/>
  <c r="K139" i="11"/>
  <c r="K138" i="11"/>
  <c r="K136" i="11"/>
  <c r="K135" i="11"/>
  <c r="K134" i="11"/>
  <c r="K133" i="11"/>
  <c r="K132" i="11"/>
  <c r="K131" i="11"/>
  <c r="K130" i="11"/>
  <c r="K128" i="11"/>
  <c r="K127" i="11"/>
  <c r="K126" i="11"/>
  <c r="K125" i="11"/>
  <c r="K124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3" i="11"/>
  <c r="K101" i="11"/>
  <c r="K100" i="11"/>
  <c r="K99" i="11"/>
  <c r="K98" i="11"/>
  <c r="K97" i="11"/>
  <c r="K96" i="11"/>
  <c r="K95" i="11"/>
  <c r="K94" i="11"/>
  <c r="K93" i="11"/>
  <c r="K92" i="11"/>
  <c r="K90" i="11"/>
  <c r="K88" i="11"/>
  <c r="K87" i="11"/>
  <c r="K86" i="11"/>
  <c r="K78" i="11"/>
  <c r="K76" i="11"/>
  <c r="K75" i="11"/>
  <c r="K74" i="11"/>
  <c r="K72" i="11"/>
  <c r="K71" i="11"/>
  <c r="K70" i="11"/>
  <c r="K69" i="11"/>
  <c r="K68" i="11"/>
  <c r="K67" i="11"/>
  <c r="K66" i="11"/>
  <c r="K65" i="11"/>
  <c r="K64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1" i="11"/>
  <c r="K30" i="11"/>
  <c r="K29" i="11"/>
  <c r="K28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H141" i="11"/>
  <c r="I139" i="11"/>
  <c r="J138" i="11"/>
  <c r="I136" i="11"/>
  <c r="I135" i="11"/>
  <c r="I134" i="11"/>
  <c r="J133" i="11"/>
  <c r="J132" i="11"/>
  <c r="I131" i="11"/>
  <c r="I130" i="11"/>
  <c r="I128" i="11"/>
  <c r="I127" i="11"/>
  <c r="I126" i="11"/>
  <c r="I125" i="11"/>
  <c r="I124" i="11"/>
  <c r="I121" i="11"/>
  <c r="I120" i="11"/>
  <c r="I119" i="11"/>
  <c r="I118" i="11"/>
  <c r="I117" i="11"/>
  <c r="J116" i="11"/>
  <c r="I115" i="11"/>
  <c r="J114" i="11"/>
  <c r="I114" i="11"/>
  <c r="J113" i="11"/>
  <c r="I113" i="11"/>
  <c r="J112" i="11"/>
  <c r="I112" i="11"/>
  <c r="J111" i="11"/>
  <c r="I111" i="11"/>
  <c r="I110" i="11"/>
  <c r="I109" i="11"/>
  <c r="I108" i="11"/>
  <c r="J107" i="11"/>
  <c r="I107" i="11"/>
  <c r="J106" i="11"/>
  <c r="I106" i="11"/>
  <c r="J105" i="11"/>
  <c r="I105" i="11"/>
  <c r="I103" i="11"/>
  <c r="J102" i="11"/>
  <c r="I102" i="11"/>
  <c r="I101" i="11"/>
  <c r="I100" i="11"/>
  <c r="I99" i="11"/>
  <c r="I98" i="11"/>
  <c r="I97" i="11"/>
  <c r="I96" i="11"/>
  <c r="I95" i="11"/>
  <c r="I94" i="11"/>
  <c r="I93" i="11"/>
  <c r="I92" i="11"/>
  <c r="I90" i="11"/>
  <c r="J89" i="11"/>
  <c r="I89" i="11"/>
  <c r="J88" i="11"/>
  <c r="I88" i="11"/>
  <c r="I87" i="11"/>
  <c r="I86" i="11"/>
  <c r="I72" i="11"/>
  <c r="I71" i="11"/>
  <c r="J70" i="11"/>
  <c r="I70" i="11"/>
  <c r="J69" i="11"/>
  <c r="I69" i="11"/>
  <c r="J68" i="11"/>
  <c r="I68" i="11"/>
  <c r="J67" i="11"/>
  <c r="I67" i="11"/>
  <c r="J66" i="11"/>
  <c r="I66" i="11"/>
  <c r="J65" i="11"/>
  <c r="I65" i="11"/>
  <c r="J64" i="11"/>
  <c r="I64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J50" i="11"/>
  <c r="I49" i="11"/>
  <c r="J48" i="11"/>
  <c r="I48" i="11"/>
  <c r="I47" i="11"/>
  <c r="J46" i="11"/>
  <c r="I46" i="11"/>
  <c r="J45" i="11"/>
  <c r="I45" i="11"/>
  <c r="J44" i="11"/>
  <c r="I44" i="11"/>
  <c r="I43" i="11"/>
  <c r="I42" i="11"/>
  <c r="J41" i="11"/>
  <c r="I41" i="11"/>
  <c r="J40" i="11"/>
  <c r="I40" i="11"/>
  <c r="J39" i="11"/>
  <c r="I39" i="11"/>
  <c r="J38" i="11"/>
  <c r="I38" i="11"/>
  <c r="I37" i="11"/>
  <c r="I36" i="11"/>
  <c r="J35" i="11"/>
  <c r="I35" i="11"/>
  <c r="J34" i="11"/>
  <c r="I34" i="11"/>
  <c r="J33" i="11"/>
  <c r="I33" i="11"/>
  <c r="J31" i="11"/>
  <c r="I31" i="11"/>
  <c r="J30" i="11"/>
  <c r="I30" i="11"/>
  <c r="J29" i="11"/>
  <c r="I28" i="11"/>
  <c r="J27" i="11"/>
  <c r="I27" i="11"/>
  <c r="I26" i="11"/>
  <c r="I25" i="11"/>
  <c r="I24" i="11"/>
  <c r="I23" i="11"/>
  <c r="I22" i="11"/>
  <c r="I21" i="11"/>
  <c r="I20" i="11"/>
  <c r="I19" i="11"/>
  <c r="I18" i="11"/>
  <c r="J17" i="11"/>
  <c r="I17" i="11"/>
  <c r="J16" i="11"/>
  <c r="I16" i="11"/>
  <c r="J15" i="11"/>
  <c r="I15" i="11"/>
  <c r="J14" i="11"/>
  <c r="I14" i="11"/>
  <c r="J13" i="11"/>
  <c r="I13" i="11"/>
  <c r="I12" i="11"/>
  <c r="I11" i="11"/>
  <c r="I10" i="11"/>
  <c r="J9" i="11"/>
  <c r="I9" i="11"/>
  <c r="J78" i="11"/>
  <c r="I78" i="11"/>
  <c r="J76" i="11"/>
  <c r="J75" i="11"/>
  <c r="J74" i="11"/>
  <c r="H80" i="11" l="1"/>
  <c r="G64" i="11"/>
  <c r="G116" i="11" l="1"/>
  <c r="I116" i="11" s="1"/>
  <c r="I50" i="11"/>
  <c r="G10" i="11"/>
  <c r="J10" i="11" s="1"/>
  <c r="K6" i="10"/>
  <c r="J6" i="10"/>
  <c r="I6" i="10"/>
  <c r="H6" i="10"/>
  <c r="G6" i="10"/>
  <c r="G37" i="11" l="1"/>
  <c r="J37" i="11" s="1"/>
  <c r="K57" i="10"/>
  <c r="J57" i="10"/>
  <c r="I57" i="10"/>
  <c r="H57" i="10"/>
  <c r="G57" i="10"/>
  <c r="G296" i="11"/>
  <c r="J296" i="11" s="1"/>
  <c r="G250" i="11"/>
  <c r="I250" i="11" s="1"/>
  <c r="G249" i="11"/>
  <c r="J249" i="11" s="1"/>
  <c r="G196" i="11"/>
  <c r="I196" i="11" s="1"/>
  <c r="G138" i="11"/>
  <c r="I138" i="11" s="1"/>
  <c r="G297" i="11"/>
  <c r="J297" i="11" s="1"/>
  <c r="G293" i="11"/>
  <c r="J293" i="11" s="1"/>
  <c r="G292" i="11"/>
  <c r="J292" i="11" s="1"/>
  <c r="G291" i="11"/>
  <c r="J291" i="11" s="1"/>
  <c r="G290" i="11"/>
  <c r="J290" i="11" s="1"/>
  <c r="G289" i="11"/>
  <c r="J289" i="11" s="1"/>
  <c r="G288" i="11"/>
  <c r="J288" i="11" s="1"/>
  <c r="G287" i="11"/>
  <c r="J287" i="11" s="1"/>
  <c r="G286" i="11"/>
  <c r="J286" i="11" s="1"/>
  <c r="G284" i="11"/>
  <c r="J284" i="11" s="1"/>
  <c r="G283" i="11"/>
  <c r="J283" i="11" s="1"/>
  <c r="G281" i="11"/>
  <c r="J281" i="11" s="1"/>
  <c r="G280" i="11"/>
  <c r="J280" i="11" s="1"/>
  <c r="G279" i="11"/>
  <c r="J279" i="11" s="1"/>
  <c r="G278" i="11"/>
  <c r="J278" i="11" s="1"/>
  <c r="G277" i="11"/>
  <c r="J277" i="11" s="1"/>
  <c r="G276" i="11"/>
  <c r="G275" i="11"/>
  <c r="G271" i="11"/>
  <c r="I271" i="11" s="1"/>
  <c r="I299" i="11" s="1"/>
  <c r="G270" i="11"/>
  <c r="G269" i="11"/>
  <c r="G268" i="11"/>
  <c r="G267" i="11"/>
  <c r="G266" i="11"/>
  <c r="G265" i="11"/>
  <c r="K265" i="11" s="1"/>
  <c r="K299" i="11" s="1"/>
  <c r="G264" i="11"/>
  <c r="J264" i="11" s="1"/>
  <c r="G263" i="11"/>
  <c r="J263" i="11" s="1"/>
  <c r="G262" i="11"/>
  <c r="J262" i="11" s="1"/>
  <c r="G261" i="11"/>
  <c r="J261" i="11" s="1"/>
  <c r="G260" i="11"/>
  <c r="J260" i="11" s="1"/>
  <c r="G259" i="11"/>
  <c r="J259" i="11" s="1"/>
  <c r="G251" i="11"/>
  <c r="J251" i="11" s="1"/>
  <c r="G246" i="11"/>
  <c r="J246" i="11" s="1"/>
  <c r="G245" i="11"/>
  <c r="J245" i="11" s="1"/>
  <c r="G244" i="11"/>
  <c r="J244" i="11" s="1"/>
  <c r="G243" i="11"/>
  <c r="J243" i="11" s="1"/>
  <c r="G242" i="11"/>
  <c r="J242" i="11" s="1"/>
  <c r="G241" i="11"/>
  <c r="G240" i="11"/>
  <c r="J240" i="11" s="1"/>
  <c r="G239" i="11"/>
  <c r="J239" i="11" s="1"/>
  <c r="G235" i="11"/>
  <c r="J235" i="11" s="1"/>
  <c r="G234" i="11"/>
  <c r="J234" i="11" s="1"/>
  <c r="G233" i="11"/>
  <c r="J233" i="11" s="1"/>
  <c r="G232" i="11"/>
  <c r="I232" i="11" s="1"/>
  <c r="G231" i="11"/>
  <c r="J231" i="11" s="1"/>
  <c r="G230" i="11"/>
  <c r="J230" i="11" s="1"/>
  <c r="G229" i="11"/>
  <c r="J229" i="11" s="1"/>
  <c r="G228" i="11"/>
  <c r="J228" i="11" s="1"/>
  <c r="G227" i="11"/>
  <c r="J227" i="11" s="1"/>
  <c r="G226" i="11"/>
  <c r="J226" i="11" s="1"/>
  <c r="G225" i="11"/>
  <c r="I225" i="11" s="1"/>
  <c r="G224" i="11"/>
  <c r="J224" i="11" s="1"/>
  <c r="G223" i="11"/>
  <c r="J223" i="11" s="1"/>
  <c r="G222" i="11"/>
  <c r="G274" i="11" s="1"/>
  <c r="J274" i="11" s="1"/>
  <c r="G221" i="11"/>
  <c r="G273" i="11" s="1"/>
  <c r="J273" i="11" s="1"/>
  <c r="G220" i="11"/>
  <c r="G272" i="11" s="1"/>
  <c r="J272" i="11" s="1"/>
  <c r="G219" i="11"/>
  <c r="G218" i="11"/>
  <c r="G217" i="11"/>
  <c r="G216" i="11"/>
  <c r="G215" i="11"/>
  <c r="J215" i="11" s="1"/>
  <c r="G214" i="11"/>
  <c r="K214" i="11" s="1"/>
  <c r="K253" i="11" s="1"/>
  <c r="G213" i="11"/>
  <c r="J213" i="11" s="1"/>
  <c r="G212" i="11"/>
  <c r="J212" i="11" s="1"/>
  <c r="G211" i="11"/>
  <c r="J211" i="11" s="1"/>
  <c r="G210" i="11"/>
  <c r="J210" i="11" s="1"/>
  <c r="G209" i="11"/>
  <c r="J209" i="11" s="1"/>
  <c r="G208" i="11"/>
  <c r="J208" i="11" s="1"/>
  <c r="G207" i="11"/>
  <c r="G206" i="11"/>
  <c r="G205" i="11"/>
  <c r="J205" i="11" s="1"/>
  <c r="G197" i="11"/>
  <c r="J197" i="11" s="1"/>
  <c r="G193" i="11"/>
  <c r="G192" i="11"/>
  <c r="G191" i="11"/>
  <c r="G190" i="11"/>
  <c r="G189" i="11"/>
  <c r="G188" i="11"/>
  <c r="G187" i="11"/>
  <c r="J187" i="11" s="1"/>
  <c r="G186" i="11"/>
  <c r="J186" i="11" s="1"/>
  <c r="G184" i="11"/>
  <c r="J184" i="11" s="1"/>
  <c r="G183" i="11"/>
  <c r="J183" i="11" s="1"/>
  <c r="G181" i="11"/>
  <c r="J181" i="11" s="1"/>
  <c r="G179" i="11"/>
  <c r="J179" i="11" s="1"/>
  <c r="G178" i="11"/>
  <c r="J178" i="11" s="1"/>
  <c r="G177" i="11"/>
  <c r="J177" i="11" s="1"/>
  <c r="G176" i="11"/>
  <c r="I176" i="11" s="1"/>
  <c r="G175" i="11"/>
  <c r="J175" i="11" s="1"/>
  <c r="G174" i="11"/>
  <c r="J174" i="11" s="1"/>
  <c r="G173" i="11"/>
  <c r="J173" i="11" s="1"/>
  <c r="G172" i="11"/>
  <c r="J172" i="11" s="1"/>
  <c r="G171" i="11"/>
  <c r="J171" i="11" s="1"/>
  <c r="G170" i="11"/>
  <c r="J170" i="11" s="1"/>
  <c r="G169" i="11"/>
  <c r="G168" i="11"/>
  <c r="G167" i="11"/>
  <c r="I167" i="11" s="1"/>
  <c r="G166" i="11"/>
  <c r="I166" i="11" s="1"/>
  <c r="G165" i="11"/>
  <c r="J165" i="11" s="1"/>
  <c r="G164" i="11"/>
  <c r="J164" i="11" s="1"/>
  <c r="G163" i="11"/>
  <c r="G162" i="11"/>
  <c r="G161" i="11"/>
  <c r="G160" i="11"/>
  <c r="G159" i="11"/>
  <c r="G158" i="11"/>
  <c r="J158" i="11" s="1"/>
  <c r="G157" i="11"/>
  <c r="K157" i="11" s="1"/>
  <c r="G156" i="11"/>
  <c r="J156" i="11" s="1"/>
  <c r="G155" i="11"/>
  <c r="J155" i="11" s="1"/>
  <c r="G154" i="11"/>
  <c r="J154" i="11" s="1"/>
  <c r="G153" i="11"/>
  <c r="J153" i="11" s="1"/>
  <c r="G152" i="11"/>
  <c r="J152" i="11" s="1"/>
  <c r="G151" i="11"/>
  <c r="J151" i="11" s="1"/>
  <c r="G150" i="11"/>
  <c r="J150" i="11" s="1"/>
  <c r="G149" i="11"/>
  <c r="K149" i="11" s="1"/>
  <c r="G148" i="11"/>
  <c r="J148" i="11" s="1"/>
  <c r="G147" i="11"/>
  <c r="J147" i="11" s="1"/>
  <c r="G139" i="11"/>
  <c r="J139" i="11" s="1"/>
  <c r="G135" i="11"/>
  <c r="J135" i="11" s="1"/>
  <c r="G134" i="11"/>
  <c r="J134" i="11" s="1"/>
  <c r="G133" i="11"/>
  <c r="I133" i="11" s="1"/>
  <c r="G132" i="11"/>
  <c r="I132" i="11" s="1"/>
  <c r="G131" i="11"/>
  <c r="J131" i="11" s="1"/>
  <c r="G130" i="11"/>
  <c r="J130" i="11" s="1"/>
  <c r="G128" i="11"/>
  <c r="J128" i="11" s="1"/>
  <c r="G127" i="11"/>
  <c r="J127" i="11" s="1"/>
  <c r="G126" i="11"/>
  <c r="J126" i="11" s="1"/>
  <c r="G125" i="11"/>
  <c r="J125" i="11" s="1"/>
  <c r="G121" i="11"/>
  <c r="J121" i="11" s="1"/>
  <c r="G120" i="11"/>
  <c r="J120" i="11" s="1"/>
  <c r="G119" i="11"/>
  <c r="J119" i="11" s="1"/>
  <c r="G118" i="11"/>
  <c r="J118" i="11" s="1"/>
  <c r="G117" i="11"/>
  <c r="J117" i="11" s="1"/>
  <c r="G115" i="11"/>
  <c r="J115" i="11" s="1"/>
  <c r="G114" i="11"/>
  <c r="G113" i="11"/>
  <c r="G112" i="11"/>
  <c r="G111" i="11"/>
  <c r="G110" i="11"/>
  <c r="J110" i="11" s="1"/>
  <c r="G109" i="11"/>
  <c r="J109" i="11" s="1"/>
  <c r="G108" i="11"/>
  <c r="J108" i="11" s="1"/>
  <c r="G107" i="11"/>
  <c r="G106" i="11"/>
  <c r="G105" i="11"/>
  <c r="G103" i="11"/>
  <c r="J103" i="11" s="1"/>
  <c r="G102" i="11"/>
  <c r="K102" i="11" s="1"/>
  <c r="G101" i="11"/>
  <c r="J101" i="11" s="1"/>
  <c r="G100" i="11"/>
  <c r="J100" i="11" s="1"/>
  <c r="G99" i="11"/>
  <c r="J99" i="11" s="1"/>
  <c r="G98" i="11"/>
  <c r="J98" i="11" s="1"/>
  <c r="G97" i="11"/>
  <c r="J97" i="11" s="1"/>
  <c r="G96" i="11"/>
  <c r="J96" i="11" s="1"/>
  <c r="G95" i="11"/>
  <c r="J95" i="11" s="1"/>
  <c r="G94" i="11"/>
  <c r="J94" i="11" s="1"/>
  <c r="G93" i="11"/>
  <c r="J93" i="11" s="1"/>
  <c r="G92" i="11"/>
  <c r="J92" i="11" s="1"/>
  <c r="G90" i="11"/>
  <c r="J90" i="11" s="1"/>
  <c r="G89" i="11"/>
  <c r="K89" i="11" s="1"/>
  <c r="G88" i="11"/>
  <c r="G87" i="11"/>
  <c r="J87" i="11" s="1"/>
  <c r="G86" i="11"/>
  <c r="J86" i="11" s="1"/>
  <c r="G78" i="11"/>
  <c r="G140" i="11" s="1"/>
  <c r="I140" i="11" s="1"/>
  <c r="G76" i="11"/>
  <c r="I76" i="11" s="1"/>
  <c r="G74" i="11"/>
  <c r="I74" i="11" s="1"/>
  <c r="G72" i="11"/>
  <c r="J72" i="11" s="1"/>
  <c r="G70" i="11"/>
  <c r="G68" i="11"/>
  <c r="G67" i="11"/>
  <c r="G66" i="11"/>
  <c r="G65" i="11"/>
  <c r="G61" i="11"/>
  <c r="J61" i="11" s="1"/>
  <c r="G59" i="11"/>
  <c r="J59" i="11" s="1"/>
  <c r="G58" i="11"/>
  <c r="J58" i="11" s="1"/>
  <c r="G57" i="11"/>
  <c r="G56" i="11"/>
  <c r="G55" i="11"/>
  <c r="J55" i="11" s="1"/>
  <c r="G54" i="11"/>
  <c r="J54" i="11" s="1"/>
  <c r="G53" i="11"/>
  <c r="J53" i="11" s="1"/>
  <c r="G52" i="11"/>
  <c r="J52" i="11" s="1"/>
  <c r="G51" i="11"/>
  <c r="J51" i="11" s="1"/>
  <c r="G49" i="11"/>
  <c r="J49" i="11" s="1"/>
  <c r="G48" i="11"/>
  <c r="G47" i="11"/>
  <c r="J47" i="11" s="1"/>
  <c r="G46" i="11"/>
  <c r="G45" i="11"/>
  <c r="G44" i="11"/>
  <c r="G43" i="11"/>
  <c r="J43" i="11" s="1"/>
  <c r="G42" i="11"/>
  <c r="G41" i="11"/>
  <c r="G40" i="11"/>
  <c r="G39" i="11"/>
  <c r="G38" i="11"/>
  <c r="G36" i="11"/>
  <c r="J36" i="11" s="1"/>
  <c r="G35" i="11"/>
  <c r="G34" i="11"/>
  <c r="G33" i="11"/>
  <c r="G31" i="11"/>
  <c r="G30" i="11"/>
  <c r="G29" i="11"/>
  <c r="I29" i="11" s="1"/>
  <c r="G28" i="11"/>
  <c r="J28" i="11" s="1"/>
  <c r="G27" i="11"/>
  <c r="K27" i="11" s="1"/>
  <c r="K80" i="11" s="1"/>
  <c r="G26" i="11"/>
  <c r="J26" i="11" s="1"/>
  <c r="G25" i="11"/>
  <c r="J25" i="11" s="1"/>
  <c r="G24" i="11"/>
  <c r="J24" i="11" s="1"/>
  <c r="G23" i="11"/>
  <c r="J23" i="11" s="1"/>
  <c r="G22" i="11"/>
  <c r="J22" i="11" s="1"/>
  <c r="G21" i="11"/>
  <c r="J21" i="11" s="1"/>
  <c r="G20" i="11"/>
  <c r="J20" i="11" s="1"/>
  <c r="G19" i="11"/>
  <c r="J19" i="11" s="1"/>
  <c r="G18" i="11"/>
  <c r="J18" i="11" s="1"/>
  <c r="G17" i="11"/>
  <c r="G16" i="11"/>
  <c r="G15" i="11"/>
  <c r="G14" i="11"/>
  <c r="G13" i="11"/>
  <c r="G12" i="11"/>
  <c r="J12" i="11" s="1"/>
  <c r="G11" i="11"/>
  <c r="J11" i="11" s="1"/>
  <c r="G9" i="11"/>
  <c r="K186" i="10"/>
  <c r="J186" i="10"/>
  <c r="I186" i="10"/>
  <c r="H186" i="10"/>
  <c r="K185" i="10"/>
  <c r="J185" i="10"/>
  <c r="I185" i="10"/>
  <c r="H185" i="10"/>
  <c r="G186" i="10"/>
  <c r="G185" i="10"/>
  <c r="K183" i="10"/>
  <c r="J183" i="10"/>
  <c r="I183" i="10"/>
  <c r="H183" i="10"/>
  <c r="K182" i="10"/>
  <c r="J182" i="10"/>
  <c r="I182" i="10"/>
  <c r="H182" i="10"/>
  <c r="K180" i="10"/>
  <c r="J180" i="10"/>
  <c r="I180" i="10"/>
  <c r="H180" i="10"/>
  <c r="K179" i="10"/>
  <c r="J179" i="10"/>
  <c r="I179" i="10"/>
  <c r="H179" i="10"/>
  <c r="K178" i="10"/>
  <c r="J178" i="10"/>
  <c r="I178" i="10"/>
  <c r="H178" i="10"/>
  <c r="K177" i="10"/>
  <c r="J177" i="10"/>
  <c r="I177" i="10"/>
  <c r="H177" i="10"/>
  <c r="K176" i="10"/>
  <c r="J176" i="10"/>
  <c r="I176" i="10"/>
  <c r="H176" i="10"/>
  <c r="K175" i="10"/>
  <c r="J175" i="10"/>
  <c r="I175" i="10"/>
  <c r="H175" i="10"/>
  <c r="K174" i="10"/>
  <c r="J174" i="10"/>
  <c r="I174" i="10"/>
  <c r="H174" i="10"/>
  <c r="K173" i="10"/>
  <c r="J173" i="10"/>
  <c r="I173" i="10"/>
  <c r="H173" i="10"/>
  <c r="K172" i="10"/>
  <c r="J172" i="10"/>
  <c r="I172" i="10"/>
  <c r="H172" i="10"/>
  <c r="K171" i="10"/>
  <c r="J171" i="10"/>
  <c r="I171" i="10"/>
  <c r="H171" i="10"/>
  <c r="K170" i="10"/>
  <c r="J170" i="10"/>
  <c r="I170" i="10"/>
  <c r="H170" i="10"/>
  <c r="K169" i="10"/>
  <c r="J169" i="10"/>
  <c r="I169" i="10"/>
  <c r="H169" i="10"/>
  <c r="K168" i="10"/>
  <c r="J168" i="10"/>
  <c r="I168" i="10"/>
  <c r="H168" i="10"/>
  <c r="K167" i="10"/>
  <c r="J167" i="10"/>
  <c r="I167" i="10"/>
  <c r="H167" i="10"/>
  <c r="K166" i="10"/>
  <c r="J166" i="10"/>
  <c r="I166" i="10"/>
  <c r="H166" i="10"/>
  <c r="K165" i="10"/>
  <c r="J165" i="10"/>
  <c r="I165" i="10"/>
  <c r="H165" i="10"/>
  <c r="K164" i="10"/>
  <c r="J164" i="10"/>
  <c r="I164" i="10"/>
  <c r="H164" i="10"/>
  <c r="K163" i="10"/>
  <c r="J163" i="10"/>
  <c r="I163" i="10"/>
  <c r="H163" i="10"/>
  <c r="K162" i="10"/>
  <c r="J162" i="10"/>
  <c r="I162" i="10"/>
  <c r="H162" i="10"/>
  <c r="K161" i="10"/>
  <c r="J161" i="10"/>
  <c r="I161" i="10"/>
  <c r="H161" i="10"/>
  <c r="K160" i="10"/>
  <c r="J160" i="10"/>
  <c r="I160" i="10"/>
  <c r="H160" i="10"/>
  <c r="K159" i="10"/>
  <c r="J159" i="10"/>
  <c r="I159" i="10"/>
  <c r="H159" i="10"/>
  <c r="K158" i="10"/>
  <c r="I158" i="10"/>
  <c r="H158" i="10"/>
  <c r="K157" i="10"/>
  <c r="J157" i="10"/>
  <c r="I157" i="10"/>
  <c r="H157" i="10"/>
  <c r="K156" i="10"/>
  <c r="J156" i="10"/>
  <c r="I156" i="10"/>
  <c r="H156" i="10"/>
  <c r="K155" i="10"/>
  <c r="J155" i="10"/>
  <c r="I155" i="10"/>
  <c r="H155" i="10"/>
  <c r="K153" i="10"/>
  <c r="J153" i="10"/>
  <c r="I153" i="10"/>
  <c r="H153" i="10"/>
  <c r="K152" i="10"/>
  <c r="J152" i="10"/>
  <c r="I152" i="10"/>
  <c r="H152" i="10"/>
  <c r="K151" i="10"/>
  <c r="J151" i="10"/>
  <c r="I151" i="10"/>
  <c r="H151" i="10"/>
  <c r="K150" i="10"/>
  <c r="J150" i="10"/>
  <c r="I150" i="10"/>
  <c r="H150" i="10"/>
  <c r="K149" i="10"/>
  <c r="J149" i="10"/>
  <c r="I149" i="10"/>
  <c r="H149" i="10"/>
  <c r="K148" i="10"/>
  <c r="J148" i="10"/>
  <c r="I148" i="10"/>
  <c r="H148" i="10"/>
  <c r="K147" i="10"/>
  <c r="J147" i="10"/>
  <c r="I147" i="10"/>
  <c r="H147" i="10"/>
  <c r="K146" i="10"/>
  <c r="J146" i="10"/>
  <c r="I146" i="10"/>
  <c r="H146" i="10"/>
  <c r="K145" i="10"/>
  <c r="J145" i="10"/>
  <c r="I145" i="10"/>
  <c r="H145" i="10"/>
  <c r="K144" i="10"/>
  <c r="J144" i="10"/>
  <c r="I144" i="10"/>
  <c r="H144" i="10"/>
  <c r="K143" i="10"/>
  <c r="J143" i="10"/>
  <c r="I143" i="10"/>
  <c r="H143" i="10"/>
  <c r="K142" i="10"/>
  <c r="J142" i="10"/>
  <c r="I142" i="10"/>
  <c r="H142" i="10"/>
  <c r="K141" i="10"/>
  <c r="J141" i="10"/>
  <c r="I141" i="10"/>
  <c r="H141" i="10"/>
  <c r="K140" i="10"/>
  <c r="J140" i="10"/>
  <c r="I140" i="10"/>
  <c r="H140" i="10"/>
  <c r="K139" i="10"/>
  <c r="J139" i="10"/>
  <c r="I139" i="10"/>
  <c r="H139" i="10"/>
  <c r="K138" i="10"/>
  <c r="J138" i="10"/>
  <c r="I138" i="10"/>
  <c r="H138" i="10"/>
  <c r="K137" i="10"/>
  <c r="J137" i="10"/>
  <c r="I137" i="10"/>
  <c r="H137" i="10"/>
  <c r="K136" i="10"/>
  <c r="J136" i="10"/>
  <c r="I136" i="10"/>
  <c r="H136" i="10"/>
  <c r="K191" i="10"/>
  <c r="J191" i="10"/>
  <c r="I191" i="10"/>
  <c r="H191" i="10"/>
  <c r="K190" i="10"/>
  <c r="J190" i="10"/>
  <c r="I190" i="10"/>
  <c r="H190" i="10"/>
  <c r="K189" i="10"/>
  <c r="J189" i="10"/>
  <c r="I189" i="10"/>
  <c r="H189" i="10"/>
  <c r="K188" i="10"/>
  <c r="J188" i="10"/>
  <c r="I188" i="10"/>
  <c r="H188" i="10"/>
  <c r="K187" i="10"/>
  <c r="J187" i="10"/>
  <c r="I187" i="10"/>
  <c r="H187" i="10"/>
  <c r="K135" i="10"/>
  <c r="J135" i="10"/>
  <c r="I135" i="10"/>
  <c r="H135" i="10"/>
  <c r="K134" i="10"/>
  <c r="J134" i="10"/>
  <c r="I134" i="10"/>
  <c r="H134" i="10"/>
  <c r="K133" i="10"/>
  <c r="J133" i="10"/>
  <c r="I133" i="10"/>
  <c r="H133" i="10"/>
  <c r="K132" i="10"/>
  <c r="J132" i="10"/>
  <c r="I132" i="10"/>
  <c r="H132" i="10"/>
  <c r="K131" i="10"/>
  <c r="J131" i="10"/>
  <c r="I131" i="10"/>
  <c r="H131" i="10"/>
  <c r="K130" i="10"/>
  <c r="J130" i="10"/>
  <c r="I130" i="10"/>
  <c r="H130" i="10"/>
  <c r="K129" i="10"/>
  <c r="J129" i="10"/>
  <c r="I129" i="10"/>
  <c r="H129" i="10"/>
  <c r="K128" i="10"/>
  <c r="J128" i="10"/>
  <c r="I128" i="10"/>
  <c r="H128" i="10"/>
  <c r="K127" i="10"/>
  <c r="J127" i="10"/>
  <c r="I127" i="10"/>
  <c r="H127" i="10"/>
  <c r="K126" i="10"/>
  <c r="J126" i="10"/>
  <c r="I126" i="10"/>
  <c r="H126" i="10"/>
  <c r="K125" i="10"/>
  <c r="J125" i="10"/>
  <c r="I125" i="10"/>
  <c r="H125" i="10"/>
  <c r="K124" i="10"/>
  <c r="J124" i="10"/>
  <c r="I124" i="10"/>
  <c r="H124" i="10"/>
  <c r="K123" i="10"/>
  <c r="J123" i="10"/>
  <c r="I123" i="10"/>
  <c r="H123" i="10"/>
  <c r="K122" i="10"/>
  <c r="J122" i="10"/>
  <c r="I122" i="10"/>
  <c r="H122" i="10"/>
  <c r="K121" i="10"/>
  <c r="J121" i="10"/>
  <c r="I121" i="10"/>
  <c r="H121" i="10"/>
  <c r="K120" i="10"/>
  <c r="J120" i="10"/>
  <c r="I120" i="10"/>
  <c r="H120" i="10"/>
  <c r="K119" i="10"/>
  <c r="J119" i="10"/>
  <c r="I119" i="10"/>
  <c r="H119" i="10"/>
  <c r="K118" i="10"/>
  <c r="J118" i="10"/>
  <c r="I118" i="10"/>
  <c r="H118" i="10"/>
  <c r="K117" i="10"/>
  <c r="J117" i="10"/>
  <c r="I117" i="10"/>
  <c r="H117" i="10"/>
  <c r="K116" i="10"/>
  <c r="J116" i="10"/>
  <c r="I116" i="10"/>
  <c r="H116" i="10"/>
  <c r="K115" i="10"/>
  <c r="J115" i="10"/>
  <c r="I115" i="10"/>
  <c r="H115" i="10"/>
  <c r="K114" i="10"/>
  <c r="J114" i="10"/>
  <c r="I114" i="10"/>
  <c r="H114" i="10"/>
  <c r="K113" i="10"/>
  <c r="J113" i="10"/>
  <c r="I113" i="10"/>
  <c r="H113" i="10"/>
  <c r="K112" i="10"/>
  <c r="J112" i="10"/>
  <c r="I112" i="10"/>
  <c r="H112" i="10"/>
  <c r="K111" i="10"/>
  <c r="J111" i="10"/>
  <c r="I111" i="10"/>
  <c r="H111" i="10"/>
  <c r="K110" i="10"/>
  <c r="J110" i="10"/>
  <c r="I110" i="10"/>
  <c r="H110" i="10"/>
  <c r="K109" i="10"/>
  <c r="J109" i="10"/>
  <c r="I109" i="10"/>
  <c r="H109" i="10"/>
  <c r="K108" i="10"/>
  <c r="J108" i="10"/>
  <c r="I108" i="10"/>
  <c r="H108" i="10"/>
  <c r="K107" i="10"/>
  <c r="J107" i="10"/>
  <c r="I107" i="10"/>
  <c r="H107" i="10"/>
  <c r="K106" i="10"/>
  <c r="J106" i="10"/>
  <c r="I106" i="10"/>
  <c r="H106" i="10"/>
  <c r="K105" i="10"/>
  <c r="J105" i="10"/>
  <c r="I105" i="10"/>
  <c r="H105" i="10"/>
  <c r="K104" i="10"/>
  <c r="J104" i="10"/>
  <c r="I104" i="10"/>
  <c r="H104" i="10"/>
  <c r="K103" i="10"/>
  <c r="J103" i="10"/>
  <c r="I103" i="10"/>
  <c r="H103" i="10"/>
  <c r="K102" i="10"/>
  <c r="J102" i="10"/>
  <c r="I102" i="10"/>
  <c r="H102" i="10"/>
  <c r="K101" i="10"/>
  <c r="J101" i="10"/>
  <c r="I101" i="10"/>
  <c r="H101" i="10"/>
  <c r="K100" i="10"/>
  <c r="J100" i="10"/>
  <c r="I100" i="10"/>
  <c r="H100" i="10"/>
  <c r="K99" i="10"/>
  <c r="J99" i="10"/>
  <c r="I99" i="10"/>
  <c r="H99" i="10"/>
  <c r="K98" i="10"/>
  <c r="J98" i="10"/>
  <c r="I98" i="10"/>
  <c r="H98" i="10"/>
  <c r="K97" i="10"/>
  <c r="J97" i="10"/>
  <c r="I97" i="10"/>
  <c r="H97" i="10"/>
  <c r="K96" i="10"/>
  <c r="J96" i="10"/>
  <c r="I96" i="10"/>
  <c r="H96" i="10"/>
  <c r="K95" i="10"/>
  <c r="J95" i="10"/>
  <c r="I95" i="10"/>
  <c r="H95" i="10"/>
  <c r="K94" i="10"/>
  <c r="J94" i="10"/>
  <c r="I94" i="10"/>
  <c r="H94" i="10"/>
  <c r="K93" i="10"/>
  <c r="J93" i="10"/>
  <c r="I93" i="10"/>
  <c r="H93" i="10"/>
  <c r="K92" i="10"/>
  <c r="J92" i="10"/>
  <c r="I92" i="10"/>
  <c r="H92" i="10"/>
  <c r="K91" i="10"/>
  <c r="J91" i="10"/>
  <c r="I91" i="10"/>
  <c r="H91" i="10"/>
  <c r="K90" i="10"/>
  <c r="J90" i="10"/>
  <c r="I90" i="10"/>
  <c r="H90" i="10"/>
  <c r="K89" i="10"/>
  <c r="J89" i="10"/>
  <c r="I89" i="10"/>
  <c r="H89" i="10"/>
  <c r="K88" i="10"/>
  <c r="J88" i="10"/>
  <c r="I88" i="10"/>
  <c r="H88" i="10"/>
  <c r="K87" i="10"/>
  <c r="J87" i="10"/>
  <c r="I87" i="10"/>
  <c r="H87" i="10"/>
  <c r="K86" i="10"/>
  <c r="J86" i="10"/>
  <c r="I86" i="10"/>
  <c r="H86" i="10"/>
  <c r="K85" i="10"/>
  <c r="J85" i="10"/>
  <c r="I85" i="10"/>
  <c r="H85" i="10"/>
  <c r="K84" i="10"/>
  <c r="J84" i="10"/>
  <c r="I84" i="10"/>
  <c r="H84" i="10"/>
  <c r="K83" i="10"/>
  <c r="J83" i="10"/>
  <c r="I83" i="10"/>
  <c r="H83" i="10"/>
  <c r="K82" i="10"/>
  <c r="J82" i="10"/>
  <c r="I82" i="10"/>
  <c r="H82" i="10"/>
  <c r="K81" i="10"/>
  <c r="J81" i="10"/>
  <c r="I81" i="10"/>
  <c r="H81" i="10"/>
  <c r="K80" i="10"/>
  <c r="J80" i="10"/>
  <c r="I80" i="10"/>
  <c r="H80" i="10"/>
  <c r="K79" i="10"/>
  <c r="J79" i="10"/>
  <c r="I79" i="10"/>
  <c r="H79" i="10"/>
  <c r="K78" i="10"/>
  <c r="J78" i="10"/>
  <c r="I78" i="10"/>
  <c r="H78" i="10"/>
  <c r="K77" i="10"/>
  <c r="J77" i="10"/>
  <c r="I77" i="10"/>
  <c r="H77" i="10"/>
  <c r="K76" i="10"/>
  <c r="J76" i="10"/>
  <c r="I76" i="10"/>
  <c r="H76" i="10"/>
  <c r="K75" i="10"/>
  <c r="J75" i="10"/>
  <c r="I75" i="10"/>
  <c r="H75" i="10"/>
  <c r="K74" i="10"/>
  <c r="J74" i="10"/>
  <c r="I74" i="10"/>
  <c r="H74" i="10"/>
  <c r="K73" i="10"/>
  <c r="J73" i="10"/>
  <c r="I73" i="10"/>
  <c r="H73" i="10"/>
  <c r="K72" i="10"/>
  <c r="J72" i="10"/>
  <c r="I72" i="10"/>
  <c r="H72" i="10"/>
  <c r="K71" i="10"/>
  <c r="J71" i="10"/>
  <c r="I71" i="10"/>
  <c r="H71" i="10"/>
  <c r="K70" i="10"/>
  <c r="J70" i="10"/>
  <c r="I70" i="10"/>
  <c r="H70" i="10"/>
  <c r="K69" i="10"/>
  <c r="J69" i="10"/>
  <c r="I69" i="10"/>
  <c r="H69" i="10"/>
  <c r="K68" i="10"/>
  <c r="J68" i="10"/>
  <c r="I68" i="10"/>
  <c r="H68" i="10"/>
  <c r="K67" i="10"/>
  <c r="J67" i="10"/>
  <c r="I67" i="10"/>
  <c r="H67" i="10"/>
  <c r="K66" i="10"/>
  <c r="J66" i="10"/>
  <c r="I66" i="10"/>
  <c r="H66" i="10"/>
  <c r="K65" i="10"/>
  <c r="J65" i="10"/>
  <c r="I65" i="10"/>
  <c r="H65" i="10"/>
  <c r="K64" i="10"/>
  <c r="J64" i="10"/>
  <c r="I64" i="10"/>
  <c r="H64" i="10"/>
  <c r="K63" i="10"/>
  <c r="J63" i="10"/>
  <c r="I63" i="10"/>
  <c r="H63" i="10"/>
  <c r="K62" i="10"/>
  <c r="J62" i="10"/>
  <c r="I62" i="10"/>
  <c r="H62" i="10"/>
  <c r="K61" i="10"/>
  <c r="J61" i="10"/>
  <c r="I61" i="10"/>
  <c r="H61" i="10"/>
  <c r="K60" i="10"/>
  <c r="J60" i="10"/>
  <c r="I60" i="10"/>
  <c r="H60" i="10"/>
  <c r="K59" i="10"/>
  <c r="J59" i="10"/>
  <c r="I59" i="10"/>
  <c r="H59" i="10"/>
  <c r="K58" i="10"/>
  <c r="J58" i="10"/>
  <c r="I58" i="10"/>
  <c r="H58" i="10"/>
  <c r="K56" i="10"/>
  <c r="J56" i="10"/>
  <c r="I56" i="10"/>
  <c r="H56" i="10"/>
  <c r="K55" i="10"/>
  <c r="J55" i="10"/>
  <c r="I55" i="10"/>
  <c r="H55" i="10"/>
  <c r="K54" i="10"/>
  <c r="J54" i="10"/>
  <c r="I54" i="10"/>
  <c r="H54" i="10"/>
  <c r="K53" i="10"/>
  <c r="J53" i="10"/>
  <c r="I53" i="10"/>
  <c r="H53" i="10"/>
  <c r="K52" i="10"/>
  <c r="J52" i="10"/>
  <c r="I52" i="10"/>
  <c r="H52" i="10"/>
  <c r="K51" i="10"/>
  <c r="J51" i="10"/>
  <c r="I51" i="10"/>
  <c r="H51" i="10"/>
  <c r="K50" i="10"/>
  <c r="J50" i="10"/>
  <c r="I50" i="10"/>
  <c r="H50" i="10"/>
  <c r="K49" i="10"/>
  <c r="J49" i="10"/>
  <c r="I49" i="10"/>
  <c r="H49" i="10"/>
  <c r="K48" i="10"/>
  <c r="J48" i="10"/>
  <c r="I48" i="10"/>
  <c r="H48" i="10"/>
  <c r="K47" i="10"/>
  <c r="J47" i="10"/>
  <c r="I47" i="10"/>
  <c r="H47" i="10"/>
  <c r="K46" i="10"/>
  <c r="J46" i="10"/>
  <c r="I46" i="10"/>
  <c r="H46" i="10"/>
  <c r="K45" i="10"/>
  <c r="J45" i="10"/>
  <c r="I45" i="10"/>
  <c r="H45" i="10"/>
  <c r="K44" i="10"/>
  <c r="J44" i="10"/>
  <c r="I44" i="10"/>
  <c r="H44" i="10"/>
  <c r="K43" i="10"/>
  <c r="J43" i="10"/>
  <c r="I43" i="10"/>
  <c r="H43" i="10"/>
  <c r="K42" i="10"/>
  <c r="J42" i="10"/>
  <c r="I42" i="10"/>
  <c r="H42" i="10"/>
  <c r="K41" i="10"/>
  <c r="J41" i="10"/>
  <c r="I41" i="10"/>
  <c r="H41" i="10"/>
  <c r="K40" i="10"/>
  <c r="J40" i="10"/>
  <c r="I40" i="10"/>
  <c r="H40" i="10"/>
  <c r="K39" i="10"/>
  <c r="J39" i="10"/>
  <c r="I39" i="10"/>
  <c r="H39" i="10"/>
  <c r="K38" i="10"/>
  <c r="J38" i="10"/>
  <c r="I38" i="10"/>
  <c r="H38" i="10"/>
  <c r="K37" i="10"/>
  <c r="J37" i="10"/>
  <c r="I37" i="10"/>
  <c r="H37" i="10"/>
  <c r="K36" i="10"/>
  <c r="J36" i="10"/>
  <c r="I36" i="10"/>
  <c r="H36" i="10"/>
  <c r="K35" i="10"/>
  <c r="J35" i="10"/>
  <c r="I35" i="10"/>
  <c r="H35" i="10"/>
  <c r="K34" i="10"/>
  <c r="J34" i="10"/>
  <c r="I34" i="10"/>
  <c r="H34" i="10"/>
  <c r="K33" i="10"/>
  <c r="J33" i="10"/>
  <c r="I33" i="10"/>
  <c r="H33" i="10"/>
  <c r="K32" i="10"/>
  <c r="J32" i="10"/>
  <c r="I32" i="10"/>
  <c r="H32" i="10"/>
  <c r="K31" i="10"/>
  <c r="J31" i="10"/>
  <c r="I31" i="10"/>
  <c r="H31" i="10"/>
  <c r="K30" i="10"/>
  <c r="J30" i="10"/>
  <c r="I30" i="10"/>
  <c r="H30" i="10"/>
  <c r="K29" i="10"/>
  <c r="J29" i="10"/>
  <c r="I29" i="10"/>
  <c r="H29" i="10"/>
  <c r="K28" i="10"/>
  <c r="J28" i="10"/>
  <c r="I28" i="10"/>
  <c r="H28" i="10"/>
  <c r="K27" i="10"/>
  <c r="J27" i="10"/>
  <c r="I27" i="10"/>
  <c r="H27" i="10"/>
  <c r="K26" i="10"/>
  <c r="J26" i="10"/>
  <c r="I26" i="10"/>
  <c r="H26" i="10"/>
  <c r="K25" i="10"/>
  <c r="J25" i="10"/>
  <c r="I25" i="10"/>
  <c r="H25" i="10"/>
  <c r="K24" i="10"/>
  <c r="J24" i="10"/>
  <c r="I24" i="10"/>
  <c r="H24" i="10"/>
  <c r="K23" i="10"/>
  <c r="J23" i="10"/>
  <c r="I23" i="10"/>
  <c r="H23" i="10"/>
  <c r="K22" i="10"/>
  <c r="J22" i="10"/>
  <c r="I22" i="10"/>
  <c r="H22" i="10"/>
  <c r="K21" i="10"/>
  <c r="J21" i="10"/>
  <c r="I21" i="10"/>
  <c r="H21" i="10"/>
  <c r="K20" i="10"/>
  <c r="J20" i="10"/>
  <c r="I20" i="10"/>
  <c r="H20" i="10"/>
  <c r="K19" i="10"/>
  <c r="J19" i="10"/>
  <c r="I19" i="10"/>
  <c r="H19" i="10"/>
  <c r="K18" i="10"/>
  <c r="J18" i="10"/>
  <c r="I18" i="10"/>
  <c r="H18" i="10"/>
  <c r="K17" i="10"/>
  <c r="J17" i="10"/>
  <c r="I17" i="10"/>
  <c r="H17" i="10"/>
  <c r="K16" i="10"/>
  <c r="J16" i="10"/>
  <c r="I16" i="10"/>
  <c r="H16" i="10"/>
  <c r="K15" i="10"/>
  <c r="J15" i="10"/>
  <c r="I15" i="10"/>
  <c r="H15" i="10"/>
  <c r="K14" i="10"/>
  <c r="J14" i="10"/>
  <c r="I14" i="10"/>
  <c r="H14" i="10"/>
  <c r="K13" i="10"/>
  <c r="J13" i="10"/>
  <c r="I13" i="10"/>
  <c r="H13" i="10"/>
  <c r="K12" i="10"/>
  <c r="J12" i="10"/>
  <c r="I12" i="10"/>
  <c r="H12" i="10"/>
  <c r="K11" i="10"/>
  <c r="J11" i="10"/>
  <c r="I11" i="10"/>
  <c r="H11" i="10"/>
  <c r="K10" i="10"/>
  <c r="J10" i="10"/>
  <c r="I10" i="10"/>
  <c r="H10" i="10"/>
  <c r="K9" i="10"/>
  <c r="J9" i="10"/>
  <c r="I9" i="10"/>
  <c r="H9" i="10"/>
  <c r="K8" i="10"/>
  <c r="J8" i="10"/>
  <c r="I8" i="10"/>
  <c r="H8" i="10"/>
  <c r="K7" i="10"/>
  <c r="J7" i="10"/>
  <c r="I7" i="10"/>
  <c r="H7" i="10"/>
  <c r="K5" i="10"/>
  <c r="J5" i="10"/>
  <c r="I5" i="10"/>
  <c r="H5" i="10"/>
  <c r="G183" i="10"/>
  <c r="G182" i="10"/>
  <c r="G180" i="10"/>
  <c r="G179" i="10"/>
  <c r="G178" i="10"/>
  <c r="G177" i="10"/>
  <c r="G176" i="10"/>
  <c r="G175" i="10"/>
  <c r="G174" i="10"/>
  <c r="G173" i="10"/>
  <c r="G172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7" i="10"/>
  <c r="G156" i="10"/>
  <c r="G155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91" i="10"/>
  <c r="G190" i="10"/>
  <c r="G189" i="10"/>
  <c r="G187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5" i="10"/>
  <c r="K141" i="11" l="1"/>
  <c r="J56" i="11"/>
  <c r="G122" i="11"/>
  <c r="J122" i="11" s="1"/>
  <c r="J57" i="11"/>
  <c r="G123" i="11"/>
  <c r="J123" i="11" s="1"/>
  <c r="K199" i="11"/>
  <c r="I253" i="11"/>
  <c r="I141" i="11"/>
  <c r="I199" i="11"/>
  <c r="F89" i="8"/>
  <c r="G89" i="8"/>
  <c r="H89" i="8"/>
  <c r="I89" i="8"/>
  <c r="J89" i="8"/>
  <c r="K89" i="8"/>
  <c r="L89" i="8"/>
  <c r="M89" i="8"/>
  <c r="N89" i="8"/>
  <c r="O89" i="8"/>
  <c r="J46" i="9" l="1"/>
  <c r="N46" i="9"/>
  <c r="F46" i="9"/>
  <c r="G47" i="9"/>
  <c r="O47" i="9"/>
  <c r="K47" i="9"/>
  <c r="K46" i="9"/>
  <c r="L47" i="9"/>
  <c r="G46" i="9"/>
  <c r="H47" i="9"/>
  <c r="O46" i="9"/>
  <c r="H48" i="9"/>
  <c r="L48" i="9"/>
  <c r="E48" i="9"/>
  <c r="I48" i="9"/>
  <c r="M48" i="9"/>
  <c r="F48" i="9"/>
  <c r="J48" i="9"/>
  <c r="N48" i="9"/>
  <c r="G48" i="9"/>
  <c r="K48" i="9"/>
  <c r="O48" i="9"/>
  <c r="E46" i="9"/>
  <c r="H46" i="9"/>
  <c r="L46" i="9"/>
  <c r="E47" i="9"/>
  <c r="I47" i="9"/>
  <c r="M47" i="9"/>
  <c r="I46" i="9"/>
  <c r="M46" i="9"/>
  <c r="J47" i="9"/>
  <c r="N47" i="9"/>
  <c r="L41" i="9"/>
  <c r="L42" i="9" s="1"/>
  <c r="J41" i="9"/>
  <c r="J42" i="9" s="1"/>
  <c r="N41" i="9"/>
  <c r="N42" i="9" s="1"/>
  <c r="I41" i="9"/>
  <c r="I42" i="9" s="1"/>
  <c r="K41" i="9"/>
  <c r="K42" i="9" s="1"/>
  <c r="M41" i="9"/>
  <c r="M42" i="9" s="1"/>
  <c r="G41" i="9"/>
  <c r="G42" i="9" s="1"/>
  <c r="O41" i="9"/>
  <c r="O42" i="9" s="1"/>
  <c r="H41" i="9"/>
  <c r="H42" i="9" s="1"/>
  <c r="E41" i="9"/>
  <c r="E42" i="9" s="1"/>
  <c r="D72" i="1"/>
  <c r="G108" i="8"/>
  <c r="E72" i="1" s="1"/>
  <c r="H108" i="8"/>
  <c r="F72" i="1" s="1"/>
  <c r="I108" i="8"/>
  <c r="G72" i="1" s="1"/>
  <c r="J108" i="8"/>
  <c r="H72" i="1" s="1"/>
  <c r="K108" i="8"/>
  <c r="I72" i="1" s="1"/>
  <c r="L108" i="8"/>
  <c r="J72" i="1" s="1"/>
  <c r="M108" i="8"/>
  <c r="K72" i="1" s="1"/>
  <c r="N108" i="8"/>
  <c r="L72" i="1" s="1"/>
  <c r="O108" i="8"/>
  <c r="M72" i="1" s="1"/>
  <c r="P108" i="8"/>
  <c r="N72" i="1" s="1"/>
  <c r="E61" i="6"/>
  <c r="D62" i="1" s="1"/>
  <c r="F61" i="6"/>
  <c r="E62" i="1" s="1"/>
  <c r="G61" i="6"/>
  <c r="F62" i="1" s="1"/>
  <c r="H61" i="6"/>
  <c r="G62" i="1" s="1"/>
  <c r="I61" i="6"/>
  <c r="H62" i="1" s="1"/>
  <c r="J61" i="6"/>
  <c r="I62" i="1" s="1"/>
  <c r="K61" i="6"/>
  <c r="J62" i="1" s="1"/>
  <c r="L61" i="6"/>
  <c r="K62" i="1" s="1"/>
  <c r="M61" i="6"/>
  <c r="L62" i="1" s="1"/>
  <c r="N61" i="6"/>
  <c r="M62" i="1" s="1"/>
  <c r="O61" i="6"/>
  <c r="N62" i="1" s="1"/>
  <c r="D43" i="5"/>
  <c r="D52" i="1" s="1"/>
  <c r="E43" i="5"/>
  <c r="E52" i="1" s="1"/>
  <c r="F43" i="5"/>
  <c r="F52" i="1" s="1"/>
  <c r="G43" i="5"/>
  <c r="G52" i="1" s="1"/>
  <c r="H43" i="5"/>
  <c r="H52" i="1" s="1"/>
  <c r="I43" i="5"/>
  <c r="I52" i="1" s="1"/>
  <c r="J43" i="5"/>
  <c r="J52" i="1" s="1"/>
  <c r="K43" i="5"/>
  <c r="K52" i="1" s="1"/>
  <c r="L43" i="5"/>
  <c r="L52" i="1" s="1"/>
  <c r="M43" i="5"/>
  <c r="M52" i="1" s="1"/>
  <c r="N43" i="5"/>
  <c r="N52" i="1" s="1"/>
  <c r="D35" i="4"/>
  <c r="D32" i="1" s="1"/>
  <c r="E35" i="4"/>
  <c r="E32" i="1" s="1"/>
  <c r="F35" i="4"/>
  <c r="F32" i="1" s="1"/>
  <c r="G35" i="4"/>
  <c r="G32" i="1" s="1"/>
  <c r="H35" i="4"/>
  <c r="H32" i="1" s="1"/>
  <c r="I35" i="4"/>
  <c r="I32" i="1" s="1"/>
  <c r="J35" i="4"/>
  <c r="J32" i="1" s="1"/>
  <c r="K35" i="4"/>
  <c r="K32" i="1" s="1"/>
  <c r="L35" i="4"/>
  <c r="L32" i="1" s="1"/>
  <c r="M35" i="4"/>
  <c r="M32" i="1" s="1"/>
  <c r="N35" i="4"/>
  <c r="N32" i="1" s="1"/>
  <c r="D109" i="3"/>
  <c r="D22" i="1" s="1"/>
  <c r="E109" i="3"/>
  <c r="E22" i="1" s="1"/>
  <c r="F109" i="3"/>
  <c r="F22" i="1" s="1"/>
  <c r="G109" i="3"/>
  <c r="G22" i="1" s="1"/>
  <c r="H109" i="3"/>
  <c r="H22" i="1" s="1"/>
  <c r="I109" i="3"/>
  <c r="I22" i="1" s="1"/>
  <c r="J109" i="3"/>
  <c r="J22" i="1" s="1"/>
  <c r="K109" i="3"/>
  <c r="K22" i="1" s="1"/>
  <c r="L109" i="3"/>
  <c r="L22" i="1" s="1"/>
  <c r="M109" i="3"/>
  <c r="M22" i="1" s="1"/>
  <c r="N109" i="3"/>
  <c r="N22" i="1" s="1"/>
  <c r="N61" i="2"/>
  <c r="N12" i="1" s="1"/>
  <c r="M61" i="2"/>
  <c r="M12" i="1" s="1"/>
  <c r="L61" i="2"/>
  <c r="L12" i="1" s="1"/>
  <c r="K61" i="2"/>
  <c r="K12" i="1" s="1"/>
  <c r="J61" i="2"/>
  <c r="J12" i="1" s="1"/>
  <c r="I61" i="2"/>
  <c r="I12" i="1" s="1"/>
  <c r="H61" i="2"/>
  <c r="H12" i="1" s="1"/>
  <c r="G61" i="2"/>
  <c r="G12" i="1" s="1"/>
  <c r="F61" i="2"/>
  <c r="F12" i="1" s="1"/>
  <c r="E61" i="2"/>
  <c r="E12" i="1" s="1"/>
  <c r="D61" i="2"/>
  <c r="D12" i="1" s="1"/>
  <c r="G51" i="9" l="1"/>
  <c r="G52" i="9" s="1"/>
  <c r="O51" i="9"/>
  <c r="O52" i="9" s="1"/>
  <c r="K51" i="9"/>
  <c r="K52" i="9" s="1"/>
  <c r="L51" i="9"/>
  <c r="L52" i="9" s="1"/>
  <c r="H51" i="9"/>
  <c r="H52" i="9" s="1"/>
  <c r="N51" i="9"/>
  <c r="N52" i="9" s="1"/>
  <c r="J51" i="9"/>
  <c r="J52" i="9" s="1"/>
  <c r="I51" i="9"/>
  <c r="I52" i="9" s="1"/>
  <c r="E51" i="9"/>
  <c r="E52" i="9" s="1"/>
  <c r="M51" i="9"/>
  <c r="M52" i="9" s="1"/>
  <c r="G188" i="10"/>
  <c r="G75" i="11"/>
  <c r="N93" i="1"/>
  <c r="F93" i="1"/>
  <c r="H93" i="1"/>
  <c r="G93" i="1"/>
  <c r="I93" i="1"/>
  <c r="J93" i="1"/>
  <c r="K93" i="1"/>
  <c r="L93" i="1"/>
  <c r="E93" i="1"/>
  <c r="M93" i="1"/>
  <c r="D93" i="1"/>
  <c r="P110" i="8"/>
  <c r="O110" i="8"/>
  <c r="N110" i="8"/>
  <c r="M110" i="8"/>
  <c r="L110" i="8"/>
  <c r="K110" i="8"/>
  <c r="J110" i="8"/>
  <c r="I110" i="8"/>
  <c r="H110" i="8"/>
  <c r="G110" i="8"/>
  <c r="P109" i="8"/>
  <c r="O109" i="8"/>
  <c r="N109" i="8"/>
  <c r="M109" i="8"/>
  <c r="L109" i="8"/>
  <c r="K109" i="8"/>
  <c r="J109" i="8"/>
  <c r="I109" i="8"/>
  <c r="H109" i="8"/>
  <c r="G109" i="8"/>
  <c r="P107" i="8"/>
  <c r="O107" i="8"/>
  <c r="N107" i="8"/>
  <c r="M107" i="8"/>
  <c r="L107" i="8"/>
  <c r="K107" i="8"/>
  <c r="J107" i="8"/>
  <c r="I107" i="8"/>
  <c r="H107" i="8"/>
  <c r="G107" i="8"/>
  <c r="P106" i="8"/>
  <c r="O106" i="8"/>
  <c r="N106" i="8"/>
  <c r="M106" i="8"/>
  <c r="L106" i="8"/>
  <c r="K106" i="8"/>
  <c r="J106" i="8"/>
  <c r="I106" i="8"/>
  <c r="H106" i="8"/>
  <c r="G106" i="8"/>
  <c r="P105" i="8"/>
  <c r="O105" i="8"/>
  <c r="N105" i="8"/>
  <c r="M105" i="8"/>
  <c r="L105" i="8"/>
  <c r="K105" i="8"/>
  <c r="J105" i="8"/>
  <c r="I105" i="8"/>
  <c r="H105" i="8"/>
  <c r="G105" i="8"/>
  <c r="P104" i="8"/>
  <c r="O104" i="8"/>
  <c r="N104" i="8"/>
  <c r="M104" i="8"/>
  <c r="L104" i="8"/>
  <c r="K104" i="8"/>
  <c r="J104" i="8"/>
  <c r="I104" i="8"/>
  <c r="H104" i="8"/>
  <c r="G104" i="8"/>
  <c r="F104" i="8"/>
  <c r="P89" i="8"/>
  <c r="F41" i="9" l="1"/>
  <c r="F42" i="9" s="1"/>
  <c r="F47" i="9"/>
  <c r="F51" i="9" s="1"/>
  <c r="I75" i="11"/>
  <c r="I80" i="11" s="1"/>
  <c r="G60" i="6"/>
  <c r="F52" i="9" l="1"/>
  <c r="O48" i="6"/>
  <c r="O74" i="6" s="1"/>
  <c r="N48" i="6"/>
  <c r="N74" i="6" s="1"/>
  <c r="L48" i="6"/>
  <c r="L74" i="6" s="1"/>
  <c r="K48" i="6"/>
  <c r="K74" i="6" s="1"/>
  <c r="J48" i="6"/>
  <c r="J74" i="6" s="1"/>
  <c r="I48" i="6"/>
  <c r="I74" i="6" s="1"/>
  <c r="H48" i="6"/>
  <c r="H74" i="6" s="1"/>
  <c r="G48" i="6"/>
  <c r="G74" i="6" s="1"/>
  <c r="N75" i="6" l="1"/>
  <c r="M106" i="1"/>
  <c r="G75" i="6"/>
  <c r="F106" i="1"/>
  <c r="H75" i="6"/>
  <c r="G106" i="1"/>
  <c r="O75" i="6"/>
  <c r="N106" i="1"/>
  <c r="I75" i="6"/>
  <c r="H106" i="1"/>
  <c r="I106" i="1"/>
  <c r="J75" i="6"/>
  <c r="K75" i="6"/>
  <c r="J106" i="1"/>
  <c r="L75" i="6"/>
  <c r="K106" i="1"/>
  <c r="J181" i="10"/>
  <c r="G247" i="11"/>
  <c r="J247" i="11" s="1"/>
  <c r="K181" i="10"/>
  <c r="G294" i="11"/>
  <c r="J294" i="11" s="1"/>
  <c r="G136" i="11"/>
  <c r="J136" i="11" s="1"/>
  <c r="H181" i="10"/>
  <c r="G194" i="11"/>
  <c r="J194" i="11" s="1"/>
  <c r="I181" i="10"/>
  <c r="G71" i="11"/>
  <c r="J71" i="11" s="1"/>
  <c r="G181" i="10"/>
  <c r="H154" i="10" l="1"/>
  <c r="H193" i="10" s="1"/>
  <c r="G124" i="11"/>
  <c r="G60" i="11"/>
  <c r="G154" i="10"/>
  <c r="I154" i="10"/>
  <c r="I193" i="10" s="1"/>
  <c r="G180" i="11"/>
  <c r="G62" i="11"/>
  <c r="J62" i="11" s="1"/>
  <c r="G158" i="10"/>
  <c r="G236" i="11"/>
  <c r="J236" i="11" s="1"/>
  <c r="J154" i="10"/>
  <c r="G237" i="11"/>
  <c r="J237" i="11" s="1"/>
  <c r="J158" i="10"/>
  <c r="K154" i="10"/>
  <c r="K193" i="10" s="1"/>
  <c r="G282" i="11"/>
  <c r="G69" i="11"/>
  <c r="G171" i="10"/>
  <c r="N74" i="1"/>
  <c r="M74" i="1"/>
  <c r="L74" i="1"/>
  <c r="K74" i="1"/>
  <c r="J74" i="1"/>
  <c r="I74" i="1"/>
  <c r="H74" i="1"/>
  <c r="G74" i="1"/>
  <c r="F74" i="1"/>
  <c r="E74" i="1"/>
  <c r="D74" i="1"/>
  <c r="N73" i="1"/>
  <c r="M73" i="1"/>
  <c r="L73" i="1"/>
  <c r="K73" i="1"/>
  <c r="J73" i="1"/>
  <c r="I73" i="1"/>
  <c r="H73" i="1"/>
  <c r="G73" i="1"/>
  <c r="F73" i="1"/>
  <c r="E73" i="1"/>
  <c r="D73" i="1"/>
  <c r="N71" i="1"/>
  <c r="M71" i="1"/>
  <c r="L71" i="1"/>
  <c r="K71" i="1"/>
  <c r="J71" i="1"/>
  <c r="I71" i="1"/>
  <c r="H71" i="1"/>
  <c r="G71" i="1"/>
  <c r="F71" i="1"/>
  <c r="E71" i="1"/>
  <c r="D71" i="1"/>
  <c r="N70" i="1"/>
  <c r="M70" i="1"/>
  <c r="L70" i="1"/>
  <c r="K70" i="1"/>
  <c r="J70" i="1"/>
  <c r="I70" i="1"/>
  <c r="H70" i="1"/>
  <c r="G70" i="1"/>
  <c r="F70" i="1"/>
  <c r="E70" i="1"/>
  <c r="D70" i="1"/>
  <c r="N69" i="1"/>
  <c r="M69" i="1"/>
  <c r="L69" i="1"/>
  <c r="K69" i="1"/>
  <c r="J69" i="1"/>
  <c r="I69" i="1"/>
  <c r="H69" i="1"/>
  <c r="G69" i="1"/>
  <c r="F69" i="1"/>
  <c r="E69" i="1"/>
  <c r="D69" i="1"/>
  <c r="N68" i="1"/>
  <c r="M68" i="1"/>
  <c r="L68" i="1"/>
  <c r="K68" i="1"/>
  <c r="J68" i="1"/>
  <c r="I68" i="1"/>
  <c r="H68" i="1"/>
  <c r="G68" i="1"/>
  <c r="F68" i="1"/>
  <c r="E68" i="1"/>
  <c r="D68" i="1"/>
  <c r="P95" i="8"/>
  <c r="O95" i="8"/>
  <c r="N95" i="8"/>
  <c r="M95" i="8"/>
  <c r="L95" i="8"/>
  <c r="K95" i="8"/>
  <c r="J95" i="8"/>
  <c r="I95" i="8"/>
  <c r="H95" i="8"/>
  <c r="G95" i="8"/>
  <c r="F95" i="8"/>
  <c r="J253" i="11" l="1"/>
  <c r="G299" i="11"/>
  <c r="J282" i="11"/>
  <c r="J299" i="11" s="1"/>
  <c r="G199" i="11"/>
  <c r="J180" i="11"/>
  <c r="J199" i="11" s="1"/>
  <c r="G141" i="11"/>
  <c r="J124" i="11"/>
  <c r="J141" i="11" s="1"/>
  <c r="J60" i="11"/>
  <c r="J80" i="11" s="1"/>
  <c r="J193" i="10"/>
  <c r="G253" i="11"/>
  <c r="G193" i="10"/>
  <c r="G80" i="11"/>
  <c r="N97" i="8"/>
  <c r="N102" i="8" s="1"/>
  <c r="F97" i="8"/>
  <c r="F102" i="8" s="1"/>
  <c r="J97" i="8"/>
  <c r="J102" i="8" s="1"/>
  <c r="M97" i="8"/>
  <c r="M102" i="8" s="1"/>
  <c r="I97" i="8"/>
  <c r="I102" i="8" s="1"/>
  <c r="H75" i="1"/>
  <c r="D75" i="1"/>
  <c r="L75" i="1"/>
  <c r="E75" i="1"/>
  <c r="I75" i="1"/>
  <c r="M75" i="1"/>
  <c r="F75" i="1"/>
  <c r="J75" i="1"/>
  <c r="N75" i="1"/>
  <c r="G75" i="1"/>
  <c r="K75" i="1"/>
  <c r="G97" i="8"/>
  <c r="G102" i="8" s="1"/>
  <c r="K97" i="8"/>
  <c r="K102" i="8" s="1"/>
  <c r="O97" i="8"/>
  <c r="O102" i="8" s="1"/>
  <c r="F111" i="8"/>
  <c r="F123" i="8" s="1"/>
  <c r="N111" i="8"/>
  <c r="N123" i="8" s="1"/>
  <c r="H111" i="8"/>
  <c r="H123" i="8" s="1"/>
  <c r="P111" i="8"/>
  <c r="P123" i="8" s="1"/>
  <c r="K111" i="8"/>
  <c r="K123" i="8" s="1"/>
  <c r="H97" i="8"/>
  <c r="H102" i="8" s="1"/>
  <c r="L97" i="8"/>
  <c r="L102" i="8" s="1"/>
  <c r="P97" i="8"/>
  <c r="P102" i="8" s="1"/>
  <c r="J111" i="8"/>
  <c r="J123" i="8" s="1"/>
  <c r="L111" i="8"/>
  <c r="L123" i="8" s="1"/>
  <c r="G111" i="8"/>
  <c r="G123" i="8" s="1"/>
  <c r="O111" i="8"/>
  <c r="O123" i="8" s="1"/>
  <c r="I111" i="8"/>
  <c r="I123" i="8" s="1"/>
  <c r="M111" i="8"/>
  <c r="M123" i="8" s="1"/>
  <c r="G76" i="1" l="1"/>
  <c r="F76" i="1"/>
  <c r="L76" i="1"/>
  <c r="M76" i="1"/>
  <c r="E76" i="1"/>
  <c r="I76" i="1"/>
  <c r="K76" i="1"/>
  <c r="D76" i="1"/>
  <c r="N76" i="1"/>
  <c r="H76" i="1"/>
  <c r="J76" i="1"/>
  <c r="I112" i="8"/>
  <c r="K112" i="8"/>
  <c r="N112" i="8"/>
  <c r="F112" i="8"/>
  <c r="J112" i="8"/>
  <c r="M112" i="8"/>
  <c r="O112" i="8"/>
  <c r="G112" i="8"/>
  <c r="H112" i="8"/>
  <c r="L112" i="8"/>
  <c r="P112" i="8"/>
  <c r="N31" i="7" l="1"/>
  <c r="M31" i="7"/>
  <c r="L31" i="7"/>
  <c r="K31" i="7"/>
  <c r="J31" i="7"/>
  <c r="I31" i="7"/>
  <c r="H31" i="7"/>
  <c r="G31" i="7"/>
  <c r="F31" i="7"/>
  <c r="E31" i="7"/>
  <c r="D31" i="7"/>
  <c r="O63" i="6"/>
  <c r="N63" i="6"/>
  <c r="M63" i="6"/>
  <c r="L63" i="6"/>
  <c r="K63" i="6"/>
  <c r="J63" i="6"/>
  <c r="I63" i="6"/>
  <c r="H63" i="6"/>
  <c r="G63" i="6"/>
  <c r="F63" i="6"/>
  <c r="E63" i="6"/>
  <c r="O62" i="6"/>
  <c r="N63" i="1" s="1"/>
  <c r="N62" i="6"/>
  <c r="M63" i="1" s="1"/>
  <c r="M62" i="6"/>
  <c r="L63" i="1" s="1"/>
  <c r="L62" i="6"/>
  <c r="K63" i="1" s="1"/>
  <c r="K62" i="6"/>
  <c r="J63" i="1" s="1"/>
  <c r="J62" i="6"/>
  <c r="I63" i="1" s="1"/>
  <c r="I62" i="6"/>
  <c r="H63" i="1" s="1"/>
  <c r="H62" i="6"/>
  <c r="G63" i="1" s="1"/>
  <c r="G62" i="6"/>
  <c r="F63" i="1" s="1"/>
  <c r="F62" i="6"/>
  <c r="E63" i="1" s="1"/>
  <c r="E62" i="6"/>
  <c r="D63" i="1" s="1"/>
  <c r="O60" i="6"/>
  <c r="N61" i="1" s="1"/>
  <c r="N60" i="6"/>
  <c r="M61" i="1" s="1"/>
  <c r="M60" i="6"/>
  <c r="L61" i="1" s="1"/>
  <c r="L60" i="6"/>
  <c r="K61" i="1" s="1"/>
  <c r="K60" i="6"/>
  <c r="J61" i="1" s="1"/>
  <c r="J60" i="6"/>
  <c r="I61" i="1" s="1"/>
  <c r="I60" i="6"/>
  <c r="H61" i="1" s="1"/>
  <c r="H60" i="6"/>
  <c r="G61" i="1" s="1"/>
  <c r="F61" i="1"/>
  <c r="F60" i="6"/>
  <c r="E61" i="1" s="1"/>
  <c r="E60" i="6"/>
  <c r="D61" i="1" s="1"/>
  <c r="O59" i="6"/>
  <c r="N60" i="1" s="1"/>
  <c r="N59" i="6"/>
  <c r="M60" i="1" s="1"/>
  <c r="M59" i="6"/>
  <c r="L60" i="1" s="1"/>
  <c r="L59" i="6"/>
  <c r="K60" i="1" s="1"/>
  <c r="K59" i="6"/>
  <c r="J60" i="1" s="1"/>
  <c r="J59" i="6"/>
  <c r="I60" i="1" s="1"/>
  <c r="I59" i="6"/>
  <c r="H60" i="1" s="1"/>
  <c r="H59" i="6"/>
  <c r="G60" i="1" s="1"/>
  <c r="G59" i="6"/>
  <c r="F60" i="1" s="1"/>
  <c r="F59" i="6"/>
  <c r="E60" i="1" s="1"/>
  <c r="E59" i="6"/>
  <c r="D60" i="1" s="1"/>
  <c r="O58" i="6"/>
  <c r="N59" i="1" s="1"/>
  <c r="N58" i="6"/>
  <c r="M59" i="1" s="1"/>
  <c r="M58" i="6"/>
  <c r="L59" i="1" s="1"/>
  <c r="L58" i="6"/>
  <c r="K59" i="1" s="1"/>
  <c r="K58" i="6"/>
  <c r="J59" i="1" s="1"/>
  <c r="J58" i="6"/>
  <c r="I59" i="1" s="1"/>
  <c r="I58" i="6"/>
  <c r="H59" i="1" s="1"/>
  <c r="H58" i="6"/>
  <c r="G59" i="1" s="1"/>
  <c r="G58" i="6"/>
  <c r="F59" i="1" s="1"/>
  <c r="F58" i="6"/>
  <c r="E58" i="6"/>
  <c r="D59" i="1" s="1"/>
  <c r="O57" i="6"/>
  <c r="N58" i="1" s="1"/>
  <c r="N57" i="6"/>
  <c r="M58" i="1" s="1"/>
  <c r="M57" i="6"/>
  <c r="L58" i="1" s="1"/>
  <c r="L57" i="6"/>
  <c r="K58" i="1" s="1"/>
  <c r="K57" i="6"/>
  <c r="J58" i="1" s="1"/>
  <c r="J57" i="6"/>
  <c r="I58" i="1" s="1"/>
  <c r="I57" i="6"/>
  <c r="H58" i="1" s="1"/>
  <c r="H57" i="6"/>
  <c r="G58" i="1" s="1"/>
  <c r="G57" i="6"/>
  <c r="F58" i="1" s="1"/>
  <c r="F57" i="6"/>
  <c r="E58" i="1" s="1"/>
  <c r="E57" i="6"/>
  <c r="D58" i="1" s="1"/>
  <c r="O51" i="6"/>
  <c r="N51" i="6"/>
  <c r="M51" i="6"/>
  <c r="L51" i="6"/>
  <c r="K51" i="6"/>
  <c r="J51" i="6"/>
  <c r="I51" i="6"/>
  <c r="H51" i="6"/>
  <c r="G51" i="6"/>
  <c r="F51" i="6"/>
  <c r="E51" i="6"/>
  <c r="O45" i="6"/>
  <c r="N45" i="6"/>
  <c r="M45" i="6"/>
  <c r="L45" i="6"/>
  <c r="K45" i="6"/>
  <c r="J45" i="6"/>
  <c r="I45" i="6"/>
  <c r="H45" i="6"/>
  <c r="G45" i="6"/>
  <c r="F45" i="6"/>
  <c r="E45" i="6"/>
  <c r="N45" i="5"/>
  <c r="M45" i="5"/>
  <c r="L45" i="5"/>
  <c r="K45" i="5"/>
  <c r="J45" i="5"/>
  <c r="I45" i="5"/>
  <c r="H45" i="5"/>
  <c r="G45" i="5"/>
  <c r="F45" i="5"/>
  <c r="E45" i="5"/>
  <c r="D45" i="5"/>
  <c r="N44" i="5"/>
  <c r="N53" i="1" s="1"/>
  <c r="M44" i="5"/>
  <c r="M53" i="1" s="1"/>
  <c r="L44" i="5"/>
  <c r="L53" i="1" s="1"/>
  <c r="K44" i="5"/>
  <c r="K53" i="1" s="1"/>
  <c r="J44" i="5"/>
  <c r="J53" i="1" s="1"/>
  <c r="I44" i="5"/>
  <c r="I53" i="1" s="1"/>
  <c r="H44" i="5"/>
  <c r="H53" i="1" s="1"/>
  <c r="G44" i="5"/>
  <c r="G53" i="1" s="1"/>
  <c r="F44" i="5"/>
  <c r="F53" i="1" s="1"/>
  <c r="E44" i="5"/>
  <c r="E53" i="1" s="1"/>
  <c r="D44" i="5"/>
  <c r="D53" i="1" s="1"/>
  <c r="N42" i="5"/>
  <c r="N51" i="1" s="1"/>
  <c r="M42" i="5"/>
  <c r="M51" i="1" s="1"/>
  <c r="L42" i="5"/>
  <c r="L51" i="1" s="1"/>
  <c r="K42" i="5"/>
  <c r="K51" i="1" s="1"/>
  <c r="J42" i="5"/>
  <c r="J51" i="1" s="1"/>
  <c r="I42" i="5"/>
  <c r="I51" i="1" s="1"/>
  <c r="H42" i="5"/>
  <c r="H51" i="1" s="1"/>
  <c r="G42" i="5"/>
  <c r="G51" i="1" s="1"/>
  <c r="F42" i="5"/>
  <c r="F51" i="1" s="1"/>
  <c r="E42" i="5"/>
  <c r="E51" i="1" s="1"/>
  <c r="D42" i="5"/>
  <c r="D51" i="1" s="1"/>
  <c r="N41" i="5"/>
  <c r="N50" i="1" s="1"/>
  <c r="M41" i="5"/>
  <c r="M50" i="1" s="1"/>
  <c r="L41" i="5"/>
  <c r="L50" i="1" s="1"/>
  <c r="K41" i="5"/>
  <c r="K50" i="1" s="1"/>
  <c r="J41" i="5"/>
  <c r="J50" i="1" s="1"/>
  <c r="I41" i="5"/>
  <c r="I50" i="1" s="1"/>
  <c r="H41" i="5"/>
  <c r="H50" i="1" s="1"/>
  <c r="G41" i="5"/>
  <c r="G50" i="1" s="1"/>
  <c r="F41" i="5"/>
  <c r="F50" i="1" s="1"/>
  <c r="E41" i="5"/>
  <c r="E50" i="1" s="1"/>
  <c r="D41" i="5"/>
  <c r="D50" i="1" s="1"/>
  <c r="N40" i="5"/>
  <c r="N49" i="1" s="1"/>
  <c r="M40" i="5"/>
  <c r="M49" i="1" s="1"/>
  <c r="L40" i="5"/>
  <c r="L49" i="1" s="1"/>
  <c r="K40" i="5"/>
  <c r="K49" i="1" s="1"/>
  <c r="J40" i="5"/>
  <c r="J49" i="1" s="1"/>
  <c r="I40" i="5"/>
  <c r="I49" i="1" s="1"/>
  <c r="H40" i="5"/>
  <c r="H49" i="1" s="1"/>
  <c r="G40" i="5"/>
  <c r="G49" i="1" s="1"/>
  <c r="F40" i="5"/>
  <c r="F49" i="1" s="1"/>
  <c r="E40" i="5"/>
  <c r="E49" i="1" s="1"/>
  <c r="D40" i="5"/>
  <c r="D49" i="1" s="1"/>
  <c r="N39" i="5"/>
  <c r="N48" i="1" s="1"/>
  <c r="M39" i="5"/>
  <c r="M48" i="1" s="1"/>
  <c r="L39" i="5"/>
  <c r="L48" i="1" s="1"/>
  <c r="K39" i="5"/>
  <c r="K48" i="1" s="1"/>
  <c r="J39" i="5"/>
  <c r="J48" i="1" s="1"/>
  <c r="I39" i="5"/>
  <c r="I48" i="1" s="1"/>
  <c r="H39" i="5"/>
  <c r="H48" i="1" s="1"/>
  <c r="G39" i="5"/>
  <c r="G48" i="1" s="1"/>
  <c r="F39" i="5"/>
  <c r="F48" i="1" s="1"/>
  <c r="E39" i="5"/>
  <c r="E48" i="1" s="1"/>
  <c r="D39" i="5"/>
  <c r="D48" i="1" s="1"/>
  <c r="N33" i="5"/>
  <c r="M33" i="5"/>
  <c r="L33" i="5"/>
  <c r="K33" i="5"/>
  <c r="J33" i="5"/>
  <c r="I33" i="5"/>
  <c r="H33" i="5"/>
  <c r="G33" i="5"/>
  <c r="F33" i="5"/>
  <c r="E33" i="5"/>
  <c r="D33" i="5"/>
  <c r="N23" i="5"/>
  <c r="M23" i="5"/>
  <c r="L23" i="5"/>
  <c r="K23" i="5"/>
  <c r="J23" i="5"/>
  <c r="I23" i="5"/>
  <c r="H23" i="5"/>
  <c r="G23" i="5"/>
  <c r="F23" i="5"/>
  <c r="E23" i="5"/>
  <c r="D23" i="5"/>
  <c r="N37" i="4"/>
  <c r="M37" i="4"/>
  <c r="L37" i="4"/>
  <c r="K37" i="4"/>
  <c r="J37" i="4"/>
  <c r="I37" i="4"/>
  <c r="H37" i="4"/>
  <c r="G37" i="4"/>
  <c r="F37" i="4"/>
  <c r="E37" i="4"/>
  <c r="D37" i="4"/>
  <c r="N36" i="4"/>
  <c r="N33" i="1" s="1"/>
  <c r="M36" i="4"/>
  <c r="M33" i="1" s="1"/>
  <c r="L36" i="4"/>
  <c r="L33" i="1" s="1"/>
  <c r="K36" i="4"/>
  <c r="K33" i="1" s="1"/>
  <c r="J36" i="4"/>
  <c r="J33" i="1" s="1"/>
  <c r="I36" i="4"/>
  <c r="I33" i="1" s="1"/>
  <c r="H36" i="4"/>
  <c r="H33" i="1" s="1"/>
  <c r="G36" i="4"/>
  <c r="G33" i="1" s="1"/>
  <c r="F36" i="4"/>
  <c r="F33" i="1" s="1"/>
  <c r="E36" i="4"/>
  <c r="E33" i="1" s="1"/>
  <c r="D36" i="4"/>
  <c r="D33" i="1" s="1"/>
  <c r="N34" i="4"/>
  <c r="N31" i="1" s="1"/>
  <c r="M34" i="4"/>
  <c r="M31" i="1" s="1"/>
  <c r="L34" i="4"/>
  <c r="L31" i="1" s="1"/>
  <c r="K34" i="4"/>
  <c r="K31" i="1" s="1"/>
  <c r="J34" i="4"/>
  <c r="J31" i="1" s="1"/>
  <c r="I34" i="4"/>
  <c r="I31" i="1" s="1"/>
  <c r="H34" i="4"/>
  <c r="H31" i="1" s="1"/>
  <c r="G34" i="4"/>
  <c r="G31" i="1" s="1"/>
  <c r="F34" i="4"/>
  <c r="F31" i="1" s="1"/>
  <c r="E34" i="4"/>
  <c r="E31" i="1" s="1"/>
  <c r="D34" i="4"/>
  <c r="D31" i="1" s="1"/>
  <c r="N33" i="4"/>
  <c r="N30" i="1" s="1"/>
  <c r="M33" i="4"/>
  <c r="M30" i="1" s="1"/>
  <c r="L33" i="4"/>
  <c r="L30" i="1" s="1"/>
  <c r="K33" i="4"/>
  <c r="K30" i="1" s="1"/>
  <c r="J33" i="4"/>
  <c r="J30" i="1" s="1"/>
  <c r="I33" i="4"/>
  <c r="I30" i="1" s="1"/>
  <c r="H33" i="4"/>
  <c r="H30" i="1" s="1"/>
  <c r="G33" i="4"/>
  <c r="G30" i="1" s="1"/>
  <c r="F33" i="4"/>
  <c r="F30" i="1" s="1"/>
  <c r="E33" i="4"/>
  <c r="E30" i="1" s="1"/>
  <c r="D33" i="4"/>
  <c r="D30" i="1" s="1"/>
  <c r="N32" i="4"/>
  <c r="N29" i="1" s="1"/>
  <c r="M32" i="4"/>
  <c r="M29" i="1" s="1"/>
  <c r="L32" i="4"/>
  <c r="L29" i="1" s="1"/>
  <c r="K32" i="4"/>
  <c r="K29" i="1" s="1"/>
  <c r="J32" i="4"/>
  <c r="J29" i="1" s="1"/>
  <c r="I32" i="4"/>
  <c r="I29" i="1" s="1"/>
  <c r="H32" i="4"/>
  <c r="H29" i="1" s="1"/>
  <c r="G32" i="4"/>
  <c r="G29" i="1" s="1"/>
  <c r="F32" i="4"/>
  <c r="F29" i="1" s="1"/>
  <c r="E32" i="4"/>
  <c r="E29" i="1" s="1"/>
  <c r="D32" i="4"/>
  <c r="D29" i="1" s="1"/>
  <c r="N31" i="4"/>
  <c r="N28" i="1" s="1"/>
  <c r="M31" i="4"/>
  <c r="M28" i="1" s="1"/>
  <c r="L31" i="4"/>
  <c r="L28" i="1" s="1"/>
  <c r="K31" i="4"/>
  <c r="K28" i="1" s="1"/>
  <c r="J31" i="4"/>
  <c r="J28" i="1" s="1"/>
  <c r="I31" i="4"/>
  <c r="I28" i="1" s="1"/>
  <c r="H31" i="4"/>
  <c r="H28" i="1" s="1"/>
  <c r="G31" i="4"/>
  <c r="G28" i="1" s="1"/>
  <c r="F31" i="4"/>
  <c r="F28" i="1" s="1"/>
  <c r="E31" i="4"/>
  <c r="E28" i="1" s="1"/>
  <c r="D31" i="4"/>
  <c r="D28" i="1" s="1"/>
  <c r="N25" i="4"/>
  <c r="M25" i="4"/>
  <c r="L25" i="4"/>
  <c r="K25" i="4"/>
  <c r="J25" i="4"/>
  <c r="I25" i="4"/>
  <c r="H25" i="4"/>
  <c r="G25" i="4"/>
  <c r="F25" i="4"/>
  <c r="E25" i="4"/>
  <c r="D25" i="4"/>
  <c r="N17" i="4"/>
  <c r="M17" i="4"/>
  <c r="L17" i="4"/>
  <c r="K17" i="4"/>
  <c r="J17" i="4"/>
  <c r="I17" i="4"/>
  <c r="H17" i="4"/>
  <c r="G17" i="4"/>
  <c r="F17" i="4"/>
  <c r="E17" i="4"/>
  <c r="D17" i="4"/>
  <c r="N111" i="3"/>
  <c r="M111" i="3"/>
  <c r="L111" i="3"/>
  <c r="K111" i="3"/>
  <c r="J111" i="3"/>
  <c r="I111" i="3"/>
  <c r="H111" i="3"/>
  <c r="G111" i="3"/>
  <c r="F111" i="3"/>
  <c r="E111" i="3"/>
  <c r="D111" i="3"/>
  <c r="N110" i="3"/>
  <c r="N23" i="1" s="1"/>
  <c r="M110" i="3"/>
  <c r="M23" i="1" s="1"/>
  <c r="L110" i="3"/>
  <c r="L23" i="1" s="1"/>
  <c r="K110" i="3"/>
  <c r="K23" i="1" s="1"/>
  <c r="J110" i="3"/>
  <c r="J23" i="1" s="1"/>
  <c r="I110" i="3"/>
  <c r="I23" i="1" s="1"/>
  <c r="H110" i="3"/>
  <c r="H23" i="1" s="1"/>
  <c r="G110" i="3"/>
  <c r="G23" i="1" s="1"/>
  <c r="F110" i="3"/>
  <c r="F23" i="1" s="1"/>
  <c r="E110" i="3"/>
  <c r="E23" i="1" s="1"/>
  <c r="D110" i="3"/>
  <c r="D23" i="1" s="1"/>
  <c r="N108" i="3"/>
  <c r="N21" i="1" s="1"/>
  <c r="M108" i="3"/>
  <c r="M21" i="1" s="1"/>
  <c r="L108" i="3"/>
  <c r="L21" i="1" s="1"/>
  <c r="K108" i="3"/>
  <c r="K21" i="1" s="1"/>
  <c r="J108" i="3"/>
  <c r="J21" i="1" s="1"/>
  <c r="I108" i="3"/>
  <c r="I21" i="1" s="1"/>
  <c r="H108" i="3"/>
  <c r="H21" i="1" s="1"/>
  <c r="G108" i="3"/>
  <c r="G21" i="1" s="1"/>
  <c r="F108" i="3"/>
  <c r="F21" i="1" s="1"/>
  <c r="E108" i="3"/>
  <c r="E21" i="1" s="1"/>
  <c r="D108" i="3"/>
  <c r="D21" i="1" s="1"/>
  <c r="N107" i="3"/>
  <c r="N20" i="1" s="1"/>
  <c r="M107" i="3"/>
  <c r="M20" i="1" s="1"/>
  <c r="L107" i="3"/>
  <c r="L20" i="1" s="1"/>
  <c r="K107" i="3"/>
  <c r="K20" i="1" s="1"/>
  <c r="J107" i="3"/>
  <c r="J20" i="1" s="1"/>
  <c r="I107" i="3"/>
  <c r="I20" i="1" s="1"/>
  <c r="H107" i="3"/>
  <c r="H20" i="1" s="1"/>
  <c r="G107" i="3"/>
  <c r="G20" i="1" s="1"/>
  <c r="F107" i="3"/>
  <c r="F20" i="1" s="1"/>
  <c r="E107" i="3"/>
  <c r="E20" i="1" s="1"/>
  <c r="D107" i="3"/>
  <c r="D20" i="1" s="1"/>
  <c r="N106" i="3"/>
  <c r="N19" i="1" s="1"/>
  <c r="M106" i="3"/>
  <c r="M19" i="1" s="1"/>
  <c r="L106" i="3"/>
  <c r="L19" i="1" s="1"/>
  <c r="K106" i="3"/>
  <c r="K19" i="1" s="1"/>
  <c r="J106" i="3"/>
  <c r="J19" i="1" s="1"/>
  <c r="I106" i="3"/>
  <c r="I19" i="1" s="1"/>
  <c r="H106" i="3"/>
  <c r="H19" i="1" s="1"/>
  <c r="G106" i="3"/>
  <c r="G19" i="1" s="1"/>
  <c r="F106" i="3"/>
  <c r="F19" i="1" s="1"/>
  <c r="E106" i="3"/>
  <c r="E19" i="1" s="1"/>
  <c r="D106" i="3"/>
  <c r="D19" i="1" s="1"/>
  <c r="N105" i="3"/>
  <c r="N18" i="1" s="1"/>
  <c r="M105" i="3"/>
  <c r="M18" i="1" s="1"/>
  <c r="L105" i="3"/>
  <c r="L18" i="1" s="1"/>
  <c r="K105" i="3"/>
  <c r="K18" i="1" s="1"/>
  <c r="J105" i="3"/>
  <c r="J18" i="1" s="1"/>
  <c r="I105" i="3"/>
  <c r="I18" i="1" s="1"/>
  <c r="H105" i="3"/>
  <c r="H18" i="1" s="1"/>
  <c r="G105" i="3"/>
  <c r="G18" i="1" s="1"/>
  <c r="F105" i="3"/>
  <c r="F18" i="1" s="1"/>
  <c r="E105" i="3"/>
  <c r="E18" i="1" s="1"/>
  <c r="D105" i="3"/>
  <c r="D18" i="1" s="1"/>
  <c r="N96" i="3"/>
  <c r="M96" i="3"/>
  <c r="L96" i="3"/>
  <c r="K96" i="3"/>
  <c r="J96" i="3"/>
  <c r="I96" i="3"/>
  <c r="H96" i="3"/>
  <c r="G96" i="3"/>
  <c r="F96" i="3"/>
  <c r="E96" i="3"/>
  <c r="D96" i="3"/>
  <c r="N63" i="3"/>
  <c r="M63" i="3"/>
  <c r="L63" i="3"/>
  <c r="K63" i="3"/>
  <c r="J63" i="3"/>
  <c r="I63" i="3"/>
  <c r="H63" i="3"/>
  <c r="G63" i="3"/>
  <c r="F63" i="3"/>
  <c r="E63" i="3"/>
  <c r="D63" i="3"/>
  <c r="N45" i="1"/>
  <c r="N116" i="1" s="1"/>
  <c r="M45" i="1"/>
  <c r="M116" i="1" s="1"/>
  <c r="L45" i="1"/>
  <c r="L116" i="1" s="1"/>
  <c r="K45" i="1"/>
  <c r="K116" i="1" s="1"/>
  <c r="J45" i="1"/>
  <c r="J116" i="1" s="1"/>
  <c r="I45" i="1"/>
  <c r="I116" i="1" s="1"/>
  <c r="H45" i="1"/>
  <c r="H116" i="1" s="1"/>
  <c r="G45" i="1"/>
  <c r="G116" i="1" s="1"/>
  <c r="F45" i="1"/>
  <c r="F116" i="1" s="1"/>
  <c r="E45" i="1"/>
  <c r="E116" i="1" s="1"/>
  <c r="D45" i="1"/>
  <c r="D116" i="1" s="1"/>
  <c r="D63" i="2"/>
  <c r="D14" i="1" s="1"/>
  <c r="E63" i="2"/>
  <c r="F63" i="2"/>
  <c r="F14" i="1" s="1"/>
  <c r="G63" i="2"/>
  <c r="G14" i="1" s="1"/>
  <c r="H63" i="2"/>
  <c r="H14" i="1" s="1"/>
  <c r="I63" i="2"/>
  <c r="I14" i="1" s="1"/>
  <c r="J63" i="2"/>
  <c r="J14" i="1" s="1"/>
  <c r="K63" i="2"/>
  <c r="L63" i="2"/>
  <c r="L14" i="1" s="1"/>
  <c r="M63" i="2"/>
  <c r="N63" i="2"/>
  <c r="N14" i="1" s="1"/>
  <c r="N62" i="2"/>
  <c r="N13" i="1" s="1"/>
  <c r="N60" i="2"/>
  <c r="N11" i="1" s="1"/>
  <c r="N59" i="2"/>
  <c r="N10" i="1" s="1"/>
  <c r="N58" i="2"/>
  <c r="N9" i="1" s="1"/>
  <c r="N57" i="2"/>
  <c r="N49" i="2"/>
  <c r="N43" i="2"/>
  <c r="M62" i="2"/>
  <c r="M13" i="1" s="1"/>
  <c r="L62" i="2"/>
  <c r="L13" i="1" s="1"/>
  <c r="K62" i="2"/>
  <c r="K13" i="1" s="1"/>
  <c r="J62" i="2"/>
  <c r="J13" i="1" s="1"/>
  <c r="I62" i="2"/>
  <c r="I13" i="1" s="1"/>
  <c r="H62" i="2"/>
  <c r="H13" i="1" s="1"/>
  <c r="G62" i="2"/>
  <c r="G13" i="1" s="1"/>
  <c r="F62" i="2"/>
  <c r="F13" i="1" s="1"/>
  <c r="E62" i="2"/>
  <c r="E13" i="1" s="1"/>
  <c r="M60" i="2"/>
  <c r="M11" i="1" s="1"/>
  <c r="L60" i="2"/>
  <c r="L11" i="1" s="1"/>
  <c r="K60" i="2"/>
  <c r="K11" i="1" s="1"/>
  <c r="J60" i="2"/>
  <c r="J11" i="1" s="1"/>
  <c r="I60" i="2"/>
  <c r="I11" i="1" s="1"/>
  <c r="H60" i="2"/>
  <c r="H11" i="1" s="1"/>
  <c r="G60" i="2"/>
  <c r="G11" i="1" s="1"/>
  <c r="F60" i="2"/>
  <c r="F11" i="1" s="1"/>
  <c r="E60" i="2"/>
  <c r="E11" i="1" s="1"/>
  <c r="M59" i="2"/>
  <c r="M10" i="1" s="1"/>
  <c r="L59" i="2"/>
  <c r="L10" i="1" s="1"/>
  <c r="K59" i="2"/>
  <c r="K10" i="1" s="1"/>
  <c r="J59" i="2"/>
  <c r="J10" i="1" s="1"/>
  <c r="I59" i="2"/>
  <c r="I10" i="1" s="1"/>
  <c r="H59" i="2"/>
  <c r="H10" i="1" s="1"/>
  <c r="G59" i="2"/>
  <c r="G10" i="1" s="1"/>
  <c r="F59" i="2"/>
  <c r="F10" i="1" s="1"/>
  <c r="E59" i="2"/>
  <c r="E10" i="1" s="1"/>
  <c r="M58" i="2"/>
  <c r="M9" i="1" s="1"/>
  <c r="L58" i="2"/>
  <c r="L9" i="1" s="1"/>
  <c r="K58" i="2"/>
  <c r="K9" i="1" s="1"/>
  <c r="J58" i="2"/>
  <c r="J9" i="1" s="1"/>
  <c r="I58" i="2"/>
  <c r="I9" i="1" s="1"/>
  <c r="H58" i="2"/>
  <c r="H9" i="1" s="1"/>
  <c r="G58" i="2"/>
  <c r="G9" i="1" s="1"/>
  <c r="F58" i="2"/>
  <c r="F9" i="1" s="1"/>
  <c r="E58" i="2"/>
  <c r="E9" i="1" s="1"/>
  <c r="M57" i="2"/>
  <c r="M8" i="1" s="1"/>
  <c r="L57" i="2"/>
  <c r="K57" i="2"/>
  <c r="K8" i="1" s="1"/>
  <c r="J57" i="2"/>
  <c r="J8" i="1" s="1"/>
  <c r="I57" i="2"/>
  <c r="I8" i="1" s="1"/>
  <c r="H57" i="2"/>
  <c r="G57" i="2"/>
  <c r="G8" i="1" s="1"/>
  <c r="F57" i="2"/>
  <c r="E57" i="2"/>
  <c r="E8" i="1" s="1"/>
  <c r="D62" i="2"/>
  <c r="D13" i="1" s="1"/>
  <c r="D60" i="2"/>
  <c r="D11" i="1" s="1"/>
  <c r="D59" i="2"/>
  <c r="D10" i="1" s="1"/>
  <c r="D58" i="2"/>
  <c r="D9" i="1" s="1"/>
  <c r="D57" i="2"/>
  <c r="D8" i="1" s="1"/>
  <c r="M43" i="2"/>
  <c r="L43" i="2"/>
  <c r="K43" i="2"/>
  <c r="J43" i="2"/>
  <c r="I43" i="2"/>
  <c r="H43" i="2"/>
  <c r="G43" i="2"/>
  <c r="F43" i="2"/>
  <c r="E43" i="2"/>
  <c r="D43" i="2"/>
  <c r="M49" i="2"/>
  <c r="L49" i="2"/>
  <c r="K49" i="2"/>
  <c r="J49" i="2"/>
  <c r="I49" i="2"/>
  <c r="H49" i="2"/>
  <c r="G49" i="2"/>
  <c r="F49" i="2"/>
  <c r="E49" i="2"/>
  <c r="D49" i="2"/>
  <c r="F111" i="1" l="1"/>
  <c r="F112" i="1" s="1"/>
  <c r="G111" i="1"/>
  <c r="G112" i="1" s="1"/>
  <c r="D111" i="1"/>
  <c r="L111" i="1"/>
  <c r="K111" i="1"/>
  <c r="E111" i="1"/>
  <c r="M111" i="1"/>
  <c r="J111" i="1"/>
  <c r="H111" i="1"/>
  <c r="I111" i="1"/>
  <c r="N111" i="1"/>
  <c r="E59" i="1"/>
  <c r="E90" i="1" s="1"/>
  <c r="F51" i="2"/>
  <c r="E51" i="2"/>
  <c r="G51" i="2"/>
  <c r="F64" i="2"/>
  <c r="F72" i="2" s="1"/>
  <c r="F104" i="1" s="1"/>
  <c r="H64" i="2"/>
  <c r="H72" i="2" s="1"/>
  <c r="H104" i="1" s="1"/>
  <c r="F92" i="1"/>
  <c r="J35" i="5"/>
  <c r="G27" i="4"/>
  <c r="L64" i="2"/>
  <c r="L72" i="2" s="1"/>
  <c r="L104" i="1" s="1"/>
  <c r="N64" i="2"/>
  <c r="N72" i="2" s="1"/>
  <c r="N104" i="1" s="1"/>
  <c r="J98" i="3"/>
  <c r="J103" i="3" s="1"/>
  <c r="I92" i="1"/>
  <c r="G25" i="1"/>
  <c r="N25" i="1"/>
  <c r="H25" i="1"/>
  <c r="D25" i="1"/>
  <c r="L25" i="1"/>
  <c r="I25" i="1"/>
  <c r="J25" i="1"/>
  <c r="J26" i="1" s="1"/>
  <c r="K25" i="1"/>
  <c r="F25" i="1"/>
  <c r="E25" i="1"/>
  <c r="M25" i="1"/>
  <c r="J27" i="4"/>
  <c r="I27" i="4"/>
  <c r="L91" i="1"/>
  <c r="G90" i="1"/>
  <c r="N94" i="1"/>
  <c r="D92" i="1"/>
  <c r="N90" i="1"/>
  <c r="H92" i="1"/>
  <c r="D91" i="1"/>
  <c r="J89" i="1"/>
  <c r="I90" i="1"/>
  <c r="N91" i="1"/>
  <c r="K94" i="1"/>
  <c r="G91" i="1"/>
  <c r="G92" i="1"/>
  <c r="F94" i="1"/>
  <c r="L92" i="1"/>
  <c r="M91" i="1"/>
  <c r="K91" i="1"/>
  <c r="K92" i="1"/>
  <c r="M90" i="1"/>
  <c r="K89" i="1"/>
  <c r="D94" i="1"/>
  <c r="J91" i="1"/>
  <c r="F90" i="1"/>
  <c r="N92" i="1"/>
  <c r="J94" i="1"/>
  <c r="M92" i="1"/>
  <c r="H91" i="1"/>
  <c r="K90" i="1"/>
  <c r="D89" i="1"/>
  <c r="D90" i="1"/>
  <c r="M89" i="1"/>
  <c r="M94" i="1"/>
  <c r="L90" i="1"/>
  <c r="L94" i="1"/>
  <c r="J92" i="1"/>
  <c r="J90" i="1"/>
  <c r="I94" i="1"/>
  <c r="I89" i="1"/>
  <c r="I91" i="1"/>
  <c r="H90" i="1"/>
  <c r="H94" i="1"/>
  <c r="G94" i="1"/>
  <c r="G89" i="1"/>
  <c r="F91" i="1"/>
  <c r="L8" i="1"/>
  <c r="L89" i="1" s="1"/>
  <c r="K64" i="2"/>
  <c r="K72" i="2" s="1"/>
  <c r="K104" i="1" s="1"/>
  <c r="E92" i="1"/>
  <c r="I33" i="7"/>
  <c r="J64" i="2"/>
  <c r="J72" i="2" s="1"/>
  <c r="J104" i="1" s="1"/>
  <c r="E64" i="2"/>
  <c r="E72" i="2" s="1"/>
  <c r="E104" i="1" s="1"/>
  <c r="H51" i="2"/>
  <c r="F8" i="1"/>
  <c r="F89" i="1" s="1"/>
  <c r="N8" i="1"/>
  <c r="N89" i="1" s="1"/>
  <c r="D64" i="2"/>
  <c r="D72" i="2" s="1"/>
  <c r="D104" i="1" s="1"/>
  <c r="K98" i="3"/>
  <c r="K103" i="3" s="1"/>
  <c r="I64" i="2"/>
  <c r="I72" i="2" s="1"/>
  <c r="I104" i="1" s="1"/>
  <c r="K14" i="1"/>
  <c r="E94" i="1"/>
  <c r="H8" i="1"/>
  <c r="H89" i="1" s="1"/>
  <c r="H27" i="4"/>
  <c r="M64" i="2"/>
  <c r="M72" i="2" s="1"/>
  <c r="M104" i="1" s="1"/>
  <c r="E14" i="1"/>
  <c r="M14" i="1"/>
  <c r="E91" i="1"/>
  <c r="I51" i="2"/>
  <c r="D51" i="2"/>
  <c r="J51" i="2"/>
  <c r="G64" i="2"/>
  <c r="E89" i="1"/>
  <c r="I98" i="3"/>
  <c r="I103" i="3" s="1"/>
  <c r="G112" i="3"/>
  <c r="G119" i="3" s="1"/>
  <c r="E98" i="3"/>
  <c r="E103" i="3" s="1"/>
  <c r="M98" i="3"/>
  <c r="M103" i="3" s="1"/>
  <c r="D98" i="3"/>
  <c r="D103" i="3" s="1"/>
  <c r="L98" i="3"/>
  <c r="L103" i="3" s="1"/>
  <c r="J112" i="3"/>
  <c r="J119" i="3" s="1"/>
  <c r="E112" i="3"/>
  <c r="E119" i="3" s="1"/>
  <c r="M112" i="3"/>
  <c r="M119" i="3" s="1"/>
  <c r="F35" i="1"/>
  <c r="F117" i="1" s="1"/>
  <c r="J35" i="1"/>
  <c r="J117" i="1" s="1"/>
  <c r="N35" i="1"/>
  <c r="H35" i="1"/>
  <c r="H117" i="1" s="1"/>
  <c r="I35" i="1"/>
  <c r="M35" i="1"/>
  <c r="F65" i="1"/>
  <c r="F119" i="1" s="1"/>
  <c r="J65" i="1"/>
  <c r="N65" i="1"/>
  <c r="L35" i="1"/>
  <c r="L117" i="1" s="1"/>
  <c r="K65" i="1"/>
  <c r="K119" i="1" s="1"/>
  <c r="H65" i="1"/>
  <c r="H119" i="1" s="1"/>
  <c r="L65" i="1"/>
  <c r="L119" i="1" s="1"/>
  <c r="I65" i="1"/>
  <c r="M65" i="1"/>
  <c r="M119" i="1" s="1"/>
  <c r="G65" i="1"/>
  <c r="D65" i="1"/>
  <c r="D119" i="1" s="1"/>
  <c r="G35" i="1"/>
  <c r="K35" i="1"/>
  <c r="D35" i="1"/>
  <c r="D117" i="1" s="1"/>
  <c r="E35" i="1"/>
  <c r="E117" i="1" s="1"/>
  <c r="F53" i="6"/>
  <c r="L64" i="6"/>
  <c r="L76" i="6" s="1"/>
  <c r="L53" i="6"/>
  <c r="N53" i="6"/>
  <c r="H64" i="6"/>
  <c r="H76" i="6" s="1"/>
  <c r="I53" i="6"/>
  <c r="F64" i="6"/>
  <c r="F76" i="6" s="1"/>
  <c r="N64" i="6"/>
  <c r="N76" i="6" s="1"/>
  <c r="J55" i="1"/>
  <c r="D55" i="1"/>
  <c r="D118" i="1" s="1"/>
  <c r="H55" i="1"/>
  <c r="L55" i="1"/>
  <c r="I55" i="1"/>
  <c r="I118" i="1" s="1"/>
  <c r="M55" i="1"/>
  <c r="N55" i="1"/>
  <c r="N118" i="1" s="1"/>
  <c r="F55" i="1"/>
  <c r="F118" i="1" s="1"/>
  <c r="G55" i="1"/>
  <c r="G118" i="1" s="1"/>
  <c r="K55" i="1"/>
  <c r="K118" i="1" s="1"/>
  <c r="E55" i="1"/>
  <c r="E35" i="5"/>
  <c r="M35" i="5"/>
  <c r="D35" i="5"/>
  <c r="H35" i="5"/>
  <c r="L35" i="5"/>
  <c r="K46" i="5"/>
  <c r="K53" i="5" s="1"/>
  <c r="I35" i="5"/>
  <c r="G35" i="5"/>
  <c r="E46" i="5"/>
  <c r="M46" i="5"/>
  <c r="J38" i="4"/>
  <c r="J52" i="4" s="1"/>
  <c r="G38" i="4"/>
  <c r="K27" i="4"/>
  <c r="H38" i="4"/>
  <c r="K38" i="4"/>
  <c r="K52" i="4" s="1"/>
  <c r="D27" i="4"/>
  <c r="L27" i="4"/>
  <c r="E38" i="4"/>
  <c r="E52" i="4" s="1"/>
  <c r="M38" i="4"/>
  <c r="M52" i="4" s="1"/>
  <c r="J33" i="7"/>
  <c r="G98" i="3"/>
  <c r="G103" i="3" s="1"/>
  <c r="H98" i="3"/>
  <c r="H103" i="3" s="1"/>
  <c r="F112" i="3"/>
  <c r="F119" i="3" s="1"/>
  <c r="N112" i="3"/>
  <c r="N119" i="3" s="1"/>
  <c r="H112" i="3"/>
  <c r="H119" i="3" s="1"/>
  <c r="F98" i="3"/>
  <c r="F103" i="3" s="1"/>
  <c r="N98" i="3"/>
  <c r="N103" i="3" s="1"/>
  <c r="I112" i="3"/>
  <c r="I119" i="3" s="1"/>
  <c r="K112" i="3"/>
  <c r="D112" i="3"/>
  <c r="D119" i="3" s="1"/>
  <c r="L112" i="3"/>
  <c r="L119" i="3" s="1"/>
  <c r="F38" i="4"/>
  <c r="F52" i="4" s="1"/>
  <c r="N38" i="4"/>
  <c r="N52" i="4" s="1"/>
  <c r="E27" i="4"/>
  <c r="M27" i="4"/>
  <c r="F27" i="4"/>
  <c r="N27" i="4"/>
  <c r="I38" i="4"/>
  <c r="D38" i="4"/>
  <c r="D52" i="4" s="1"/>
  <c r="L38" i="4"/>
  <c r="L52" i="4" s="1"/>
  <c r="K35" i="5"/>
  <c r="F46" i="5"/>
  <c r="F53" i="5" s="1"/>
  <c r="N46" i="5"/>
  <c r="N53" i="5" s="1"/>
  <c r="H46" i="5"/>
  <c r="H53" i="5" s="1"/>
  <c r="G46" i="5"/>
  <c r="G53" i="5" s="1"/>
  <c r="F35" i="5"/>
  <c r="N35" i="5"/>
  <c r="I46" i="5"/>
  <c r="J46" i="5"/>
  <c r="D46" i="5"/>
  <c r="D53" i="5" s="1"/>
  <c r="L46" i="5"/>
  <c r="L53" i="5" s="1"/>
  <c r="H53" i="6"/>
  <c r="J53" i="6"/>
  <c r="E53" i="6"/>
  <c r="M53" i="6"/>
  <c r="I64" i="6"/>
  <c r="I76" i="6" s="1"/>
  <c r="J64" i="6"/>
  <c r="J76" i="6" s="1"/>
  <c r="G53" i="6"/>
  <c r="O53" i="6"/>
  <c r="K64" i="6"/>
  <c r="K76" i="6" s="1"/>
  <c r="E64" i="6"/>
  <c r="E76" i="6" s="1"/>
  <c r="M64" i="6"/>
  <c r="M76" i="6" s="1"/>
  <c r="K53" i="6"/>
  <c r="G64" i="6"/>
  <c r="G76" i="6" s="1"/>
  <c r="O64" i="6"/>
  <c r="O76" i="6" s="1"/>
  <c r="G33" i="7"/>
  <c r="H33" i="7"/>
  <c r="K33" i="7"/>
  <c r="L33" i="7"/>
  <c r="E33" i="7"/>
  <c r="M33" i="7"/>
  <c r="F33" i="7"/>
  <c r="N33" i="7"/>
  <c r="D33" i="7"/>
  <c r="I15" i="1"/>
  <c r="G15" i="1"/>
  <c r="D15" i="1"/>
  <c r="J15" i="1"/>
  <c r="N51" i="2"/>
  <c r="K51" i="2"/>
  <c r="L51" i="2"/>
  <c r="M51" i="2"/>
  <c r="D16" i="1" l="1"/>
  <c r="J16" i="1"/>
  <c r="M107" i="1"/>
  <c r="L107" i="1"/>
  <c r="I107" i="1"/>
  <c r="N107" i="1"/>
  <c r="K107" i="1"/>
  <c r="J107" i="1"/>
  <c r="F103" i="1"/>
  <c r="D103" i="1"/>
  <c r="L103" i="1"/>
  <c r="N103" i="1"/>
  <c r="M56" i="1"/>
  <c r="M118" i="1"/>
  <c r="K36" i="1"/>
  <c r="K117" i="1"/>
  <c r="N36" i="1"/>
  <c r="N117" i="1"/>
  <c r="J56" i="1"/>
  <c r="J118" i="1"/>
  <c r="G36" i="1"/>
  <c r="G117" i="1"/>
  <c r="I66" i="1"/>
  <c r="I119" i="1"/>
  <c r="M36" i="1"/>
  <c r="M117" i="1"/>
  <c r="E56" i="1"/>
  <c r="E118" i="1"/>
  <c r="H56" i="1"/>
  <c r="H118" i="1"/>
  <c r="G66" i="1"/>
  <c r="G119" i="1"/>
  <c r="J66" i="1"/>
  <c r="J119" i="1"/>
  <c r="L56" i="1"/>
  <c r="L118" i="1"/>
  <c r="N66" i="1"/>
  <c r="N119" i="1"/>
  <c r="I36" i="1"/>
  <c r="I117" i="1"/>
  <c r="F26" i="1"/>
  <c r="G26" i="1"/>
  <c r="G16" i="1"/>
  <c r="I16" i="1"/>
  <c r="M26" i="1"/>
  <c r="H26" i="1"/>
  <c r="K113" i="3"/>
  <c r="K119" i="3"/>
  <c r="K103" i="1" s="1"/>
  <c r="K56" i="1"/>
  <c r="D56" i="1"/>
  <c r="M66" i="1"/>
  <c r="F66" i="1"/>
  <c r="E26" i="1"/>
  <c r="N26" i="1"/>
  <c r="H39" i="4"/>
  <c r="H52" i="4"/>
  <c r="H103" i="1" s="1"/>
  <c r="F56" i="1"/>
  <c r="E36" i="1"/>
  <c r="L66" i="1"/>
  <c r="K26" i="1"/>
  <c r="I39" i="4"/>
  <c r="I52" i="4"/>
  <c r="G56" i="1"/>
  <c r="G39" i="4"/>
  <c r="G52" i="4"/>
  <c r="G103" i="1" s="1"/>
  <c r="N56" i="1"/>
  <c r="D36" i="1"/>
  <c r="H66" i="1"/>
  <c r="H36" i="1"/>
  <c r="J47" i="5"/>
  <c r="J53" i="5"/>
  <c r="J103" i="1" s="1"/>
  <c r="K66" i="1"/>
  <c r="I26" i="1"/>
  <c r="I47" i="5"/>
  <c r="I53" i="5"/>
  <c r="M47" i="5"/>
  <c r="M53" i="5"/>
  <c r="M103" i="1" s="1"/>
  <c r="I56" i="1"/>
  <c r="L36" i="1"/>
  <c r="J36" i="1"/>
  <c r="L26" i="1"/>
  <c r="E47" i="5"/>
  <c r="E53" i="5"/>
  <c r="E103" i="1" s="1"/>
  <c r="D66" i="1"/>
  <c r="F36" i="1"/>
  <c r="D26" i="1"/>
  <c r="G65" i="2"/>
  <c r="G72" i="2"/>
  <c r="G104" i="1" s="1"/>
  <c r="E65" i="1"/>
  <c r="J113" i="3"/>
  <c r="E65" i="2"/>
  <c r="F65" i="2"/>
  <c r="G47" i="5"/>
  <c r="D65" i="2"/>
  <c r="I65" i="2"/>
  <c r="L65" i="2"/>
  <c r="H65" i="2"/>
  <c r="N15" i="1"/>
  <c r="N16" i="1" s="1"/>
  <c r="E15" i="1"/>
  <c r="E16" i="1" s="1"/>
  <c r="L15" i="1"/>
  <c r="L16" i="1" s="1"/>
  <c r="K15" i="1"/>
  <c r="K16" i="1" s="1"/>
  <c r="M15" i="1"/>
  <c r="M16" i="1" s="1"/>
  <c r="J65" i="2"/>
  <c r="M65" i="2"/>
  <c r="H15" i="1"/>
  <c r="H16" i="1" s="1"/>
  <c r="L113" i="3"/>
  <c r="F15" i="1"/>
  <c r="F16" i="1" s="1"/>
  <c r="I125" i="1"/>
  <c r="M113" i="3"/>
  <c r="J39" i="4"/>
  <c r="D125" i="1"/>
  <c r="H125" i="1"/>
  <c r="K125" i="1"/>
  <c r="J65" i="6"/>
  <c r="L125" i="1"/>
  <c r="M125" i="1"/>
  <c r="E125" i="1"/>
  <c r="N65" i="6"/>
  <c r="I65" i="6"/>
  <c r="N113" i="3"/>
  <c r="E113" i="3"/>
  <c r="I113" i="3"/>
  <c r="G113" i="3"/>
  <c r="D113" i="3"/>
  <c r="F113" i="3"/>
  <c r="J125" i="1"/>
  <c r="E39" i="4"/>
  <c r="K65" i="6"/>
  <c r="H65" i="6"/>
  <c r="F65" i="6"/>
  <c r="L65" i="6"/>
  <c r="G65" i="6"/>
  <c r="L47" i="5"/>
  <c r="H47" i="5"/>
  <c r="G125" i="1"/>
  <c r="F125" i="1"/>
  <c r="N125" i="1"/>
  <c r="K47" i="5"/>
  <c r="D47" i="5"/>
  <c r="F47" i="5"/>
  <c r="N47" i="5"/>
  <c r="M39" i="4"/>
  <c r="K39" i="4"/>
  <c r="L39" i="4"/>
  <c r="D39" i="4"/>
  <c r="N39" i="4"/>
  <c r="H113" i="3"/>
  <c r="F39" i="4"/>
  <c r="M65" i="6"/>
  <c r="E65" i="6"/>
  <c r="O65" i="6"/>
  <c r="N65" i="2"/>
  <c r="K65" i="2"/>
  <c r="J108" i="1" l="1"/>
  <c r="N108" i="1"/>
  <c r="K108" i="1"/>
  <c r="I103" i="1"/>
  <c r="I108" i="1" s="1"/>
  <c r="M108" i="1"/>
  <c r="D107" i="1"/>
  <c r="D108" i="1" s="1"/>
  <c r="D84" i="1"/>
  <c r="L108" i="1"/>
  <c r="G107" i="1"/>
  <c r="G84" i="1"/>
  <c r="H107" i="1"/>
  <c r="H108" i="1" s="1"/>
  <c r="H84" i="1"/>
  <c r="E107" i="1"/>
  <c r="E108" i="1" s="1"/>
  <c r="E84" i="1"/>
  <c r="F107" i="1"/>
  <c r="F108" i="1" s="1"/>
  <c r="F84" i="1"/>
  <c r="G108" i="1"/>
  <c r="I84" i="1"/>
  <c r="J84" i="1"/>
  <c r="L84" i="1"/>
  <c r="K84" i="1"/>
  <c r="M84" i="1"/>
  <c r="N84" i="1"/>
  <c r="E66" i="1"/>
  <c r="E119" i="1"/>
  <c r="I127" i="1"/>
  <c r="I126" i="1"/>
  <c r="N126" i="1"/>
  <c r="N127" i="1"/>
  <c r="L127" i="1"/>
  <c r="L126" i="1"/>
  <c r="D126" i="1"/>
  <c r="D127" i="1"/>
  <c r="G126" i="1"/>
  <c r="G127" i="1"/>
  <c r="J126" i="1"/>
  <c r="J127" i="1"/>
  <c r="F126" i="1"/>
  <c r="F127" i="1"/>
  <c r="E127" i="1"/>
  <c r="E126" i="1"/>
  <c r="K126" i="1"/>
  <c r="K127" i="1"/>
  <c r="M127" i="1"/>
  <c r="M126" i="1"/>
  <c r="H127" i="1"/>
  <c r="H126" i="1"/>
  <c r="E85" i="1" l="1"/>
  <c r="E95" i="1"/>
  <c r="E96" i="1" s="1"/>
  <c r="H85" i="1"/>
  <c r="H95" i="1"/>
  <c r="H96" i="1" s="1"/>
  <c r="F85" i="1"/>
  <c r="F95" i="1"/>
  <c r="F96" i="1" s="1"/>
  <c r="D85" i="1"/>
  <c r="D95" i="1"/>
  <c r="D96" i="1" s="1"/>
  <c r="G85" i="1"/>
  <c r="G95" i="1"/>
  <c r="G96" i="1" s="1"/>
  <c r="K85" i="1"/>
  <c r="K95" i="1"/>
  <c r="K96" i="1" s="1"/>
  <c r="L85" i="1"/>
  <c r="L95" i="1"/>
  <c r="L96" i="1" s="1"/>
  <c r="N85" i="1"/>
  <c r="N95" i="1"/>
  <c r="N96" i="1" s="1"/>
  <c r="J85" i="1"/>
  <c r="J95" i="1"/>
  <c r="J96" i="1" s="1"/>
  <c r="M85" i="1"/>
  <c r="M95" i="1"/>
  <c r="M96" i="1" s="1"/>
  <c r="I85" i="1"/>
  <c r="I95" i="1"/>
  <c r="I96" i="1" s="1"/>
  <c r="I97" i="1" l="1"/>
  <c r="M97" i="1"/>
  <c r="N97" i="1"/>
  <c r="K97" i="1"/>
  <c r="D97" i="1"/>
  <c r="L97" i="1"/>
  <c r="F120" i="1"/>
  <c r="F121" i="1" s="1"/>
  <c r="F122" i="1" s="1"/>
  <c r="F86" i="1"/>
  <c r="H97" i="1"/>
  <c r="G254" i="11"/>
  <c r="J194" i="10"/>
  <c r="H120" i="1"/>
  <c r="H121" i="1" s="1"/>
  <c r="H122" i="1" s="1"/>
  <c r="H86" i="1"/>
  <c r="G97" i="1"/>
  <c r="I194" i="10"/>
  <c r="G200" i="11"/>
  <c r="G109" i="1"/>
  <c r="G120" i="1"/>
  <c r="G121" i="1" s="1"/>
  <c r="G122" i="1" s="1"/>
  <c r="G86" i="1"/>
  <c r="E97" i="1"/>
  <c r="E109" i="1"/>
  <c r="G194" i="10"/>
  <c r="G81" i="11"/>
  <c r="E120" i="1"/>
  <c r="E121" i="1" s="1"/>
  <c r="E122" i="1" s="1"/>
  <c r="E86" i="1"/>
  <c r="D120" i="1"/>
  <c r="D121" i="1" s="1"/>
  <c r="D122" i="1" s="1"/>
  <c r="D86" i="1"/>
  <c r="H109" i="1"/>
  <c r="F109" i="1"/>
  <c r="H194" i="10"/>
  <c r="G142" i="11"/>
  <c r="F97" i="1"/>
  <c r="D109" i="1"/>
  <c r="N86" i="1"/>
  <c r="N120" i="1"/>
  <c r="N121" i="1" s="1"/>
  <c r="N122" i="1" s="1"/>
  <c r="L86" i="1"/>
  <c r="L120" i="1"/>
  <c r="L121" i="1" s="1"/>
  <c r="L122" i="1" s="1"/>
  <c r="I86" i="1"/>
  <c r="I120" i="1"/>
  <c r="I121" i="1" s="1"/>
  <c r="I122" i="1" s="1"/>
  <c r="M86" i="1"/>
  <c r="M120" i="1"/>
  <c r="M121" i="1" s="1"/>
  <c r="M122" i="1" s="1"/>
  <c r="K86" i="1"/>
  <c r="K120" i="1"/>
  <c r="K121" i="1" s="1"/>
  <c r="K122" i="1" s="1"/>
  <c r="J86" i="1"/>
  <c r="J120" i="1"/>
  <c r="J121" i="1" s="1"/>
  <c r="J122" i="1" s="1"/>
  <c r="J97" i="1"/>
  <c r="L109" i="1"/>
  <c r="K194" i="10"/>
  <c r="I109" i="1"/>
  <c r="G300" i="11"/>
  <c r="N109" i="1"/>
  <c r="K109" i="1"/>
  <c r="M109" i="1"/>
  <c r="J109" i="1"/>
  <c r="O331" i="13"/>
  <c r="P331" i="13"/>
  <c r="O347" i="13"/>
  <c r="O350" i="13" s="1"/>
  <c r="O328" i="13"/>
  <c r="O337" i="13"/>
  <c r="O338" i="13" l="1"/>
  <c r="O339" i="13" l="1"/>
  <c r="O340" i="13"/>
  <c r="P337" i="13"/>
  <c r="P338" i="13" s="1"/>
  <c r="P340" i="13" s="1"/>
  <c r="P328" i="13"/>
  <c r="P347" i="13"/>
  <c r="P350" i="13" s="1"/>
  <c r="P339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Delaney</author>
    <author>Delaney</author>
  </authors>
  <commentList>
    <comment ref="L9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Kevin Delaney:</t>
        </r>
        <r>
          <rPr>
            <sz val="9"/>
            <color indexed="81"/>
            <rFont val="Tahoma"/>
            <family val="2"/>
          </rPr>
          <t xml:space="preserve">
includes $28k for concrete sidewalks</t>
        </r>
      </text>
    </comment>
    <comment ref="N95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Kevin Delaney:</t>
        </r>
        <r>
          <rPr>
            <sz val="9"/>
            <color indexed="81"/>
            <rFont val="Tahoma"/>
            <family val="2"/>
          </rPr>
          <t xml:space="preserve">
includes $28k for concrete sidewalks</t>
        </r>
      </text>
    </comment>
    <comment ref="L9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Kevin Delaney:</t>
        </r>
        <r>
          <rPr>
            <sz val="9"/>
            <color indexed="81"/>
            <rFont val="Tahoma"/>
            <family val="2"/>
          </rPr>
          <t xml:space="preserve">
includes $28k for concrete sidewalks</t>
        </r>
      </text>
    </comment>
    <comment ref="N96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Kevin Delaney:</t>
        </r>
        <r>
          <rPr>
            <sz val="9"/>
            <color indexed="81"/>
            <rFont val="Tahoma"/>
            <family val="2"/>
          </rPr>
          <t xml:space="preserve">
includes $28k for concrete sidewalks</t>
        </r>
      </text>
    </comment>
    <comment ref="L217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Kevin Delaney:</t>
        </r>
        <r>
          <rPr>
            <sz val="9"/>
            <color indexed="81"/>
            <rFont val="Tahoma"/>
            <family val="2"/>
          </rPr>
          <t xml:space="preserve">
incorporate into Wilcox Ave paving projects</t>
        </r>
      </text>
    </comment>
    <comment ref="N219" authorId="0" shapeId="0" xr:uid="{00000000-0006-0000-0500-000006000000}">
      <text>
        <r>
          <rPr>
            <sz val="9"/>
            <color indexed="81"/>
            <rFont val="Tahoma"/>
            <family val="2"/>
          </rPr>
          <t>Per TM, only replace lights</t>
        </r>
      </text>
    </comment>
    <comment ref="O219" authorId="0" shapeId="0" xr:uid="{00000000-0006-0000-0500-000007000000}">
      <text>
        <r>
          <rPr>
            <sz val="9"/>
            <color indexed="81"/>
            <rFont val="Tahoma"/>
            <family val="2"/>
          </rPr>
          <t>Per TM, only replace lights</t>
        </r>
      </text>
    </comment>
    <comment ref="R219" authorId="0" shapeId="0" xr:uid="{00000000-0006-0000-0500-000008000000}">
      <text>
        <r>
          <rPr>
            <sz val="9"/>
            <color indexed="81"/>
            <rFont val="Tahoma"/>
            <family val="2"/>
          </rPr>
          <t>Per TM, only replace lights</t>
        </r>
      </text>
    </comment>
    <comment ref="N286" authorId="1" shapeId="0" xr:uid="{00000000-0006-0000-0500-000009000000}">
      <text>
        <r>
          <rPr>
            <b/>
            <sz val="9"/>
            <color indexed="81"/>
            <rFont val="Tahoma"/>
            <family val="2"/>
          </rPr>
          <t>Delaney:</t>
        </r>
        <r>
          <rPr>
            <sz val="9"/>
            <color indexed="81"/>
            <rFont val="Tahoma"/>
            <family val="2"/>
          </rPr>
          <t xml:space="preserve">
assumes McGee is completed with existing BOE funds in FY18 @ cost of $40k</t>
        </r>
      </text>
    </comment>
    <comment ref="O286" authorId="1" shapeId="0" xr:uid="{CDA27E4D-A834-4E49-928C-8B89573B97F4}">
      <text>
        <r>
          <rPr>
            <b/>
            <sz val="9"/>
            <color indexed="81"/>
            <rFont val="Tahoma"/>
            <family val="2"/>
          </rPr>
          <t>Delaney:</t>
        </r>
        <r>
          <rPr>
            <sz val="9"/>
            <color indexed="81"/>
            <rFont val="Tahoma"/>
            <family val="2"/>
          </rPr>
          <t xml:space="preserve">
assumes McGee is completed with existing BOE funds in FY18 @ cost of $40k</t>
        </r>
      </text>
    </comment>
    <comment ref="W355" authorId="1" shapeId="0" xr:uid="{00000000-0006-0000-0500-00000A000000}">
      <text>
        <r>
          <rPr>
            <b/>
            <sz val="9"/>
            <color indexed="81"/>
            <rFont val="Tahoma"/>
            <family val="2"/>
          </rPr>
          <t>Delaney:</t>
        </r>
        <r>
          <rPr>
            <sz val="9"/>
            <color indexed="81"/>
            <rFont val="Tahoma"/>
            <family val="2"/>
          </rPr>
          <t xml:space="preserve">
$2.5M for air conditioning
$1.2M for boilers
Per School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Delaney</author>
  </authors>
  <commentList>
    <comment ref="I5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Kevin Delaney:</t>
        </r>
        <r>
          <rPr>
            <sz val="9"/>
            <color indexed="81"/>
            <rFont val="Tahoma"/>
            <family val="2"/>
          </rPr>
          <t xml:space="preserve">
IT 5-yr plan submission plus $20k for Vision software in Assessors Office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Delaney</author>
  </authors>
  <commentList>
    <comment ref="E1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Kevin Delaney:</t>
        </r>
        <r>
          <rPr>
            <sz val="9"/>
            <color indexed="81"/>
            <rFont val="Tahoma"/>
            <family val="2"/>
          </rPr>
          <t xml:space="preserve">
includes $28k for concrete sidewalks</t>
        </r>
      </text>
    </comment>
    <comment ref="E1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Kevin Delaney:</t>
        </r>
        <r>
          <rPr>
            <sz val="9"/>
            <color indexed="81"/>
            <rFont val="Tahoma"/>
            <family val="2"/>
          </rPr>
          <t xml:space="preserve">
includes $28k for concrete sidewalks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Delaney</author>
  </authors>
  <commentList>
    <comment ref="E9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Kevin Delaney:</t>
        </r>
        <r>
          <rPr>
            <sz val="9"/>
            <color indexed="81"/>
            <rFont val="Tahoma"/>
            <family val="2"/>
          </rPr>
          <t xml:space="preserve">
incorporate into Wilcox Ave paving projects</t>
        </r>
      </text>
    </comment>
  </commentList>
</comments>
</file>

<file path=xl/sharedStrings.xml><?xml version="1.0" encoding="utf-8"?>
<sst xmlns="http://schemas.openxmlformats.org/spreadsheetml/2006/main" count="5646" uniqueCount="784">
  <si>
    <t>TOWN</t>
  </si>
  <si>
    <t>Schools</t>
  </si>
  <si>
    <t>FY18</t>
  </si>
  <si>
    <t>FY19</t>
  </si>
  <si>
    <t>FY20</t>
  </si>
  <si>
    <t>FY21</t>
  </si>
  <si>
    <t>FY22</t>
  </si>
  <si>
    <t>FY23</t>
  </si>
  <si>
    <t>FY24</t>
  </si>
  <si>
    <t>FY25</t>
  </si>
  <si>
    <t>FY26</t>
  </si>
  <si>
    <t>FY27</t>
  </si>
  <si>
    <t>Replace artifical turf at Scalise</t>
  </si>
  <si>
    <t>BAN</t>
  </si>
  <si>
    <t>Rebuild Zipadelli infield</t>
  </si>
  <si>
    <t>Soccer Goals (3 sets)</t>
  </si>
  <si>
    <t>GF</t>
  </si>
  <si>
    <t>BHS Track - Resurfacing</t>
  </si>
  <si>
    <t>BHS field inside track</t>
  </si>
  <si>
    <t>Bond</t>
  </si>
  <si>
    <t>Large rotary mower</t>
  </si>
  <si>
    <t>Ball field groomer</t>
  </si>
  <si>
    <t>Trailer (20 ft.) replacement</t>
  </si>
  <si>
    <t>Zero degree mower</t>
  </si>
  <si>
    <t>Sage Park auxiliary field</t>
  </si>
  <si>
    <t>Mini excavator (used)</t>
  </si>
  <si>
    <t>Patterson Way property development</t>
  </si>
  <si>
    <t>Leaf box</t>
  </si>
  <si>
    <t>Sage 1 &amp; 2 construction - bathrooms &amp; concession, dugouts at Sage 2</t>
  </si>
  <si>
    <t>Dredging Sage Pond</t>
  </si>
  <si>
    <t>Ragged Mountain Walking Trails</t>
  </si>
  <si>
    <t>Gravely Sweeper</t>
  </si>
  <si>
    <t>Roller</t>
  </si>
  <si>
    <t>Sage Park front reconstruction (add fields)</t>
  </si>
  <si>
    <t>Schools Total</t>
  </si>
  <si>
    <t>Grand Total</t>
  </si>
  <si>
    <t>Town Total</t>
  </si>
  <si>
    <t>LoCIP</t>
  </si>
  <si>
    <t>Grants</t>
  </si>
  <si>
    <t>Riding mower (w/ cab, plow &amp; broom)</t>
  </si>
  <si>
    <t>Future bikeways</t>
  </si>
  <si>
    <t>Pistol Creek Field Development</t>
  </si>
  <si>
    <t>Lightening Warning System</t>
  </si>
  <si>
    <t>Petit Field Addition: Challenger Field</t>
  </si>
  <si>
    <t>Zipadelli Field - artifical surface</t>
  </si>
  <si>
    <t>FY28</t>
  </si>
  <si>
    <t>Public Grounds</t>
  </si>
  <si>
    <t>Public Buildings</t>
  </si>
  <si>
    <t>Bridges</t>
  </si>
  <si>
    <t>Vehicles</t>
  </si>
  <si>
    <t>Water Control</t>
  </si>
  <si>
    <t>TOTAL</t>
  </si>
  <si>
    <t>Roads</t>
  </si>
  <si>
    <t>Total Debt Request</t>
  </si>
  <si>
    <t>roads will be developed and maintained in Public Works/Highway.</t>
  </si>
  <si>
    <t>GF: General Fund - paid through annual property tax levy.</t>
  </si>
  <si>
    <t>LoCIP: Cocal Capital Improvement Project money - funded by the State of Connecticut</t>
  </si>
  <si>
    <t>Bond: long-term bond funding</t>
  </si>
  <si>
    <t>BAN: short-term note funding</t>
  </si>
  <si>
    <t>Water Control: paid by usage assessments - only applies to Berlin Water Control residents, not the entire Town of Berlin</t>
  </si>
  <si>
    <t>Water</t>
  </si>
  <si>
    <t>Sewer</t>
  </si>
  <si>
    <t>Town of Berlin</t>
  </si>
  <si>
    <t>10-Year Capital Improvement Plan (CIP)</t>
  </si>
  <si>
    <t>Fiscal Year 2018 - 2028</t>
  </si>
  <si>
    <t>Berlin Water Control</t>
  </si>
  <si>
    <t>10-Year Capital Improvement Plan (CIP) - Public Grounds</t>
  </si>
  <si>
    <t>10-Year Capital Improvement Plan (CIP) - Public Buildings</t>
  </si>
  <si>
    <t>10-Year Capital Improvement Plan (CIP) - Bridges</t>
  </si>
  <si>
    <t>10-Year Capital Improvement Plan (CIP) - Parking Lots</t>
  </si>
  <si>
    <t>10-Year Capital Improvement Plan (CIP) - Vehicles</t>
  </si>
  <si>
    <t>10-Year Capital Improvement Plan (CIP) - Summary</t>
  </si>
  <si>
    <t>Assumptions:</t>
  </si>
  <si>
    <t>(1)  Farmington Av.: total cost $2.3 million; 80% federal, 10% state, 10% town</t>
  </si>
  <si>
    <t>(2)  Spruce Brook: total cost $1.6 million; 31% state 69% town</t>
  </si>
  <si>
    <t>(4)  Burnham Street: total cost $2.31 million; 47% state, 53% town</t>
  </si>
  <si>
    <t>(3)  High Road: total cost $2.45 million; 47% state, 53% town</t>
  </si>
  <si>
    <t>Farmington Av (remainder paid from existing bond money)</t>
  </si>
  <si>
    <t>Burham Street</t>
  </si>
  <si>
    <t>High Road (initially funded in Sep '17 BAN, then rolled to May '18 bond)</t>
  </si>
  <si>
    <t>East Berlin Pool</t>
  </si>
  <si>
    <t>Dennehy Field</t>
  </si>
  <si>
    <t>Timberlin</t>
  </si>
  <si>
    <t>Sage Park (w Surranna Dr.)</t>
  </si>
  <si>
    <t>Worthington Ridge Playground</t>
  </si>
  <si>
    <t>Senior Center</t>
  </si>
  <si>
    <t>Petit Field</t>
  </si>
  <si>
    <t>Hubbard School Playground</t>
  </si>
  <si>
    <t>Griswold School Playground &amp; Parking Lot</t>
  </si>
  <si>
    <t>Hubbard School Parking Lot</t>
  </si>
  <si>
    <t>Paper Goods Pond</t>
  </si>
  <si>
    <t>Parking Lots &amp; Playgrounds</t>
  </si>
  <si>
    <t>Percival Field/Pool</t>
  </si>
  <si>
    <t>Pistol Creek</t>
  </si>
  <si>
    <t>Veterans Park</t>
  </si>
  <si>
    <t>McGee School Parking Lot</t>
  </si>
  <si>
    <t>Williard School Parking Lot &amp; Playground</t>
  </si>
  <si>
    <t>Town Hall Parking Lot &amp; Road</t>
  </si>
  <si>
    <t>Berlin High School Parking Lot (2031)</t>
  </si>
  <si>
    <t>Spruce Brook (latest est = $1,120,000 for town share)</t>
  </si>
  <si>
    <t>10-Year Capital Improvement Plan (CIP) - Other Capital Needs</t>
  </si>
  <si>
    <t>Other Capital Needs</t>
  </si>
  <si>
    <t>Fire - SCBA Equipment</t>
  </si>
  <si>
    <t>Police - Radio Equipment</t>
  </si>
  <si>
    <t>Hubbard School Roof</t>
  </si>
  <si>
    <t>FY18 assumes on 50% of annual amount b/c of existing balance in the</t>
  </si>
  <si>
    <t>Road fund.</t>
  </si>
  <si>
    <t>Business Continuity</t>
  </si>
  <si>
    <t>McGee Lockers</t>
  </si>
  <si>
    <t>Security Cameras (various schools)</t>
  </si>
  <si>
    <t>Railroad Pond Dam (pursuing State grant funding)</t>
  </si>
  <si>
    <t>Community Center - TBD, referendum likely required</t>
  </si>
  <si>
    <t>Faciltiies - Generators (still being evaluated)</t>
  </si>
  <si>
    <t>Fire - Heavy Engines</t>
  </si>
  <si>
    <t>Fire - Brush Engines</t>
  </si>
  <si>
    <t>Fire - Specialty Units</t>
  </si>
  <si>
    <t>Fire - Utility Vehicles</t>
  </si>
  <si>
    <t>Fire - Stand By Generators</t>
  </si>
  <si>
    <t>Faciltiies - Service Vans</t>
  </si>
  <si>
    <t>Facilities - Specialty &amp; Supervisors</t>
  </si>
  <si>
    <t>Highway - large dump trucks</t>
  </si>
  <si>
    <t>Highway - small dump truck</t>
  </si>
  <si>
    <t>Highway - 250/350 dump trucks</t>
  </si>
  <si>
    <t>Highway - Equipment</t>
  </si>
  <si>
    <t>Police - Patrol Units</t>
  </si>
  <si>
    <t>Police - K9 Units</t>
  </si>
  <si>
    <t>Police - SRO</t>
  </si>
  <si>
    <t>Police - Supervisor SUV</t>
  </si>
  <si>
    <t>Police - Unmarked/Admin</t>
  </si>
  <si>
    <t>Parks &amp; Grounds - Dump Trucks</t>
  </si>
  <si>
    <t>Parks &amp; Grounds - Service Trucks</t>
  </si>
  <si>
    <t>Parks &amp; Grounds - Pick Ups</t>
  </si>
  <si>
    <t>Parks &amp; Grounds - Trailers</t>
  </si>
  <si>
    <t>Parks &amp; Grounds - Equipment</t>
  </si>
  <si>
    <t>All Other - Passenger Cars</t>
  </si>
  <si>
    <t>All Other - 4X4 SUVs</t>
  </si>
  <si>
    <t>All Other - Buses</t>
  </si>
  <si>
    <t>All Other - Pick Ups</t>
  </si>
  <si>
    <t>All Other - Special Service</t>
  </si>
  <si>
    <t>Vans</t>
  </si>
  <si>
    <t>Cars</t>
  </si>
  <si>
    <t>Service Vehicles (2031)</t>
  </si>
  <si>
    <t>Are Bond/BAN amounts below $10 million?</t>
  </si>
  <si>
    <t>Are Bond/BAN amounts below $5 million?</t>
  </si>
  <si>
    <t>McGee Phones</t>
  </si>
  <si>
    <t>Plan of Conservation &amp; Development Implementation Studies</t>
  </si>
  <si>
    <t>Street Sign Replacement</t>
  </si>
  <si>
    <t>Develop New Business Park (Econ. Dev.) - TBD, referendum likely required</t>
  </si>
  <si>
    <t>Wireless Zone Study</t>
  </si>
  <si>
    <t>Prepare redevelopment plan for Washington Av area</t>
  </si>
  <si>
    <t>Microwave system (Fire)</t>
  </si>
  <si>
    <t>Pump simulator</t>
  </si>
  <si>
    <t>Training Tower</t>
  </si>
  <si>
    <t>Off Road UTV</t>
  </si>
  <si>
    <t>Rescue Tools</t>
  </si>
  <si>
    <t>Boat &amp; Motor</t>
  </si>
  <si>
    <t>Interstate Stabilization System</t>
  </si>
  <si>
    <t>Pistol Replacement</t>
  </si>
  <si>
    <t>Body Armor Replacement</t>
  </si>
  <si>
    <t>Live Fire Simulation (Police)</t>
  </si>
  <si>
    <t>Body Camera System</t>
  </si>
  <si>
    <t>AFIS Livescan Replacement</t>
  </si>
  <si>
    <t>CAD/RMS System Replacement</t>
  </si>
  <si>
    <t>Taser Replacement</t>
  </si>
  <si>
    <t>New UPS Units for Servers</t>
  </si>
  <si>
    <t>NCIC Computers</t>
  </si>
  <si>
    <t>NCIC Printer</t>
  </si>
  <si>
    <t>NCIC Color Printer</t>
  </si>
  <si>
    <t>Computer Replacements</t>
  </si>
  <si>
    <t>Printer Replacements</t>
  </si>
  <si>
    <t>Laptop Replacements</t>
  </si>
  <si>
    <t>Dispatch Monitor Replacement</t>
  </si>
  <si>
    <t>CAD/RMS Migration</t>
  </si>
  <si>
    <t>Server/SAN/Switch Replacements</t>
  </si>
  <si>
    <t>Message Switch Warranty</t>
  </si>
  <si>
    <t>Backup Hardware Replacement</t>
  </si>
  <si>
    <t>CAD/RMS Enterprise Upgrade</t>
  </si>
  <si>
    <t>Drainage Analysis/Improvements</t>
  </si>
  <si>
    <t>Recycling Center Improvements</t>
  </si>
  <si>
    <t>Sidewalk Replacement (TAR)</t>
  </si>
  <si>
    <t>MUTCD Sign Replacement</t>
  </si>
  <si>
    <t>New Garage Facility - TBD, referendum likely required</t>
  </si>
  <si>
    <t>Tables/ Chairs @ Communtiy Center</t>
  </si>
  <si>
    <t>Exercise Equipment @ Community Center</t>
  </si>
  <si>
    <t>Splash Pad</t>
  </si>
  <si>
    <t>Golf Equip Lease - SandPro, Utility Verhicle, Arifier &amp; Greens Mower</t>
  </si>
  <si>
    <t>Golf Equip Lease - Large Rough Mower &amp; Fairway Mower</t>
  </si>
  <si>
    <t>Golf Equip Lease - Greens Mower, Dump Body Utility</t>
  </si>
  <si>
    <t>Architectural Study 1st Floor Expansion</t>
  </si>
  <si>
    <t>Nursing - Computer Equipment</t>
  </si>
  <si>
    <t>Nursing - Telemonitor Lease</t>
  </si>
  <si>
    <t>Electrical Panel Upgrade - all schools</t>
  </si>
  <si>
    <t>Masonary Repairs &amp; Installation - all schools</t>
  </si>
  <si>
    <t>Plumbing Fixture Upgrades - all schools</t>
  </si>
  <si>
    <t>Boiler Replacement - Hubbard (2)</t>
  </si>
  <si>
    <t>Boiler Replacement - Willard (2)</t>
  </si>
  <si>
    <t>Window Replacement @ McGee</t>
  </si>
  <si>
    <t>Roof Top Unit Replacement</t>
  </si>
  <si>
    <t>HVAC - Griswold</t>
  </si>
  <si>
    <t>HVAC - Hubbard</t>
  </si>
  <si>
    <t>Fire Alarm Upgrades - McGee</t>
  </si>
  <si>
    <t>Fire Alarm Upgrades - Hubbard</t>
  </si>
  <si>
    <t>Fire Alarm Upgrades - Willard</t>
  </si>
  <si>
    <t>Fire Alarm Upgrades - Griswold</t>
  </si>
  <si>
    <t>Technology - Various</t>
  </si>
  <si>
    <t>Go Forward (Placeholder)</t>
  </si>
  <si>
    <t>Dept</t>
  </si>
  <si>
    <t>Inventory management system</t>
  </si>
  <si>
    <t>02</t>
  </si>
  <si>
    <t>07</t>
  </si>
  <si>
    <t>03</t>
  </si>
  <si>
    <t>Worthington Meetings House - TBD, paid with grant funding</t>
  </si>
  <si>
    <t>Deming Road House (Mobile Home caretakers house?)</t>
  </si>
  <si>
    <t>Old Peck/Historical Society - TBD, need guidance on future use</t>
  </si>
  <si>
    <t>Pistol Creek - TBD</t>
  </si>
  <si>
    <t>Community Art League/Ledge School - TBD</t>
  </si>
  <si>
    <t>Facilities - addition</t>
  </si>
  <si>
    <t>South Kensington Fire House - building modifications</t>
  </si>
  <si>
    <t>Town Hall:</t>
  </si>
  <si>
    <t xml:space="preserve">     Storefront, Access Controls,Gutters</t>
  </si>
  <si>
    <t xml:space="preserve">     Window Replacement</t>
  </si>
  <si>
    <t xml:space="preserve">     Roof Repl-Est</t>
  </si>
  <si>
    <t xml:space="preserve">     Exhaust Fans</t>
  </si>
  <si>
    <t xml:space="preserve">     Elevators Modifications</t>
  </si>
  <si>
    <t>Physical Services - Roof Repairs (includes Highway, Water, Public Buildings, Fleet Garage)</t>
  </si>
  <si>
    <t>Townwide - ADA Compliance</t>
  </si>
  <si>
    <t>Berlin-Peck Library:</t>
  </si>
  <si>
    <t xml:space="preserve">     Soffit Replacement</t>
  </si>
  <si>
    <t xml:space="preserve">     Fire Alarm Upgrade</t>
  </si>
  <si>
    <t xml:space="preserve">     Chiller Replacement</t>
  </si>
  <si>
    <t xml:space="preserve">     Roof Replacement</t>
  </si>
  <si>
    <t xml:space="preserve">     New Windows</t>
  </si>
  <si>
    <t xml:space="preserve">     Carpet Replacement</t>
  </si>
  <si>
    <t>Community Center:</t>
  </si>
  <si>
    <t xml:space="preserve">     HVAC</t>
  </si>
  <si>
    <t>Senior Center:</t>
  </si>
  <si>
    <t xml:space="preserve">     HVAC-1</t>
  </si>
  <si>
    <t xml:space="preserve">     HVAC-2</t>
  </si>
  <si>
    <t xml:space="preserve">     Replace Windows</t>
  </si>
  <si>
    <t xml:space="preserve">     Handicap Door</t>
  </si>
  <si>
    <t>HVAC - Willard</t>
  </si>
  <si>
    <t>HVAC - McGee</t>
  </si>
  <si>
    <t>REFERENDUM</t>
  </si>
  <si>
    <t>Bond - E</t>
  </si>
  <si>
    <t>Bond - E: existing long-term bond funding where bond funds are reallocated to an authorized bonded project other than the original authorized bonded project - normally used when bond funds remain at the end of bonded project</t>
  </si>
  <si>
    <t>Security Vestibules - all schools except BHS</t>
  </si>
  <si>
    <t>Department</t>
  </si>
  <si>
    <t>Project</t>
  </si>
  <si>
    <t>Fire Department</t>
  </si>
  <si>
    <t>Police Department</t>
  </si>
  <si>
    <t>Public Works</t>
  </si>
  <si>
    <t>10-Year Capital Improvement Plan (CIP) - Bond/BAN Details</t>
  </si>
  <si>
    <t>Library - First Floor Renovation - need new community ctr first ($1 million)</t>
  </si>
  <si>
    <t>Financing criteria based on the proposed capital &amp; bond policies:</t>
  </si>
  <si>
    <t>Project/Asset Total Cost</t>
  </si>
  <si>
    <t>Cash</t>
  </si>
  <si>
    <t>Capital Lease</t>
  </si>
  <si>
    <t>BAN (S-T)</t>
  </si>
  <si>
    <t>Bond (L-T)</t>
  </si>
  <si>
    <t>Less than $100,000</t>
  </si>
  <si>
    <t>ü</t>
  </si>
  <si>
    <t> </t>
  </si>
  <si>
    <t>$100,000 - $500,000</t>
  </si>
  <si>
    <t>More than $500,000</t>
  </si>
  <si>
    <t>Pool Building - Percival (borrow in middle or end of project, work done in FY20)</t>
  </si>
  <si>
    <t>Pool Building - East Berlin (borrow in middle or end of project, work done in FY20)</t>
  </si>
  <si>
    <t>Goal: budget $700,000/year in General Fund</t>
  </si>
  <si>
    <t>Goal: budget $250,000/year in General Fund - replace one parking lot per yr</t>
  </si>
  <si>
    <t>Goal: shift funding to General Fund as bridge maintenace becomes priority</t>
  </si>
  <si>
    <t xml:space="preserve">Assumes a flat $1 million annually for roads.  Cycle of individual </t>
  </si>
  <si>
    <t>Goal: shift from bonding to General Fund financing starting in FY22</t>
  </si>
  <si>
    <t>Funding</t>
  </si>
  <si>
    <t>Town</t>
  </si>
  <si>
    <t>School</t>
  </si>
  <si>
    <t>Annual Roads</t>
  </si>
  <si>
    <t>Capital Item</t>
  </si>
  <si>
    <t>Town/School</t>
  </si>
  <si>
    <t>Future projects that either require approval at referendum or require another event before proceeding:</t>
  </si>
  <si>
    <t>Police Station - TBD, referendum likely required if build new ($1.1 million renovation)</t>
  </si>
  <si>
    <t>TBD</t>
  </si>
  <si>
    <t>Public Buildings - Town Hall</t>
  </si>
  <si>
    <t>Public Buildings - Library</t>
  </si>
  <si>
    <t>5-Year Capital Plan Details</t>
  </si>
  <si>
    <t>Replace locks  at Sage Park</t>
  </si>
  <si>
    <t>Folder/Inserter</t>
  </si>
  <si>
    <t>Priority</t>
  </si>
  <si>
    <t>Grant</t>
  </si>
  <si>
    <t>Highway - large dump trucks (was $102,500, but emergency purchase was madei n FY18)</t>
  </si>
  <si>
    <t>Bridge Preservation Work (Worthington Ridge,  Berlin Street, Wildermere Road and Heritage Drive)</t>
  </si>
  <si>
    <t>use annual amount in FY20 to fund balance</t>
  </si>
  <si>
    <t>Pushed out to</t>
  </si>
  <si>
    <t>CNR?</t>
  </si>
  <si>
    <t>Carryover from Sr Ctr</t>
  </si>
  <si>
    <t>Grants?</t>
  </si>
  <si>
    <t>Golf CIP fee?</t>
  </si>
  <si>
    <t>Any opportunity to push tech items in Police out 1 or more years?</t>
  </si>
  <si>
    <t>Burnham St bridge, East Berlin &amp; Dennehy field parking lots moved from FY19</t>
  </si>
  <si>
    <t>Pushed out to FY23</t>
  </si>
  <si>
    <t>Sage 1&amp;2 construction, dredging Sage pond &amp; Ragged Mtn walking trails moved from FY21</t>
  </si>
  <si>
    <t>Pushed out to FY2020</t>
  </si>
  <si>
    <t>pushed to FY2020</t>
  </si>
  <si>
    <t>Burnham Street</t>
  </si>
  <si>
    <t>High Road</t>
  </si>
  <si>
    <t>Use for Spruce Brook</t>
  </si>
  <si>
    <t>Move to operational?</t>
  </si>
  <si>
    <t>Grant money from the State?</t>
  </si>
  <si>
    <t>Usa proceeds from firetruck sales?</t>
  </si>
  <si>
    <t>assumes "pad" is added in FY19 and cost in FY28 is approximately 1/2 of FY 19 b/c just replacing turf (pad+turf every 20 years &amp; turf every 10 years)</t>
  </si>
  <si>
    <t>Golf Equip Lease - Triplex mowers, greens/tees</t>
  </si>
  <si>
    <t>Police - cruiser equipment</t>
  </si>
  <si>
    <t>As of October 30, 2017</t>
  </si>
  <si>
    <t>Boulevard to Train Station</t>
  </si>
  <si>
    <t>Fire - Complete Radio System (incl. Microwave Systems)</t>
  </si>
  <si>
    <t>Cameras</t>
  </si>
  <si>
    <t>Meters</t>
  </si>
  <si>
    <t>General Government</t>
  </si>
  <si>
    <t>Public Safety</t>
  </si>
  <si>
    <t>Community Development</t>
  </si>
  <si>
    <t>All Other - Pool Cars</t>
  </si>
  <si>
    <t>Gantry Crane</t>
  </si>
  <si>
    <t>4 Post Vehicle Lift</t>
  </si>
  <si>
    <t>(2) 40 Ton Wheel Lifts</t>
  </si>
  <si>
    <t>Stormwater Management</t>
  </si>
  <si>
    <t>Flood Control Projects</t>
  </si>
  <si>
    <t>Townwide Sidewalks</t>
  </si>
  <si>
    <t xml:space="preserve">Paper Goods Pond Dam </t>
  </si>
  <si>
    <t>Highway - Front End Loader</t>
  </si>
  <si>
    <t>Highway - Asphalt Uploader</t>
  </si>
  <si>
    <t>Highway - Tractor/Mower</t>
  </si>
  <si>
    <t>Highway - Rack Body</t>
  </si>
  <si>
    <t>Highway - Pickup Truck</t>
  </si>
  <si>
    <t>Highway - Paving Box</t>
  </si>
  <si>
    <t>Negotiating sale of mobile home park - incl. demolishing house with sale</t>
  </si>
  <si>
    <t>Physical Services - Gutter &amp; Gables replacement</t>
  </si>
  <si>
    <t>split cost b/w library &amp; community ctr</t>
  </si>
  <si>
    <t xml:space="preserve">     Gutter Roof Trace</t>
  </si>
  <si>
    <t>Garage:</t>
  </si>
  <si>
    <t>Timrberline:</t>
  </si>
  <si>
    <t xml:space="preserve">     Masonry repairs</t>
  </si>
  <si>
    <t xml:space="preserve">     Boiler replacement</t>
  </si>
  <si>
    <t xml:space="preserve">     Flooring replacement - multi-purpose room</t>
  </si>
  <si>
    <t>Security System upgrades - Townwide</t>
  </si>
  <si>
    <t xml:space="preserve">     Window replacement</t>
  </si>
  <si>
    <t xml:space="preserve">     Electrical service upgrades</t>
  </si>
  <si>
    <t xml:space="preserve">     Exit door replacement</t>
  </si>
  <si>
    <t xml:space="preserve">     Roof, windos &amp; door replacement - Timberlin Maintenance</t>
  </si>
  <si>
    <t xml:space="preserve">     HVAC upgrades</t>
  </si>
  <si>
    <t>Upgrade &amp; repairs of Sage Park restrooms</t>
  </si>
  <si>
    <t>Concession Building Upgrades - Little League</t>
  </si>
  <si>
    <t>Golf - used pickup truck</t>
  </si>
  <si>
    <t>Golf - Wash Station</t>
  </si>
  <si>
    <t>Golf - Driving Range</t>
  </si>
  <si>
    <t>Makerspace Equipment</t>
  </si>
  <si>
    <t>Makerspace Room</t>
  </si>
  <si>
    <t>Goosinator</t>
  </si>
  <si>
    <t>Playground Equipment</t>
  </si>
  <si>
    <t>Fencing - Parks</t>
  </si>
  <si>
    <t>Kitchen cabinet replacement</t>
  </si>
  <si>
    <t>Phones for all four schools (ex BHS, but integrated with BHS)</t>
  </si>
  <si>
    <t>Clean up wiring at McGee</t>
  </si>
  <si>
    <t>Switches (75% BOE/25% Town)</t>
  </si>
  <si>
    <t>Drinking Fountain Replacement (all schools ex BHS)</t>
  </si>
  <si>
    <t>Willard Softball Field Improvements</t>
  </si>
  <si>
    <t>GriswoldPulcini/Garrity Baseball Field Improvements</t>
  </si>
  <si>
    <t>BHS Rebuild Soccer Field</t>
  </si>
  <si>
    <t>Placeholder</t>
  </si>
  <si>
    <t>Physical Services</t>
  </si>
  <si>
    <t>Parks, Recreation &amp; Libraries</t>
  </si>
  <si>
    <t>Health &amp; Human Services</t>
  </si>
  <si>
    <t>Schools (incl in Physical Services)</t>
  </si>
  <si>
    <t>Safety Equipment</t>
  </si>
  <si>
    <t>Grants: various grant sources other including TAR and other than State of Connecticut grants</t>
  </si>
  <si>
    <t>Sage 1 &amp; 2 construction</t>
  </si>
  <si>
    <t>Projects NOT included in the 10-year plan</t>
  </si>
  <si>
    <t>Police Station - TBD, referendum likely required if build new ($1.1MM renovate)</t>
  </si>
  <si>
    <t>Develop New Business Park (Econ. Dev.) - TBD</t>
  </si>
  <si>
    <t xml:space="preserve">     Chiller Replacement (split 50/50 with Community Center below)</t>
  </si>
  <si>
    <t xml:space="preserve">     Chiller Replacement (split 50/50 with Library above)</t>
  </si>
  <si>
    <t>Total Public Grounds</t>
  </si>
  <si>
    <t>Total Public Buildings</t>
  </si>
  <si>
    <t>Total Bridges</t>
  </si>
  <si>
    <t>Total Roads</t>
  </si>
  <si>
    <t>Total Parking Lots &amp; Playgrounds</t>
  </si>
  <si>
    <t>Total Vehicles</t>
  </si>
  <si>
    <t>Total Other Capital Needs</t>
  </si>
  <si>
    <t>Total Water Control</t>
  </si>
  <si>
    <t>(May 2017)</t>
  </si>
  <si>
    <t>FY24:  $2.5M</t>
  </si>
  <si>
    <t>FY25: $2.5M</t>
  </si>
  <si>
    <t>FY24: $0.5M</t>
  </si>
  <si>
    <t>FY23: $0.3M</t>
  </si>
  <si>
    <t>FY27: $1.5M</t>
  </si>
  <si>
    <t>Police Station - TBD, referendum likely required if build new ($1.1 million remodel)</t>
  </si>
  <si>
    <t>SMALL CAPITAL (less than $50,000)</t>
  </si>
  <si>
    <t>LARGE CAPITAL ($50,000 or more)</t>
  </si>
  <si>
    <t>Small Capital</t>
  </si>
  <si>
    <t>Large Capital</t>
  </si>
  <si>
    <t>Need to add next cycle when FY 2029 is added with next CIP</t>
  </si>
  <si>
    <t>BHS Track - Resurfacing (assumed 10% cost increase with each 5-yr cycle)</t>
  </si>
  <si>
    <t>Parking Lots</t>
  </si>
  <si>
    <t>Fiscal Year 2019 Requests</t>
  </si>
  <si>
    <t xml:space="preserve">     Masonry repairs (Town Hall)</t>
  </si>
  <si>
    <t xml:space="preserve">     Handicap Door (Community Center)</t>
  </si>
  <si>
    <t xml:space="preserve">     HVAC (Community Center)</t>
  </si>
  <si>
    <t xml:space="preserve">     HVAC-2 (Senior Center)</t>
  </si>
  <si>
    <t xml:space="preserve">     Storefront, Access Controls,Gutters (Town Hall)</t>
  </si>
  <si>
    <t xml:space="preserve">     Gutter Roof Trace (Town Hall)</t>
  </si>
  <si>
    <t xml:space="preserve">     Soffit Replacement (Berlin-Peck Library)</t>
  </si>
  <si>
    <t>Vans (School)</t>
  </si>
  <si>
    <t>Grouping</t>
  </si>
  <si>
    <t>Total</t>
  </si>
  <si>
    <t>Lg</t>
  </si>
  <si>
    <t>Large/</t>
  </si>
  <si>
    <t>Small</t>
  </si>
  <si>
    <t>Replace Pickup Truck</t>
  </si>
  <si>
    <t>Inflow/Infiltration Abatement</t>
  </si>
  <si>
    <t>Inflow/Infiltration Abatement - Belcher Brook</t>
  </si>
  <si>
    <t>Update Sewer Pump Stations- Deming Rd.</t>
  </si>
  <si>
    <t>Hydrant Replacement Program</t>
  </si>
  <si>
    <t>Loop Weth. Rd. - Design</t>
  </si>
  <si>
    <t>Loop Weth. Rd. - Construction</t>
  </si>
  <si>
    <t>Pump Station - Berlin Turnpike</t>
  </si>
  <si>
    <t>RF Meters</t>
  </si>
  <si>
    <t>Savage Hill Sewer Pump Station Elimination</t>
  </si>
  <si>
    <t>Division St. Main Upgrade - Design</t>
  </si>
  <si>
    <t>Division St. Main Upgrade - Construction</t>
  </si>
  <si>
    <t>Rowley St. - Potable Pump Station Upgrade</t>
  </si>
  <si>
    <t>Water main re-lining E. Berlin - 5,000 ft.</t>
  </si>
  <si>
    <t>Generator at Elton Road</t>
  </si>
  <si>
    <t>Dismantle/Re-locate Woodlawn P.S./Tank Study</t>
  </si>
  <si>
    <t>Replace &amp; Upgrade Meter Pits Study</t>
  </si>
  <si>
    <t>NOT INCLUDED IN THE CAPITAL PLAN</t>
  </si>
  <si>
    <t>Carpeting in McGee auditoriun</t>
  </si>
  <si>
    <t>Willard Renovations</t>
  </si>
  <si>
    <t>Cages for Sports Equipment @ BHS</t>
  </si>
  <si>
    <t>Safety Load Science &amp; Media Center</t>
  </si>
  <si>
    <t>CAFR Grouping</t>
  </si>
  <si>
    <t>Description</t>
  </si>
  <si>
    <t>Library</t>
  </si>
  <si>
    <t>Municipal Garage</t>
  </si>
  <si>
    <t>Development Services</t>
  </si>
  <si>
    <t>Golf Course</t>
  </si>
  <si>
    <t>IT</t>
  </si>
  <si>
    <t>Economic Development</t>
  </si>
  <si>
    <t>Purchase/Remediate 861 Farmington Ave &amp; Rail Spur property</t>
  </si>
  <si>
    <t>Deming Road House (Mobile Home caretakers house)</t>
  </si>
  <si>
    <t>Masonry repairs (Town Hall)</t>
  </si>
  <si>
    <t>Handicap Door (Community Center)</t>
  </si>
  <si>
    <t>HVAC (Community Center)</t>
  </si>
  <si>
    <t>HVAC-1 (Senior Center)</t>
  </si>
  <si>
    <t>HVAC-2 (Senior Center)</t>
  </si>
  <si>
    <t>Electrical service upgrades (Timerlin)</t>
  </si>
  <si>
    <t>Window Replacement (Town Hall)</t>
  </si>
  <si>
    <t>Roof Repl-Est (Town Hall)</t>
  </si>
  <si>
    <t>Gutter Roof Trace (Town Hall)</t>
  </si>
  <si>
    <t>Soffit Replacement (Library)</t>
  </si>
  <si>
    <t>Carpet Replacement (Library)</t>
  </si>
  <si>
    <t>Fire Alarm Upgrade (Library)</t>
  </si>
  <si>
    <t>Roof Replacement (Library)</t>
  </si>
  <si>
    <t>Roof Replacement (Senior Center)</t>
  </si>
  <si>
    <t>Exit door replacement (Senior Center)</t>
  </si>
  <si>
    <t>Roof Replacement (Garage)</t>
  </si>
  <si>
    <t>Boiler replacement (Timberlin)</t>
  </si>
  <si>
    <t>Annual Bridge Maintenance</t>
  </si>
  <si>
    <t>Highway</t>
  </si>
  <si>
    <t>Cruiser equipment</t>
  </si>
  <si>
    <t>Large dump trucks</t>
  </si>
  <si>
    <t>Small dump truck</t>
  </si>
  <si>
    <t>Front End Loader</t>
  </si>
  <si>
    <t>Asphalt Uploader</t>
  </si>
  <si>
    <t>Rack Body</t>
  </si>
  <si>
    <t>Pickup Truck</t>
  </si>
  <si>
    <t>Service Vans</t>
  </si>
  <si>
    <t>Specialty &amp; Supervisors</t>
  </si>
  <si>
    <t>Brush Engines</t>
  </si>
  <si>
    <t>Specialty Units</t>
  </si>
  <si>
    <t>Utility Vehicles</t>
  </si>
  <si>
    <t>Stand By Generators</t>
  </si>
  <si>
    <t>Used pickup truck</t>
  </si>
  <si>
    <t>Dump Trucks</t>
  </si>
  <si>
    <t>Service Trucks</t>
  </si>
  <si>
    <t>Pick Ups</t>
  </si>
  <si>
    <t>Trailers</t>
  </si>
  <si>
    <t>Equipment</t>
  </si>
  <si>
    <t>(Excludes Berlin Water Control - budgeted separately)</t>
  </si>
  <si>
    <t>GRAND TOTAL</t>
  </si>
  <si>
    <t>Roof, windows &amp; door replacement - Timberlin Maintenance (Timberlin)</t>
  </si>
  <si>
    <t>Tables/ Chairs @ Community Center</t>
  </si>
  <si>
    <t>Golf Equip Lease - SandPro, Utility Vehicle, Arifier &amp; Greens Mower</t>
  </si>
  <si>
    <t>Replace artificial turf at Scalise</t>
  </si>
  <si>
    <t>Griswold Pulcini/Garrity Baseball Field Improvements</t>
  </si>
  <si>
    <t>Masonry Repairs &amp; Installation - all schools</t>
  </si>
  <si>
    <t>Switches (75% Schools/25% Town) - schools displayed under dept 61 below</t>
  </si>
  <si>
    <t>East Berlin Pool Parking Lot</t>
  </si>
  <si>
    <t>Timberlin Parking Lot</t>
  </si>
  <si>
    <t>Dennehy Field Parking Lot</t>
  </si>
  <si>
    <t>Worthington Ridge Playground Parking Lot</t>
  </si>
  <si>
    <t>Petit Field Parking Lot</t>
  </si>
  <si>
    <t>Percival Field/Pool Parking Lot</t>
  </si>
  <si>
    <t>Pistol Creek Parking Lot</t>
  </si>
  <si>
    <t>Veterans Park Parking Lot</t>
  </si>
  <si>
    <t>Highway will include when repaving adjoining road</t>
  </si>
  <si>
    <t>Chiller Replacement (Community Center/Library)</t>
  </si>
  <si>
    <t>Fire Marshall</t>
  </si>
  <si>
    <t>Deputy Fire Marshall Verhicle</t>
  </si>
  <si>
    <t>High Road Bridge</t>
  </si>
  <si>
    <t>MUTCD Signs</t>
  </si>
  <si>
    <t>Various Contractual Services</t>
  </si>
  <si>
    <t>11</t>
  </si>
  <si>
    <t>Town Clerk</t>
  </si>
  <si>
    <t>Dept #</t>
  </si>
  <si>
    <t>Patterson Way property purchase/development</t>
  </si>
  <si>
    <t>Security Vestibules - all schools except BHS; BHS completed as part of project</t>
  </si>
  <si>
    <t>Recreation</t>
  </si>
  <si>
    <r>
      <t xml:space="preserve">Vans </t>
    </r>
    <r>
      <rPr>
        <sz val="11"/>
        <color rgb="FFFF0000"/>
        <rFont val="Calibri"/>
        <family val="2"/>
        <scheme val="minor"/>
      </rPr>
      <t>- capital</t>
    </r>
  </si>
  <si>
    <r>
      <t>Service Vehicles (2031)</t>
    </r>
    <r>
      <rPr>
        <sz val="11"/>
        <color rgb="FFFF0000"/>
        <rFont val="Calibri"/>
        <family val="2"/>
        <scheme val="minor"/>
      </rPr>
      <t xml:space="preserve"> - capital</t>
    </r>
  </si>
  <si>
    <r>
      <t xml:space="preserve">Phones for all four schools (ex BHS, but integrated with BHS) </t>
    </r>
    <r>
      <rPr>
        <sz val="11"/>
        <color rgb="FFFF0000"/>
        <rFont val="Calibri"/>
        <family val="2"/>
        <scheme val="minor"/>
      </rPr>
      <t>- capital</t>
    </r>
  </si>
  <si>
    <r>
      <t xml:space="preserve">Willard Renovations </t>
    </r>
    <r>
      <rPr>
        <sz val="11"/>
        <color rgb="FFFF0000"/>
        <rFont val="Calibri"/>
        <family val="2"/>
        <scheme val="minor"/>
      </rPr>
      <t>- site &amp; building</t>
    </r>
  </si>
  <si>
    <r>
      <t xml:space="preserve">Clean up wiring at McGee </t>
    </r>
    <r>
      <rPr>
        <sz val="11"/>
        <color rgb="FFFF0000"/>
        <rFont val="Calibri"/>
        <family val="2"/>
        <scheme val="minor"/>
      </rPr>
      <t>- site &amp; building</t>
    </r>
  </si>
  <si>
    <r>
      <t xml:space="preserve">Carpeting in McGee auditorium </t>
    </r>
    <r>
      <rPr>
        <sz val="11"/>
        <color rgb="FFFF0000"/>
        <rFont val="Calibri"/>
        <family val="2"/>
        <scheme val="minor"/>
      </rPr>
      <t>- site &amp; building</t>
    </r>
  </si>
  <si>
    <t>Identified projects not included in the Capital Improvement Plan (amt is estimated; timing is TBD):</t>
  </si>
  <si>
    <t>Vehicle - Patrol Units</t>
  </si>
  <si>
    <t>Vehicle - Supervisor SUV</t>
  </si>
  <si>
    <t>Vehicle - Unmarked/Admin</t>
  </si>
  <si>
    <t>Transfers</t>
  </si>
  <si>
    <t>Revaluation</t>
  </si>
  <si>
    <t>Modernize elevator @ Town Hall</t>
  </si>
  <si>
    <t>Window Replacement (Library/Community Center)</t>
  </si>
  <si>
    <r>
      <t xml:space="preserve">Exhaust Fans (Town Hall) - </t>
    </r>
    <r>
      <rPr>
        <sz val="11"/>
        <color rgb="FFFF0000"/>
        <rFont val="Calibri"/>
        <family val="2"/>
        <scheme val="minor"/>
      </rPr>
      <t>Carried over from FY2017 and completed early FY2018</t>
    </r>
  </si>
  <si>
    <t>Wood Chipper</t>
  </si>
  <si>
    <t>Backhoe</t>
  </si>
  <si>
    <t>Recurring</t>
  </si>
  <si>
    <r>
      <rPr>
        <b/>
        <sz val="11"/>
        <color theme="1"/>
        <rFont val="Calibri"/>
        <family val="2"/>
        <scheme val="minor"/>
      </rPr>
      <t>GF</t>
    </r>
    <r>
      <rPr>
        <sz val="11"/>
        <color theme="1"/>
        <rFont val="Calibri"/>
        <family val="2"/>
        <scheme val="minor"/>
      </rPr>
      <t>: General Fund - paid through annual property tax levy</t>
    </r>
  </si>
  <si>
    <r>
      <rPr>
        <b/>
        <sz val="11"/>
        <color theme="1"/>
        <rFont val="Calibri"/>
        <family val="2"/>
        <scheme val="minor"/>
      </rPr>
      <t>LoCIP</t>
    </r>
    <r>
      <rPr>
        <sz val="11"/>
        <color theme="1"/>
        <rFont val="Calibri"/>
        <family val="2"/>
        <scheme val="minor"/>
      </rPr>
      <t>: Local Capital Improvement Project money - funded by the State of Connecticut</t>
    </r>
  </si>
  <si>
    <r>
      <rPr>
        <b/>
        <sz val="11"/>
        <color theme="1"/>
        <rFont val="Calibri"/>
        <family val="2"/>
        <scheme val="minor"/>
      </rPr>
      <t>Grants</t>
    </r>
    <r>
      <rPr>
        <sz val="11"/>
        <color theme="1"/>
        <rFont val="Calibri"/>
        <family val="2"/>
        <scheme val="minor"/>
      </rPr>
      <t>: various grant sources other including TAR and other than State of Connecticut grants</t>
    </r>
  </si>
  <si>
    <r>
      <rPr>
        <b/>
        <sz val="11"/>
        <color theme="1"/>
        <rFont val="Calibri"/>
        <family val="2"/>
        <scheme val="minor"/>
      </rPr>
      <t>Bond</t>
    </r>
    <r>
      <rPr>
        <sz val="11"/>
        <color theme="1"/>
        <rFont val="Calibri"/>
        <family val="2"/>
        <scheme val="minor"/>
      </rPr>
      <t>: long-term bond funding</t>
    </r>
  </si>
  <si>
    <r>
      <rPr>
        <b/>
        <sz val="11"/>
        <color theme="1"/>
        <rFont val="Calibri"/>
        <family val="2"/>
        <scheme val="minor"/>
      </rPr>
      <t>Bond - E</t>
    </r>
    <r>
      <rPr>
        <sz val="11"/>
        <color theme="1"/>
        <rFont val="Calibri"/>
        <family val="2"/>
        <scheme val="minor"/>
      </rPr>
      <t>: existing long-term bond funding where bond funds are reallocated to an authorized bonded project other than the original authorized bonded project - normally used when bond funds remain at the end of bonded project</t>
    </r>
  </si>
  <si>
    <r>
      <rPr>
        <b/>
        <sz val="11"/>
        <color theme="1"/>
        <rFont val="Calibri"/>
        <family val="2"/>
        <scheme val="minor"/>
      </rPr>
      <t>BAN</t>
    </r>
    <r>
      <rPr>
        <sz val="11"/>
        <color theme="1"/>
        <rFont val="Calibri"/>
        <family val="2"/>
        <scheme val="minor"/>
      </rPr>
      <t>: Bond Anticipation Note (short-term note funding)</t>
    </r>
  </si>
  <si>
    <r>
      <rPr>
        <b/>
        <sz val="11"/>
        <color theme="1"/>
        <rFont val="Calibri"/>
        <family val="2"/>
        <scheme val="minor"/>
      </rPr>
      <t>Capital</t>
    </r>
    <r>
      <rPr>
        <sz val="11"/>
        <color theme="1"/>
        <rFont val="Calibri"/>
        <family val="2"/>
        <scheme val="minor"/>
      </rPr>
      <t>: paid from existing capital projects funds</t>
    </r>
  </si>
  <si>
    <t>Recurring?</t>
  </si>
  <si>
    <t>Non-Recurring</t>
  </si>
  <si>
    <t>Pistol Creek Trail Improvements</t>
  </si>
  <si>
    <t>Capital</t>
  </si>
  <si>
    <t>Police Station Remodel (existing) - Jail Cell Replacement</t>
  </si>
  <si>
    <t>Police Station Remodel (existing) - Various (interview rooms, locker rooms, ADA bathroom, etc.)</t>
  </si>
  <si>
    <t>Cycle</t>
  </si>
  <si>
    <t>10-year</t>
  </si>
  <si>
    <t>20-year</t>
  </si>
  <si>
    <t>15-year</t>
  </si>
  <si>
    <t>McGee Lockers (boy's locker room)</t>
  </si>
  <si>
    <t>Paper Goods Pond Dam (consulting - not sure how much work needs to be done, so cost may increase)</t>
  </si>
  <si>
    <t>GF as % of Total</t>
  </si>
  <si>
    <r>
      <t xml:space="preserve">Off Road UTV - </t>
    </r>
    <r>
      <rPr>
        <sz val="11"/>
        <color rgb="FFFF0000"/>
        <rFont val="Calibri"/>
        <family val="2"/>
        <scheme val="minor"/>
      </rPr>
      <t>purchase in FY18 with remaining fire vehicle bond proceeds</t>
    </r>
  </si>
  <si>
    <r>
      <t xml:space="preserve">Interstate Stabilization System - </t>
    </r>
    <r>
      <rPr>
        <sz val="11"/>
        <color rgb="FFFF0000"/>
        <rFont val="Calibri"/>
        <family val="2"/>
        <scheme val="minor"/>
      </rPr>
      <t>purchase in FY18 with remaining fire vehicle bond proceeds</t>
    </r>
  </si>
  <si>
    <t>Sr. Ctr Bus/Van (5%/yr increase in cost for out years)</t>
  </si>
  <si>
    <t>Storefront, Access Controls,Gutters (Town Hall) - use FY18 LoCIP to fund approx $275k-$300k?</t>
  </si>
  <si>
    <t>Switches (75% BOE/25% Town) - capital</t>
  </si>
  <si>
    <t>Phones for all four schools (ex BHS, but integrated with BHS) - capital</t>
  </si>
  <si>
    <t>Willard Renovations - site &amp; building</t>
  </si>
  <si>
    <t>Vans - capital</t>
  </si>
  <si>
    <t>Clean up wiring at McGee - site &amp; building</t>
  </si>
  <si>
    <t>Fire Alarm Upgrades - McGee - site &amp; building</t>
  </si>
  <si>
    <t>Carpeting in McGee auditorium - site &amp; building</t>
  </si>
  <si>
    <t>Cages for Sports Equipment @ BHS - site &amp; building</t>
  </si>
  <si>
    <t>Safety Load Science &amp; Media Center @ BHS - site &amp; building</t>
  </si>
  <si>
    <r>
      <rPr>
        <b/>
        <sz val="11"/>
        <color theme="1"/>
        <rFont val="Calibri"/>
        <family val="2"/>
        <scheme val="minor"/>
      </rPr>
      <t>Recurring</t>
    </r>
    <r>
      <rPr>
        <sz val="11"/>
        <color theme="1"/>
        <rFont val="Calibri"/>
        <family val="2"/>
        <scheme val="minor"/>
      </rPr>
      <t>: occurs in almost every budget and has a regular replacement cycle</t>
    </r>
  </si>
  <si>
    <r>
      <t xml:space="preserve">McGee Locker Replacement - </t>
    </r>
    <r>
      <rPr>
        <sz val="11"/>
        <color rgb="FFFF0000"/>
        <rFont val="Calibri"/>
        <family val="2"/>
        <scheme val="minor"/>
      </rPr>
      <t>site &amp; building</t>
    </r>
  </si>
  <si>
    <r>
      <t xml:space="preserve">Switches ($160k total cost; 75% BOE/25% Town) </t>
    </r>
    <r>
      <rPr>
        <sz val="11"/>
        <color rgb="FFFF0000"/>
        <rFont val="Calibri"/>
        <family val="2"/>
        <scheme val="minor"/>
      </rPr>
      <t>- capital</t>
    </r>
  </si>
  <si>
    <t>Resurface Basketball/Tennis Courts (assume yr 7)</t>
  </si>
  <si>
    <t>5-10-year</t>
  </si>
  <si>
    <t>Police/Fire Repeaters @ BHS</t>
  </si>
  <si>
    <t>8-year</t>
  </si>
  <si>
    <t>Bridges - 7 on course; 2 repaired per year using Golf CIP; $30k per bridge (estimate)</t>
  </si>
  <si>
    <r>
      <t xml:space="preserve">Boulevard to Train Station - </t>
    </r>
    <r>
      <rPr>
        <sz val="11"/>
        <color rgb="FFFF0000"/>
        <rFont val="Calibri"/>
        <family val="2"/>
        <scheme val="minor"/>
      </rPr>
      <t>Town portion of CRCOG grant for Brownfields (see Econ. Dev for grant)</t>
    </r>
  </si>
  <si>
    <r>
      <t xml:space="preserve">Sidewalk Replacement (TAR)  </t>
    </r>
    <r>
      <rPr>
        <sz val="11"/>
        <color rgb="FFFF0000"/>
        <rFont val="Calibri"/>
        <family val="2"/>
        <scheme val="minor"/>
      </rPr>
      <t>State TAR grant at risk - moved to transfers beginning in FY19</t>
    </r>
  </si>
  <si>
    <t>5-7 years</t>
  </si>
  <si>
    <t>Conversion to LED lighting - Town Hall</t>
  </si>
  <si>
    <t>Conversion to LED lighting - BHS</t>
  </si>
  <si>
    <t>Conversion to LED lighting - McGee</t>
  </si>
  <si>
    <t>Conversion to LED lighting - Willard</t>
  </si>
  <si>
    <t>Conversion to LED lighting - Griswold</t>
  </si>
  <si>
    <t>Conversion to LED lighting - Hubbard</t>
  </si>
  <si>
    <r>
      <t xml:space="preserve">Police/Fire Radio Signals @ BHS - </t>
    </r>
    <r>
      <rPr>
        <sz val="11"/>
        <color rgb="FFFF0000"/>
        <rFont val="Calibri"/>
        <family val="2"/>
        <scheme val="minor"/>
      </rPr>
      <t>Town Share (56.79%)</t>
    </r>
  </si>
  <si>
    <r>
      <t xml:space="preserve">Police/Fire Radio Signals @ BHS - </t>
    </r>
    <r>
      <rPr>
        <sz val="11"/>
        <color rgb="FFFF0000"/>
        <rFont val="Calibri"/>
        <family val="2"/>
        <scheme val="minor"/>
      </rPr>
      <t>State Share (43.21%)</t>
    </r>
  </si>
  <si>
    <t>Detailed 10-Year Plan tab</t>
  </si>
  <si>
    <t>Adjustments to budgeted amouns (since TM submission):</t>
  </si>
  <si>
    <t xml:space="preserve">     Resurfacing BHS track versus rebuilding </t>
  </si>
  <si>
    <t xml:space="preserve">     BOE received State security grant (State paying 43.21% of cost) </t>
  </si>
  <si>
    <t>Original budget submission</t>
  </si>
  <si>
    <t>Remove Transfers (on separate line in budget submission)</t>
  </si>
  <si>
    <t>Records Management (not in 10-year plan; $ value below $5k threshold)</t>
  </si>
  <si>
    <t>x</t>
  </si>
  <si>
    <t>bond</t>
  </si>
  <si>
    <t>xx</t>
  </si>
  <si>
    <t>xxx - may reduce</t>
  </si>
  <si>
    <t>use existing funds</t>
  </si>
  <si>
    <t>Boulevard to Train Station - Town portion of CRCOG grant for Brownfields (see Econ. Dev for grant)</t>
  </si>
  <si>
    <t>Sidewalk Replacement (TAR)  State TAR grant at risk - moved to transfers beginning in FY19</t>
  </si>
  <si>
    <t>Retain</t>
  </si>
  <si>
    <t>Exclude</t>
  </si>
  <si>
    <t>add in ballards &amp; adjust for lower bid on repeaters</t>
  </si>
  <si>
    <t>Large dump trucks (lease 3 trucks)</t>
  </si>
  <si>
    <t>removed at 5/15/2018 TC meeting</t>
  </si>
  <si>
    <t>removed $32k at 5/15/2018 TC meeting</t>
  </si>
  <si>
    <t>(June 2019)</t>
  </si>
  <si>
    <t>(June 2020)</t>
  </si>
  <si>
    <t>(June 2021)</t>
  </si>
  <si>
    <t>(June 2022)</t>
  </si>
  <si>
    <t>(June 2023)</t>
  </si>
  <si>
    <t>(June 2024)</t>
  </si>
  <si>
    <t>(June 2025)</t>
  </si>
  <si>
    <t>(June 2026)</t>
  </si>
  <si>
    <t>(June 2027)</t>
  </si>
  <si>
    <r>
      <t xml:space="preserve">Boat &amp; Motor - </t>
    </r>
    <r>
      <rPr>
        <sz val="11"/>
        <color rgb="FFFF0000"/>
        <rFont val="Calibri"/>
        <family val="2"/>
        <scheme val="minor"/>
      </rPr>
      <t>purchase in FY18 with remaining fire vehicle bond proceeds</t>
    </r>
  </si>
  <si>
    <t>FY29</t>
  </si>
  <si>
    <t>Squad Units</t>
  </si>
  <si>
    <t>Engine/Tanker</t>
  </si>
  <si>
    <t>25-year</t>
  </si>
  <si>
    <t>Pumpers</t>
  </si>
  <si>
    <t>Rescue Trucks</t>
  </si>
  <si>
    <t>Fiscal Year 2019 - 2029</t>
  </si>
  <si>
    <t>Railroad Pond Dam</t>
  </si>
  <si>
    <t>(May/Sep 2018)</t>
  </si>
  <si>
    <t>Burnham Street Bridge</t>
  </si>
  <si>
    <t>Spruce Brook Bridge</t>
  </si>
  <si>
    <t>Kensington Road Bridge</t>
  </si>
  <si>
    <t>Edgewood Road Bridge</t>
  </si>
  <si>
    <t>Vehicle - Patrol Units ($30k/car + $6.5k/car equipment) - assumes 4 cars/year</t>
  </si>
  <si>
    <t>Vehicle - K-9 Units</t>
  </si>
  <si>
    <t>Vehicle - Motorcycle</t>
  </si>
  <si>
    <t>Vehicle - DARE Pickup Truck</t>
  </si>
  <si>
    <t>Vehicle - ATV</t>
  </si>
  <si>
    <t>4-year</t>
  </si>
  <si>
    <t>3-year</t>
  </si>
  <si>
    <t>5-year</t>
  </si>
  <si>
    <t>Laptop replacement</t>
  </si>
  <si>
    <t>4 Post 40 Ton Portable Lift</t>
  </si>
  <si>
    <t>Pool Cars</t>
  </si>
  <si>
    <t>Pick-up Truck w/ Plow</t>
  </si>
  <si>
    <t>15-years</t>
  </si>
  <si>
    <t>Service Truck</t>
  </si>
  <si>
    <t>Fork Lift</t>
  </si>
  <si>
    <t>20-years</t>
  </si>
  <si>
    <t>Flatbed</t>
  </si>
  <si>
    <t>Air compressor</t>
  </si>
  <si>
    <t>10-years</t>
  </si>
  <si>
    <t>Maintenance Software</t>
  </si>
  <si>
    <t>Inground Lift</t>
  </si>
  <si>
    <t>Townwide Sidewalks - TAR</t>
  </si>
  <si>
    <t>Denehy Field Parking Lot</t>
  </si>
  <si>
    <t>Sage Park Parking Lot</t>
  </si>
  <si>
    <t>Timberlin Golf Course Parking Lot</t>
  </si>
  <si>
    <t>Town Hall Parking Lot</t>
  </si>
  <si>
    <t>Flatbed Truck with power lift tailgate</t>
  </si>
  <si>
    <t>Sweeper</t>
  </si>
  <si>
    <t>Storefront, Access Controls,Gutters (Town Hall)</t>
  </si>
  <si>
    <r>
      <t xml:space="preserve">Boulevard to Train Station - </t>
    </r>
    <r>
      <rPr>
        <sz val="11"/>
        <color rgb="FFFF0000"/>
        <rFont val="Calibri"/>
        <family val="2"/>
        <scheme val="minor"/>
      </rPr>
      <t>Town portion of $500,000 CRCOG grant for Brownfields</t>
    </r>
  </si>
  <si>
    <t>IAQ (Community Center)</t>
  </si>
  <si>
    <t>Gutters, Roof Trace and Masonry Repairs (Town Hall)</t>
  </si>
  <si>
    <t>Exterior repairs to Art League Building</t>
  </si>
  <si>
    <t>Electrical panel upgrade (Town Hall)</t>
  </si>
  <si>
    <t>Fire Alarm Upgrade (Town Hall)</t>
  </si>
  <si>
    <t>Town Hall Bathroom Renovations</t>
  </si>
  <si>
    <t>Library Bathroom Renovations</t>
  </si>
  <si>
    <t>Timberlin Clubhouse Floor</t>
  </si>
  <si>
    <t>Timberlin Clubhouse Bathroom Renovations</t>
  </si>
  <si>
    <t>Windows &amp; Doors replacement (Timberlin)</t>
  </si>
  <si>
    <t>Tiberlin Maintenance Shop Exterior</t>
  </si>
  <si>
    <t>Sage Park Field Lights</t>
  </si>
  <si>
    <t>Art League Building Renovations</t>
  </si>
  <si>
    <t>Window Replacement (Senior Center)</t>
  </si>
  <si>
    <t>Old Peck/Historical Society Renovations</t>
  </si>
  <si>
    <t>Meatinghouse Renovations</t>
  </si>
  <si>
    <t>HVAC upgrades (Pistol Creek)</t>
  </si>
  <si>
    <t>Physical Services Generator Upgrades</t>
  </si>
  <si>
    <t>Physical Services Facilities Addition</t>
  </si>
  <si>
    <t>Animal Control Building Renovations</t>
  </si>
  <si>
    <t>Townwide Phone System Upgrade</t>
  </si>
  <si>
    <t>Conversion to LED lighting - Library/Community Center ($100k each location)</t>
  </si>
  <si>
    <t>Lightening Detection System</t>
  </si>
  <si>
    <t>Golf Equip Lease - Greens Mower, Dump Body Utility, Conventional Aerifier</t>
  </si>
  <si>
    <t>Golf Equip Lease - Greens Mower, Chemical Sprayer, Fairway Mower</t>
  </si>
  <si>
    <t>RFID Project</t>
  </si>
  <si>
    <t>Sage 1 Field Improvements</t>
  </si>
  <si>
    <t>Conversion of Demore, Dinda, Bittner Jr. Memorial Pool into Splash Pad</t>
  </si>
  <si>
    <t>Sage 2 Field Improvements</t>
  </si>
  <si>
    <t>Bobcat</t>
  </si>
  <si>
    <t>9 Passenger Van</t>
  </si>
  <si>
    <t>9 Passenger Van (carryover capital from FY19 when Town was not awarded grant)</t>
  </si>
  <si>
    <t>12 Passenger Van</t>
  </si>
  <si>
    <t>Social Services Van</t>
  </si>
  <si>
    <t>Social Services</t>
  </si>
  <si>
    <t>Animal Control</t>
  </si>
  <si>
    <t>Animal Control Van</t>
  </si>
  <si>
    <t>Town Manager's Car</t>
  </si>
  <si>
    <t>BHS Track - Resurfacing (incl resurfacing, engineering ($6k) and surveying ($3k))</t>
  </si>
  <si>
    <t>Cooling tower upgrades</t>
  </si>
  <si>
    <t>Parking Lot - Griswold</t>
  </si>
  <si>
    <t>Parking Lot - Willard</t>
  </si>
  <si>
    <t>Parking Lot - Hubbard</t>
  </si>
  <si>
    <t>Parking Lot - McGee</t>
  </si>
  <si>
    <t>Sand &amp; refinish gym flooring - all schools (ex BHS)</t>
  </si>
  <si>
    <t>Lighting control upgrades - BHS</t>
  </si>
  <si>
    <t>Masonry Repointing - BHS</t>
  </si>
  <si>
    <t>Doors &amp; Hardware - BHS</t>
  </si>
  <si>
    <t>Chiller &amp; Pumps - McGee</t>
  </si>
  <si>
    <t>Elevator Modifications - McGee</t>
  </si>
  <si>
    <t>Elevator Modifications - Griswold</t>
  </si>
  <si>
    <t>Elevator Modifications - Willard</t>
  </si>
  <si>
    <t>Elevator Modifications - Hubbard</t>
  </si>
  <si>
    <t>Elevator Modifications - BHS</t>
  </si>
  <si>
    <t>McGee Generator</t>
  </si>
  <si>
    <t>Masonry Repointing - McGee</t>
  </si>
  <si>
    <t>Window Replacement - McGee</t>
  </si>
  <si>
    <t>Window Replacement - Willard</t>
  </si>
  <si>
    <t>Doors &amp; Hardware - Willard</t>
  </si>
  <si>
    <t>Masonry Repointing - Willard</t>
  </si>
  <si>
    <t>Masonry Repointing - Hubbard</t>
  </si>
  <si>
    <t>Window Replacement - Hubbard</t>
  </si>
  <si>
    <t>Doors &amp; Hardware - Hubbard</t>
  </si>
  <si>
    <t>McGee Rooftop Unit 1</t>
  </si>
  <si>
    <t>McGee Rooftop Unit 2</t>
  </si>
  <si>
    <t>Window Replacement - Griswold</t>
  </si>
  <si>
    <t>Doors &amp; Hardware - Griswold</t>
  </si>
  <si>
    <t>Boiler Replacement - Griswold</t>
  </si>
  <si>
    <t>Masonry Repointing - Griswold</t>
  </si>
  <si>
    <t>Sidewalks - Hubbard</t>
  </si>
  <si>
    <t>Sidewalks - Willard</t>
  </si>
  <si>
    <t>Sidewalks - Griswold</t>
  </si>
  <si>
    <t>Sidewalks - McGee</t>
  </si>
  <si>
    <t>Sidewalks - BHS</t>
  </si>
  <si>
    <t>Parking Lot - BHS</t>
  </si>
  <si>
    <t>Doors &amp; Hardware - McGee</t>
  </si>
  <si>
    <t>Water Heaters - all schools</t>
  </si>
  <si>
    <t>Exhaust Fans - all schools</t>
  </si>
  <si>
    <t>Water Pipe - Griswold</t>
  </si>
  <si>
    <t>Vehicle - Supervisor SUV ($32k/car + $6.5k/car equipment)</t>
  </si>
  <si>
    <t>(June 2028)</t>
  </si>
  <si>
    <t>Removed from Capital Plan - Financing costs that will be included in Operating budget:</t>
  </si>
  <si>
    <t>Control Check</t>
  </si>
  <si>
    <t>Remove</t>
  </si>
  <si>
    <t>Remove Total</t>
  </si>
  <si>
    <t>Net Balance</t>
  </si>
  <si>
    <t>move to lower list</t>
  </si>
  <si>
    <t>use Timberlin CIP?  Push to FY23 or 24?</t>
  </si>
  <si>
    <t>Various interior repairs at Sr Ctr (kitchen, level raised flooring, greenhouse)</t>
  </si>
  <si>
    <t>existing</t>
  </si>
  <si>
    <t>reduced by 50% per Doug</t>
  </si>
  <si>
    <t>lighting, bathroom modifications</t>
  </si>
  <si>
    <t>hold until bigger projects are completed at the pools</t>
  </si>
  <si>
    <t>increases $10k based on quote</t>
  </si>
  <si>
    <t>Library - Architectural Study of First Floor Renovation</t>
  </si>
  <si>
    <t>removed as duplicate w/ Public Bldgs Sr Ctr renovations</t>
  </si>
  <si>
    <t>Air Conditioning at all three elementary schools:</t>
  </si>
  <si>
    <t xml:space="preserve">          HVAC - Willard</t>
  </si>
  <si>
    <t xml:space="preserve">          HVAC - Griswold</t>
  </si>
  <si>
    <t xml:space="preserve">          HVAC - Hubbard</t>
  </si>
  <si>
    <t>Edgewood Road Bridge (engineering in FY20; construction in FY21)</t>
  </si>
  <si>
    <t>Sage Auxiliary conversion to artificial surface</t>
  </si>
  <si>
    <t>Library - First Floor Renovation - new comm ctr loc first</t>
  </si>
  <si>
    <t>New Garage Facility</t>
  </si>
  <si>
    <t>New Police Station</t>
  </si>
  <si>
    <t>Zipadelli Field  conversion to artifical surface</t>
  </si>
  <si>
    <t>BHS Field Inside Track conversion to artificial surface</t>
  </si>
  <si>
    <t>889 Remediation (Regional &amp; Municipal Brownfields Grants)</t>
  </si>
  <si>
    <t>889 Remediation (EPA/CRCOG Grant)</t>
  </si>
  <si>
    <t>Boulevard to Train Station (STEAP Grant)</t>
  </si>
  <si>
    <t>Main Street Streetscape II (STEAP Grant)</t>
  </si>
  <si>
    <t>Community Connectivity Grant (Sidewalk connections)</t>
  </si>
  <si>
    <t>Main Roads Project (Porter's Pass, Deming, Masserio)</t>
  </si>
  <si>
    <r>
      <t xml:space="preserve">Bridge Preservation Work (Worthington Ridge,  Berlin Street, Wildermere Road and Heritage Drive) - </t>
    </r>
    <r>
      <rPr>
        <sz val="11"/>
        <color rgb="FFFF0000"/>
        <rFont val="Calibri"/>
        <family val="2"/>
        <scheme val="minor"/>
      </rPr>
      <t>Reimbursable</t>
    </r>
  </si>
  <si>
    <t>Records Management Program</t>
  </si>
  <si>
    <t>Annual</t>
  </si>
  <si>
    <t>Edgewood Road Bridge (engineering in FY20; construction in FY22)</t>
  </si>
  <si>
    <t>Denehy Field Parking Lot - use millings (free)</t>
  </si>
  <si>
    <t>250/350 dump trucks - delay purchase 1 yr from requested</t>
  </si>
  <si>
    <t>Golf Equip Lease - SandPro, Utility Vehicle, Arifier &amp; Greens Mower (convert strategy to purchase one per yr instead of leasing many items for 4-5 yrs)</t>
  </si>
  <si>
    <t>Sage 1 Field Improvements - delay new concession/rest room bldg (lights are under Public Buildings)</t>
  </si>
  <si>
    <t>Loader - pay for over 2 yrs</t>
  </si>
  <si>
    <t>Tractor - pay for over 2 yrs</t>
  </si>
  <si>
    <t>Paving Box - pay for over 2 yrs</t>
  </si>
  <si>
    <t>Renovate all Little League concessions</t>
  </si>
  <si>
    <t>Various interior repairs at sr ctr (kitchen, level raised flooring)</t>
  </si>
  <si>
    <t>Lightning Detection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</si>
</sst>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  <numFmt numFmtId="168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0" fillId="0" borderId="1" xfId="0" applyNumberFormat="1" applyBorder="1"/>
    <xf numFmtId="165" fontId="0" fillId="0" borderId="0" xfId="1" applyNumberFormat="1" applyFont="1"/>
    <xf numFmtId="164" fontId="2" fillId="0" borderId="1" xfId="0" applyNumberFormat="1" applyFont="1" applyBorder="1"/>
    <xf numFmtId="164" fontId="2" fillId="0" borderId="0" xfId="0" applyNumberFormat="1" applyFont="1"/>
    <xf numFmtId="0" fontId="0" fillId="0" borderId="0" xfId="0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0" fillId="0" borderId="0" xfId="0" applyNumberFormat="1" applyAlignment="1"/>
    <xf numFmtId="164" fontId="6" fillId="0" borderId="0" xfId="0" applyNumberFormat="1" applyFont="1"/>
    <xf numFmtId="0" fontId="0" fillId="0" borderId="0" xfId="0" quotePrefix="1" applyAlignment="1">
      <alignment horizontal="center"/>
    </xf>
    <xf numFmtId="164" fontId="0" fillId="2" borderId="0" xfId="0" applyNumberFormat="1" applyFill="1"/>
    <xf numFmtId="0" fontId="0" fillId="2" borderId="0" xfId="0" applyFill="1"/>
    <xf numFmtId="0" fontId="7" fillId="0" borderId="0" xfId="0" applyFont="1"/>
    <xf numFmtId="0" fontId="0" fillId="0" borderId="0" xfId="0" quotePrefix="1"/>
    <xf numFmtId="0" fontId="0" fillId="0" borderId="0" xfId="0" quotePrefix="1" applyFont="1"/>
    <xf numFmtId="0" fontId="0" fillId="0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ont="1"/>
    <xf numFmtId="0" fontId="7" fillId="0" borderId="0" xfId="0" applyFont="1" applyFill="1"/>
    <xf numFmtId="165" fontId="0" fillId="0" borderId="0" xfId="0" applyNumberFormat="1"/>
    <xf numFmtId="165" fontId="0" fillId="0" borderId="1" xfId="0" applyNumberFormat="1" applyBorder="1"/>
    <xf numFmtId="0" fontId="4" fillId="0" borderId="0" xfId="0" applyFont="1" applyAlignment="1">
      <alignment horizontal="center"/>
    </xf>
    <xf numFmtId="165" fontId="0" fillId="0" borderId="0" xfId="1" applyNumberFormat="1" applyFont="1" applyFill="1"/>
    <xf numFmtId="0" fontId="8" fillId="0" borderId="0" xfId="0" applyFont="1" applyAlignment="1"/>
    <xf numFmtId="0" fontId="9" fillId="0" borderId="0" xfId="0" applyFont="1"/>
    <xf numFmtId="0" fontId="9" fillId="0" borderId="0" xfId="0" applyNumberFormat="1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165" fontId="9" fillId="0" borderId="0" xfId="1" applyNumberFormat="1" applyFont="1"/>
    <xf numFmtId="0" fontId="9" fillId="0" borderId="0" xfId="1" applyNumberFormat="1" applyFont="1" applyAlignment="1">
      <alignment horizontal="center"/>
    </xf>
    <xf numFmtId="165" fontId="9" fillId="2" borderId="0" xfId="1" applyNumberFormat="1" applyFont="1" applyFill="1"/>
    <xf numFmtId="0" fontId="12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2" fillId="2" borderId="0" xfId="0" applyFont="1" applyFill="1"/>
    <xf numFmtId="0" fontId="9" fillId="2" borderId="0" xfId="0" applyFont="1" applyFill="1"/>
    <xf numFmtId="0" fontId="9" fillId="0" borderId="0" xfId="0" quotePrefix="1" applyFont="1"/>
    <xf numFmtId="165" fontId="9" fillId="0" borderId="1" xfId="0" applyNumberFormat="1" applyFont="1" applyBorder="1"/>
    <xf numFmtId="0" fontId="9" fillId="0" borderId="1" xfId="0" applyNumberFormat="1" applyFont="1" applyBorder="1" applyAlignment="1">
      <alignment horizontal="center"/>
    </xf>
    <xf numFmtId="165" fontId="9" fillId="0" borderId="0" xfId="0" applyNumberFormat="1" applyFont="1"/>
    <xf numFmtId="0" fontId="9" fillId="0" borderId="0" xfId="0" applyFont="1" applyBorder="1"/>
    <xf numFmtId="165" fontId="9" fillId="0" borderId="0" xfId="1" applyNumberFormat="1" applyFont="1" applyBorder="1"/>
    <xf numFmtId="165" fontId="9" fillId="0" borderId="0" xfId="0" applyNumberFormat="1" applyFont="1" applyBorder="1"/>
    <xf numFmtId="0" fontId="12" fillId="0" borderId="0" xfId="0" applyNumberFormat="1" applyFont="1" applyAlignment="1"/>
    <xf numFmtId="0" fontId="9" fillId="0" borderId="0" xfId="1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5" fillId="0" borderId="0" xfId="0" applyFont="1" applyAlignment="1"/>
    <xf numFmtId="0" fontId="12" fillId="0" borderId="0" xfId="0" applyFont="1" applyFill="1"/>
    <xf numFmtId="0" fontId="7" fillId="0" borderId="0" xfId="0" quotePrefix="1" applyFont="1"/>
    <xf numFmtId="165" fontId="2" fillId="0" borderId="0" xfId="1" applyNumberFormat="1" applyFont="1"/>
    <xf numFmtId="43" fontId="0" fillId="0" borderId="0" xfId="1" applyFont="1"/>
    <xf numFmtId="0" fontId="2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164" fontId="0" fillId="4" borderId="0" xfId="0" applyNumberFormat="1" applyFill="1"/>
    <xf numFmtId="164" fontId="0" fillId="4" borderId="1" xfId="0" applyNumberFormat="1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/>
    <xf numFmtId="164" fontId="3" fillId="0" borderId="0" xfId="0" applyNumberFormat="1" applyFont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0" fillId="6" borderId="0" xfId="0" applyFill="1" applyAlignment="1">
      <alignment horizontal="center" vertical="center"/>
    </xf>
    <xf numFmtId="164" fontId="0" fillId="6" borderId="0" xfId="0" applyNumberFormat="1" applyFill="1"/>
    <xf numFmtId="164" fontId="0" fillId="6" borderId="1" xfId="0" applyNumberFormat="1" applyFill="1" applyBorder="1"/>
    <xf numFmtId="0" fontId="3" fillId="0" borderId="0" xfId="0" applyFont="1" applyFill="1"/>
    <xf numFmtId="0" fontId="0" fillId="7" borderId="0" xfId="0" applyFill="1"/>
    <xf numFmtId="0" fontId="0" fillId="7" borderId="0" xfId="0" applyFill="1" applyAlignment="1">
      <alignment horizontal="center"/>
    </xf>
    <xf numFmtId="164" fontId="0" fillId="7" borderId="0" xfId="0" applyNumberFormat="1" applyFill="1"/>
    <xf numFmtId="164" fontId="0" fillId="7" borderId="1" xfId="0" applyNumberFormat="1" applyFill="1" applyBorder="1"/>
    <xf numFmtId="164" fontId="2" fillId="0" borderId="1" xfId="0" applyNumberFormat="1" applyFont="1" applyFill="1" applyBorder="1"/>
    <xf numFmtId="165" fontId="0" fillId="0" borderId="0" xfId="1" applyNumberFormat="1" applyFont="1" applyBorder="1"/>
    <xf numFmtId="0" fontId="0" fillId="8" borderId="0" xfId="0" applyFill="1"/>
    <xf numFmtId="0" fontId="0" fillId="8" borderId="0" xfId="0" applyFill="1" applyAlignment="1">
      <alignment horizontal="center"/>
    </xf>
    <xf numFmtId="164" fontId="0" fillId="8" borderId="0" xfId="0" applyNumberFormat="1" applyFill="1"/>
    <xf numFmtId="164" fontId="0" fillId="8" borderId="1" xfId="0" applyNumberFormat="1" applyFill="1" applyBorder="1"/>
    <xf numFmtId="164" fontId="3" fillId="0" borderId="0" xfId="0" applyNumberFormat="1" applyFont="1" applyAlignment="1"/>
    <xf numFmtId="164" fontId="0" fillId="0" borderId="0" xfId="0" applyNumberFormat="1" applyAlignment="1">
      <alignment horizontal="center"/>
    </xf>
    <xf numFmtId="0" fontId="15" fillId="0" borderId="3" xfId="0" applyFont="1" applyBorder="1" applyProtection="1"/>
    <xf numFmtId="0" fontId="16" fillId="0" borderId="0" xfId="0" applyFont="1"/>
    <xf numFmtId="164" fontId="16" fillId="0" borderId="0" xfId="0" applyNumberFormat="1" applyFont="1"/>
    <xf numFmtId="0" fontId="15" fillId="0" borderId="0" xfId="0" applyFont="1" applyBorder="1" applyProtection="1"/>
    <xf numFmtId="0" fontId="17" fillId="0" borderId="0" xfId="0" applyFont="1"/>
    <xf numFmtId="164" fontId="17" fillId="0" borderId="1" xfId="0" applyNumberFormat="1" applyFont="1" applyBorder="1"/>
    <xf numFmtId="0" fontId="18" fillId="0" borderId="0" xfId="0" applyFont="1"/>
    <xf numFmtId="0" fontId="15" fillId="0" borderId="3" xfId="0" applyFont="1" applyBorder="1" applyAlignment="1" applyProtection="1"/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vertical="center"/>
    </xf>
    <xf numFmtId="164" fontId="0" fillId="9" borderId="1" xfId="0" applyNumberForma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center"/>
    </xf>
    <xf numFmtId="0" fontId="21" fillId="0" borderId="0" xfId="0" applyFont="1"/>
    <xf numFmtId="0" fontId="23" fillId="0" borderId="0" xfId="0" applyFont="1" applyAlignment="1">
      <alignment horizontal="center"/>
    </xf>
    <xf numFmtId="0" fontId="0" fillId="6" borderId="0" xfId="0" applyFill="1" applyAlignment="1">
      <alignment vertical="center"/>
    </xf>
    <xf numFmtId="0" fontId="0" fillId="10" borderId="0" xfId="0" applyFill="1" applyAlignment="1">
      <alignment vertical="center"/>
    </xf>
    <xf numFmtId="164" fontId="0" fillId="10" borderId="0" xfId="0" applyNumberFormat="1" applyFill="1" applyAlignment="1">
      <alignment vertical="center"/>
    </xf>
    <xf numFmtId="0" fontId="22" fillId="0" borderId="0" xfId="0" applyFont="1" applyAlignment="1">
      <alignment vertical="center"/>
    </xf>
    <xf numFmtId="0" fontId="24" fillId="0" borderId="2" xfId="0" applyFont="1" applyBorder="1" applyAlignment="1">
      <alignment wrapText="1"/>
    </xf>
    <xf numFmtId="0" fontId="24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166" fontId="2" fillId="8" borderId="0" xfId="2" applyNumberFormat="1" applyFont="1" applyFill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2" fillId="8" borderId="0" xfId="0" applyFont="1" applyFill="1" applyAlignment="1">
      <alignment horizontal="center" vertical="center"/>
    </xf>
    <xf numFmtId="167" fontId="0" fillId="0" borderId="0" xfId="3" applyNumberFormat="1" applyFont="1"/>
    <xf numFmtId="167" fontId="0" fillId="0" borderId="0" xfId="0" applyNumberFormat="1"/>
    <xf numFmtId="5" fontId="0" fillId="0" borderId="0" xfId="0" applyNumberFormat="1" applyAlignment="1">
      <alignment vertical="center"/>
    </xf>
    <xf numFmtId="167" fontId="0" fillId="0" borderId="1" xfId="0" applyNumberFormat="1" applyBorder="1"/>
    <xf numFmtId="167" fontId="0" fillId="0" borderId="0" xfId="0" applyNumberFormat="1" applyBorder="1"/>
    <xf numFmtId="5" fontId="0" fillId="0" borderId="0" xfId="0" applyNumberFormat="1"/>
    <xf numFmtId="0" fontId="0" fillId="0" borderId="0" xfId="0" quotePrefix="1" applyAlignment="1">
      <alignment horizontal="center" vertical="center"/>
    </xf>
    <xf numFmtId="167" fontId="0" fillId="0" borderId="0" xfId="3" applyNumberFormat="1" applyFont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7" fontId="0" fillId="2" borderId="6" xfId="3" applyNumberFormat="1" applyFont="1" applyFill="1" applyBorder="1" applyAlignment="1">
      <alignment horizontal="center"/>
    </xf>
    <xf numFmtId="167" fontId="0" fillId="2" borderId="7" xfId="3" applyNumberFormat="1" applyFont="1" applyFill="1" applyBorder="1" applyAlignment="1">
      <alignment horizontal="center"/>
    </xf>
    <xf numFmtId="167" fontId="0" fillId="2" borderId="8" xfId="0" applyNumberFormat="1" applyFill="1" applyBorder="1"/>
    <xf numFmtId="167" fontId="0" fillId="2" borderId="9" xfId="0" applyNumberFormat="1" applyFill="1" applyBorder="1"/>
    <xf numFmtId="167" fontId="0" fillId="2" borderId="10" xfId="0" applyNumberFormat="1" applyFill="1" applyBorder="1" applyAlignment="1">
      <alignment horizontal="center"/>
    </xf>
    <xf numFmtId="167" fontId="0" fillId="2" borderId="11" xfId="0" applyNumberFormat="1" applyFill="1" applyBorder="1" applyAlignment="1">
      <alignment horizontal="center"/>
    </xf>
    <xf numFmtId="167" fontId="16" fillId="2" borderId="6" xfId="3" applyNumberFormat="1" applyFont="1" applyFill="1" applyBorder="1" applyAlignment="1">
      <alignment horizontal="center"/>
    </xf>
    <xf numFmtId="167" fontId="16" fillId="2" borderId="7" xfId="3" applyNumberFormat="1" applyFont="1" applyFill="1" applyBorder="1" applyAlignment="1">
      <alignment horizontal="center"/>
    </xf>
    <xf numFmtId="43" fontId="0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3" fontId="0" fillId="7" borderId="0" xfId="1" applyFont="1" applyFill="1" applyAlignment="1">
      <alignment vertical="center"/>
    </xf>
    <xf numFmtId="164" fontId="0" fillId="7" borderId="1" xfId="0" applyNumberFormat="1" applyFill="1" applyBorder="1" applyAlignment="1">
      <alignment vertical="center"/>
    </xf>
    <xf numFmtId="164" fontId="0" fillId="7" borderId="0" xfId="0" applyNumberFormat="1" applyFill="1" applyAlignment="1">
      <alignment vertical="center"/>
    </xf>
    <xf numFmtId="164" fontId="2" fillId="7" borderId="1" xfId="0" applyNumberFormat="1" applyFont="1" applyFill="1" applyBorder="1" applyAlignment="1">
      <alignment vertical="center"/>
    </xf>
    <xf numFmtId="0" fontId="2" fillId="7" borderId="0" xfId="0" applyFont="1" applyFill="1" applyAlignment="1">
      <alignment horizontal="center" vertical="center"/>
    </xf>
    <xf numFmtId="166" fontId="2" fillId="7" borderId="0" xfId="2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168" fontId="12" fillId="2" borderId="0" xfId="0" applyNumberFormat="1" applyFont="1" applyFill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3" fillId="10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0" xfId="0" quotePrefix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168" fontId="0" fillId="0" borderId="0" xfId="0" applyNumberFormat="1" applyFill="1" applyAlignment="1">
      <alignment vertical="center"/>
    </xf>
    <xf numFmtId="168" fontId="0" fillId="7" borderId="0" xfId="0" applyNumberFormat="1" applyFill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0" fillId="7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164" fontId="3" fillId="7" borderId="0" xfId="0" applyNumberFormat="1" applyFont="1" applyFill="1" applyAlignment="1">
      <alignment horizontal="center" vertical="center"/>
    </xf>
    <xf numFmtId="164" fontId="0" fillId="6" borderId="0" xfId="0" applyNumberFormat="1" applyFill="1" applyAlignment="1">
      <alignment vertical="center"/>
    </xf>
    <xf numFmtId="164" fontId="0" fillId="6" borderId="1" xfId="0" applyNumberFormat="1" applyFill="1" applyBorder="1" applyAlignment="1">
      <alignment vertical="center"/>
    </xf>
    <xf numFmtId="164" fontId="3" fillId="9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164" fontId="0" fillId="9" borderId="0" xfId="0" applyNumberForma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5">
    <dxf>
      <fill>
        <patternFill>
          <fgColor rgb="FFFF0000"/>
          <bgColor rgb="FF00B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40822</xdr:colOff>
      <xdr:row>17</xdr:row>
      <xdr:rowOff>0</xdr:rowOff>
    </xdr:from>
    <xdr:to>
      <xdr:col>12</xdr:col>
      <xdr:colOff>27214</xdr:colOff>
      <xdr:row>24</xdr:row>
      <xdr:rowOff>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389679" y="3592286"/>
          <a:ext cx="598714" cy="155121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1"/>
  <sheetViews>
    <sheetView workbookViewId="0">
      <selection activeCell="E131" sqref="E131"/>
    </sheetView>
  </sheetViews>
  <sheetFormatPr defaultRowHeight="15" x14ac:dyDescent="0.25"/>
  <cols>
    <col min="1" max="1" width="13.140625" bestFit="1" customWidth="1"/>
    <col min="2" max="2" width="77.7109375" customWidth="1"/>
    <col min="3" max="3" width="25.140625" bestFit="1" customWidth="1"/>
    <col min="4" max="4" width="12.5703125" bestFit="1" customWidth="1"/>
    <col min="5" max="5" width="8.140625" bestFit="1" customWidth="1"/>
    <col min="6" max="6" width="3.7109375" customWidth="1"/>
    <col min="7" max="11" width="11.28515625" bestFit="1" customWidth="1"/>
  </cols>
  <sheetData>
    <row r="2" spans="1:11" x14ac:dyDescent="0.25">
      <c r="G2" s="37">
        <v>5</v>
      </c>
      <c r="H2" s="37">
        <v>6</v>
      </c>
      <c r="I2" s="37">
        <v>7</v>
      </c>
      <c r="J2" s="37">
        <v>8</v>
      </c>
      <c r="K2" s="37">
        <v>9</v>
      </c>
    </row>
    <row r="3" spans="1:11" x14ac:dyDescent="0.25">
      <c r="A3" s="3" t="s">
        <v>206</v>
      </c>
      <c r="B3" s="3" t="s">
        <v>275</v>
      </c>
      <c r="C3" s="3" t="s">
        <v>246</v>
      </c>
      <c r="D3" s="3" t="s">
        <v>276</v>
      </c>
      <c r="E3" s="3" t="s">
        <v>271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</row>
    <row r="4" spans="1:11" x14ac:dyDescent="0.25">
      <c r="A4" s="1"/>
      <c r="E4" s="1"/>
    </row>
    <row r="5" spans="1:11" x14ac:dyDescent="0.25">
      <c r="A5" s="20" t="s">
        <v>208</v>
      </c>
      <c r="B5" t="s">
        <v>207</v>
      </c>
      <c r="C5" t="s">
        <v>101</v>
      </c>
      <c r="D5" t="s">
        <v>272</v>
      </c>
      <c r="E5" s="1" t="s">
        <v>16</v>
      </c>
      <c r="G5" s="8">
        <f>IF(ISNA(VLOOKUP($B5,'Other Capital Needs'!$C$51:$P$95,G$2,0)),0,VLOOKUP($B5,'Other Capital Needs'!$C$51:$P$95,G$2,0))+IF(ISNA(VLOOKUP('Project Details by Yr - MASTER'!$B5,'Public Grounds'!$A$11:$N$49,G$2,0)),0,VLOOKUP('Project Details by Yr - MASTER'!$B5,'Public Grounds'!$A$11:$N$49,G$2,0))+IF(ISNA(VLOOKUP('Project Details by Yr - MASTER'!$B5,'Public Buildings'!$A$10:$N$96,G$2,0)),0,VLOOKUP('Project Details by Yr - MASTER'!$B5,'Public Buildings'!$A$10:$N$96,G$2,0))+IF(ISNA(VLOOKUP('Project Details by Yr - MASTER'!$B5,Bridges!$A$9:$N$24,G$2,0)),0,VLOOKUP('Project Details by Yr - MASTER'!$B5,Bridges!$A$9:$N$24,G$2,0))+IF(ISNA(VLOOKUP('Project Details by Yr - MASTER'!$B5,'Parking Lots &amp; Playgrounds'!$A$9:$N$33,G$2,0)),0,VLOOKUP('Project Details by Yr - MASTER'!$B5,'Parking Lots &amp; Playgrounds'!$A$9:$N$33,G$2,0))+IF(ISNA(VLOOKUP($B5,Vehicles!$B$9:$O$50,G$2,0)),0,VLOOKUP($B5,Vehicles!$B$9:$O$50,G$2,0))</f>
        <v>0</v>
      </c>
      <c r="H5" s="8">
        <f>IF(ISNA(VLOOKUP($B5,'Other Capital Needs'!$C$51:$P$95,H$2,0)),0,VLOOKUP($B5,'Other Capital Needs'!$C$51:$P$95,H$2,0))+IF(ISNA(VLOOKUP('Project Details by Yr - MASTER'!$B5,'Public Grounds'!$A$11:$N$49,H$2,0)),0,VLOOKUP('Project Details by Yr - MASTER'!$B5,'Public Grounds'!$A$11:$N$49,H$2,0))+IF(ISNA(VLOOKUP('Project Details by Yr - MASTER'!$B5,'Public Buildings'!$A$10:$N$96,H$2,0)),0,VLOOKUP('Project Details by Yr - MASTER'!$B5,'Public Buildings'!$A$10:$N$96,H$2,0))+IF(ISNA(VLOOKUP('Project Details by Yr - MASTER'!$B5,Bridges!$A$9:$N$24,H$2,0)),0,VLOOKUP('Project Details by Yr - MASTER'!$B5,Bridges!$A$9:$N$24,H$2,0))+IF(ISNA(VLOOKUP('Project Details by Yr - MASTER'!$B5,'Parking Lots &amp; Playgrounds'!$A$9:$N$33,H$2,0)),0,VLOOKUP('Project Details by Yr - MASTER'!$B5,'Parking Lots &amp; Playgrounds'!$A$9:$N$33,H$2,0))+IF(ISNA(VLOOKUP($B5,Vehicles!$B$9:$O$50,H$2,0)),0,VLOOKUP($B5,Vehicles!$B$9:$O$50,H$2,0))</f>
        <v>0</v>
      </c>
      <c r="I5" s="8">
        <f>IF(ISNA(VLOOKUP($B5,'Other Capital Needs'!$C$51:$P$95,I$2,0)),0,VLOOKUP($B5,'Other Capital Needs'!$C$51:$P$95,I$2,0))+IF(ISNA(VLOOKUP('Project Details by Yr - MASTER'!$B5,'Public Grounds'!$A$11:$N$49,I$2,0)),0,VLOOKUP('Project Details by Yr - MASTER'!$B5,'Public Grounds'!$A$11:$N$49,I$2,0))+IF(ISNA(VLOOKUP('Project Details by Yr - MASTER'!$B5,'Public Buildings'!$A$10:$N$96,I$2,0)),0,VLOOKUP('Project Details by Yr - MASTER'!$B5,'Public Buildings'!$A$10:$N$96,I$2,0))+IF(ISNA(VLOOKUP('Project Details by Yr - MASTER'!$B5,Bridges!$A$9:$N$24,I$2,0)),0,VLOOKUP('Project Details by Yr - MASTER'!$B5,Bridges!$A$9:$N$24,I$2,0))+IF(ISNA(VLOOKUP('Project Details by Yr - MASTER'!$B5,'Parking Lots &amp; Playgrounds'!$A$9:$N$33,I$2,0)),0,VLOOKUP('Project Details by Yr - MASTER'!$B5,'Parking Lots &amp; Playgrounds'!$A$9:$N$33,I$2,0))+IF(ISNA(VLOOKUP($B5,Vehicles!$B$9:$O$50,I$2,0)),0,VLOOKUP($B5,Vehicles!$B$9:$O$50,I$2,0))</f>
        <v>0</v>
      </c>
      <c r="J5" s="8">
        <f>IF(ISNA(VLOOKUP($B5,'Other Capital Needs'!$C$51:$P$95,J$2,0)),0,VLOOKUP($B5,'Other Capital Needs'!$C$51:$P$95,J$2,0))+IF(ISNA(VLOOKUP('Project Details by Yr - MASTER'!$B5,'Public Grounds'!$A$11:$N$49,J$2,0)),0,VLOOKUP('Project Details by Yr - MASTER'!$B5,'Public Grounds'!$A$11:$N$49,J$2,0))+IF(ISNA(VLOOKUP('Project Details by Yr - MASTER'!$B5,'Public Buildings'!$A$10:$N$96,J$2,0)),0,VLOOKUP('Project Details by Yr - MASTER'!$B5,'Public Buildings'!$A$10:$N$96,J$2,0))+IF(ISNA(VLOOKUP('Project Details by Yr - MASTER'!$B5,Bridges!$A$9:$N$24,J$2,0)),0,VLOOKUP('Project Details by Yr - MASTER'!$B5,Bridges!$A$9:$N$24,J$2,0))+IF(ISNA(VLOOKUP('Project Details by Yr - MASTER'!$B5,'Parking Lots &amp; Playgrounds'!$A$9:$N$33,J$2,0)),0,VLOOKUP('Project Details by Yr - MASTER'!$B5,'Parking Lots &amp; Playgrounds'!$A$9:$N$33,J$2,0))+IF(ISNA(VLOOKUP($B5,Vehicles!$B$9:$O$50,J$2,0)),0,VLOOKUP($B5,Vehicles!$B$9:$O$50,J$2,0))</f>
        <v>0</v>
      </c>
      <c r="K5" s="8">
        <f>IF(ISNA(VLOOKUP($B5,'Other Capital Needs'!$C$51:$P$95,K$2,0)),0,VLOOKUP($B5,'Other Capital Needs'!$C$51:$P$95,K$2,0))+IF(ISNA(VLOOKUP('Project Details by Yr - MASTER'!$B5,'Public Grounds'!$A$11:$N$49,K$2,0)),0,VLOOKUP('Project Details by Yr - MASTER'!$B5,'Public Grounds'!$A$11:$N$49,K$2,0))+IF(ISNA(VLOOKUP('Project Details by Yr - MASTER'!$B5,'Public Buildings'!$A$10:$N$96,K$2,0)),0,VLOOKUP('Project Details by Yr - MASTER'!$B5,'Public Buildings'!$A$10:$N$96,K$2,0))+IF(ISNA(VLOOKUP('Project Details by Yr - MASTER'!$B5,Bridges!$A$9:$N$24,K$2,0)),0,VLOOKUP('Project Details by Yr - MASTER'!$B5,Bridges!$A$9:$N$24,K$2,0))+IF(ISNA(VLOOKUP('Project Details by Yr - MASTER'!$B5,'Parking Lots &amp; Playgrounds'!$A$9:$N$33,K$2,0)),0,VLOOKUP('Project Details by Yr - MASTER'!$B5,'Parking Lots &amp; Playgrounds'!$A$9:$N$33,K$2,0))+IF(ISNA(VLOOKUP($B5,Vehicles!$B$9:$O$50,K$2,0)),0,VLOOKUP($B5,Vehicles!$B$9:$O$50,K$2,0))</f>
        <v>0</v>
      </c>
    </row>
    <row r="6" spans="1:11" x14ac:dyDescent="0.25">
      <c r="A6" s="20" t="s">
        <v>208</v>
      </c>
      <c r="B6" t="s">
        <v>284</v>
      </c>
      <c r="C6" t="s">
        <v>101</v>
      </c>
      <c r="D6" t="s">
        <v>272</v>
      </c>
      <c r="E6" s="1" t="s">
        <v>16</v>
      </c>
      <c r="G6" s="8">
        <f>IF(ISNA(VLOOKUP($B6,'Other Capital Needs'!$C$51:$P$95,G$2,0)),0,VLOOKUP($B6,'Other Capital Needs'!$C$51:$P$95,G$2,0))+IF(ISNA(VLOOKUP('Project Details by Yr - MASTER'!$B6,'Public Grounds'!$A$11:$N$49,G$2,0)),0,VLOOKUP('Project Details by Yr - MASTER'!$B6,'Public Grounds'!$A$11:$N$49,G$2,0))+IF(ISNA(VLOOKUP('Project Details by Yr - MASTER'!$B6,'Public Buildings'!$A$10:$N$96,G$2,0)),0,VLOOKUP('Project Details by Yr - MASTER'!$B6,'Public Buildings'!$A$10:$N$96,G$2,0))+IF(ISNA(VLOOKUP('Project Details by Yr - MASTER'!$B6,Bridges!$A$9:$N$24,G$2,0)),0,VLOOKUP('Project Details by Yr - MASTER'!$B6,Bridges!$A$9:$N$24,G$2,0))+IF(ISNA(VLOOKUP('Project Details by Yr - MASTER'!$B6,'Parking Lots &amp; Playgrounds'!$A$9:$N$33,G$2,0)),0,VLOOKUP('Project Details by Yr - MASTER'!$B6,'Parking Lots &amp; Playgrounds'!$A$9:$N$33,G$2,0))+IF(ISNA(VLOOKUP($B6,Vehicles!$B$9:$O$50,G$2,0)),0,VLOOKUP($B6,Vehicles!$B$9:$O$50,G$2,0))</f>
        <v>0</v>
      </c>
      <c r="H6" s="8">
        <f>IF(ISNA(VLOOKUP($B6,'Other Capital Needs'!$C$51:$P$95,H$2,0)),0,VLOOKUP($B6,'Other Capital Needs'!$C$51:$P$95,H$2,0))+IF(ISNA(VLOOKUP('Project Details by Yr - MASTER'!$B6,'Public Grounds'!$A$11:$N$49,H$2,0)),0,VLOOKUP('Project Details by Yr - MASTER'!$B6,'Public Grounds'!$A$11:$N$49,H$2,0))+IF(ISNA(VLOOKUP('Project Details by Yr - MASTER'!$B6,'Public Buildings'!$A$10:$N$96,H$2,0)),0,VLOOKUP('Project Details by Yr - MASTER'!$B6,'Public Buildings'!$A$10:$N$96,H$2,0))+IF(ISNA(VLOOKUP('Project Details by Yr - MASTER'!$B6,Bridges!$A$9:$N$24,H$2,0)),0,VLOOKUP('Project Details by Yr - MASTER'!$B6,Bridges!$A$9:$N$24,H$2,0))+IF(ISNA(VLOOKUP('Project Details by Yr - MASTER'!$B6,'Parking Lots &amp; Playgrounds'!$A$9:$N$33,H$2,0)),0,VLOOKUP('Project Details by Yr - MASTER'!$B6,'Parking Lots &amp; Playgrounds'!$A$9:$N$33,H$2,0))+IF(ISNA(VLOOKUP($B6,Vehicles!$B$9:$O$50,H$2,0)),0,VLOOKUP($B6,Vehicles!$B$9:$O$50,H$2,0))</f>
        <v>0</v>
      </c>
      <c r="I6" s="8">
        <f>IF(ISNA(VLOOKUP($B6,'Other Capital Needs'!$C$51:$P$95,I$2,0)),0,VLOOKUP($B6,'Other Capital Needs'!$C$51:$P$95,I$2,0))+IF(ISNA(VLOOKUP('Project Details by Yr - MASTER'!$B6,'Public Grounds'!$A$11:$N$49,I$2,0)),0,VLOOKUP('Project Details by Yr - MASTER'!$B6,'Public Grounds'!$A$11:$N$49,I$2,0))+IF(ISNA(VLOOKUP('Project Details by Yr - MASTER'!$B6,'Public Buildings'!$A$10:$N$96,I$2,0)),0,VLOOKUP('Project Details by Yr - MASTER'!$B6,'Public Buildings'!$A$10:$N$96,I$2,0))+IF(ISNA(VLOOKUP('Project Details by Yr - MASTER'!$B6,Bridges!$A$9:$N$24,I$2,0)),0,VLOOKUP('Project Details by Yr - MASTER'!$B6,Bridges!$A$9:$N$24,I$2,0))+IF(ISNA(VLOOKUP('Project Details by Yr - MASTER'!$B6,'Parking Lots &amp; Playgrounds'!$A$9:$N$33,I$2,0)),0,VLOOKUP('Project Details by Yr - MASTER'!$B6,'Parking Lots &amp; Playgrounds'!$A$9:$N$33,I$2,0))+IF(ISNA(VLOOKUP($B6,Vehicles!$B$9:$O$50,I$2,0)),0,VLOOKUP($B6,Vehicles!$B$9:$O$50,I$2,0))</f>
        <v>0</v>
      </c>
      <c r="J6" s="8">
        <f>IF(ISNA(VLOOKUP($B6,'Other Capital Needs'!$C$51:$P$95,J$2,0)),0,VLOOKUP($B6,'Other Capital Needs'!$C$51:$P$95,J$2,0))+IF(ISNA(VLOOKUP('Project Details by Yr - MASTER'!$B6,'Public Grounds'!$A$11:$N$49,J$2,0)),0,VLOOKUP('Project Details by Yr - MASTER'!$B6,'Public Grounds'!$A$11:$N$49,J$2,0))+IF(ISNA(VLOOKUP('Project Details by Yr - MASTER'!$B6,'Public Buildings'!$A$10:$N$96,J$2,0)),0,VLOOKUP('Project Details by Yr - MASTER'!$B6,'Public Buildings'!$A$10:$N$96,J$2,0))+IF(ISNA(VLOOKUP('Project Details by Yr - MASTER'!$B6,Bridges!$A$9:$N$24,J$2,0)),0,VLOOKUP('Project Details by Yr - MASTER'!$B6,Bridges!$A$9:$N$24,J$2,0))+IF(ISNA(VLOOKUP('Project Details by Yr - MASTER'!$B6,'Parking Lots &amp; Playgrounds'!$A$9:$N$33,J$2,0)),0,VLOOKUP('Project Details by Yr - MASTER'!$B6,'Parking Lots &amp; Playgrounds'!$A$9:$N$33,J$2,0))+IF(ISNA(VLOOKUP($B6,Vehicles!$B$9:$O$50,J$2,0)),0,VLOOKUP($B6,Vehicles!$B$9:$O$50,J$2,0))</f>
        <v>0</v>
      </c>
      <c r="K6" s="8">
        <f>IF(ISNA(VLOOKUP($B6,'Other Capital Needs'!$C$51:$P$95,K$2,0)),0,VLOOKUP($B6,'Other Capital Needs'!$C$51:$P$95,K$2,0))+IF(ISNA(VLOOKUP('Project Details by Yr - MASTER'!$B6,'Public Grounds'!$A$11:$N$49,K$2,0)),0,VLOOKUP('Project Details by Yr - MASTER'!$B6,'Public Grounds'!$A$11:$N$49,K$2,0))+IF(ISNA(VLOOKUP('Project Details by Yr - MASTER'!$B6,'Public Buildings'!$A$10:$N$96,K$2,0)),0,VLOOKUP('Project Details by Yr - MASTER'!$B6,'Public Buildings'!$A$10:$N$96,K$2,0))+IF(ISNA(VLOOKUP('Project Details by Yr - MASTER'!$B6,Bridges!$A$9:$N$24,K$2,0)),0,VLOOKUP('Project Details by Yr - MASTER'!$B6,Bridges!$A$9:$N$24,K$2,0))+IF(ISNA(VLOOKUP('Project Details by Yr - MASTER'!$B6,'Parking Lots &amp; Playgrounds'!$A$9:$N$33,K$2,0)),0,VLOOKUP('Project Details by Yr - MASTER'!$B6,'Parking Lots &amp; Playgrounds'!$A$9:$N$33,K$2,0))+IF(ISNA(VLOOKUP($B6,Vehicles!$B$9:$O$50,K$2,0)),0,VLOOKUP($B6,Vehicles!$B$9:$O$50,K$2,0))</f>
        <v>0</v>
      </c>
    </row>
    <row r="7" spans="1:11" x14ac:dyDescent="0.25">
      <c r="A7" s="20" t="s">
        <v>210</v>
      </c>
      <c r="B7" t="s">
        <v>204</v>
      </c>
      <c r="C7" t="s">
        <v>101</v>
      </c>
      <c r="D7" t="s">
        <v>272</v>
      </c>
      <c r="E7" s="1" t="s">
        <v>16</v>
      </c>
      <c r="G7" s="8">
        <f>IF(ISNA(VLOOKUP($B7,'Other Capital Needs'!$C$51:$P$95,G$2,0)),0,VLOOKUP($B7,'Other Capital Needs'!$C$51:$P$95,G$2,0))+IF(ISNA(VLOOKUP('Project Details by Yr - MASTER'!$B7,'Public Grounds'!$A$11:$N$49,G$2,0)),0,VLOOKUP('Project Details by Yr - MASTER'!$B7,'Public Grounds'!$A$11:$N$49,G$2,0))+IF(ISNA(VLOOKUP('Project Details by Yr - MASTER'!$B7,'Public Buildings'!$A$10:$N$96,G$2,0)),0,VLOOKUP('Project Details by Yr - MASTER'!$B7,'Public Buildings'!$A$10:$N$96,G$2,0))+IF(ISNA(VLOOKUP('Project Details by Yr - MASTER'!$B7,Bridges!$A$9:$N$24,G$2,0)),0,VLOOKUP('Project Details by Yr - MASTER'!$B7,Bridges!$A$9:$N$24,G$2,0))+IF(ISNA(VLOOKUP('Project Details by Yr - MASTER'!$B7,'Parking Lots &amp; Playgrounds'!$A$9:$N$33,G$2,0)),0,VLOOKUP('Project Details by Yr - MASTER'!$B7,'Parking Lots &amp; Playgrounds'!$A$9:$N$33,G$2,0))+IF(ISNA(VLOOKUP($B7,Vehicles!$B$9:$O$50,G$2,0)),0,VLOOKUP($B7,Vehicles!$B$9:$O$50,G$2,0))</f>
        <v>100179</v>
      </c>
      <c r="H7" s="8">
        <f>IF(ISNA(VLOOKUP($B7,'Other Capital Needs'!$C$51:$P$95,H$2,0)),0,VLOOKUP($B7,'Other Capital Needs'!$C$51:$P$95,H$2,0))+IF(ISNA(VLOOKUP('Project Details by Yr - MASTER'!$B7,'Public Grounds'!$A$11:$N$49,H$2,0)),0,VLOOKUP('Project Details by Yr - MASTER'!$B7,'Public Grounds'!$A$11:$N$49,H$2,0))+IF(ISNA(VLOOKUP('Project Details by Yr - MASTER'!$B7,'Public Buildings'!$A$10:$N$96,H$2,0)),0,VLOOKUP('Project Details by Yr - MASTER'!$B7,'Public Buildings'!$A$10:$N$96,H$2,0))+IF(ISNA(VLOOKUP('Project Details by Yr - MASTER'!$B7,Bridges!$A$9:$N$24,H$2,0)),0,VLOOKUP('Project Details by Yr - MASTER'!$B7,Bridges!$A$9:$N$24,H$2,0))+IF(ISNA(VLOOKUP('Project Details by Yr - MASTER'!$B7,'Parking Lots &amp; Playgrounds'!$A$9:$N$33,H$2,0)),0,VLOOKUP('Project Details by Yr - MASTER'!$B7,'Parking Lots &amp; Playgrounds'!$A$9:$N$33,H$2,0))+IF(ISNA(VLOOKUP($B7,Vehicles!$B$9:$O$50,H$2,0)),0,VLOOKUP($B7,Vehicles!$B$9:$O$50,H$2,0))</f>
        <v>181679</v>
      </c>
      <c r="I7" s="8">
        <f>IF(ISNA(VLOOKUP($B7,'Other Capital Needs'!$C$51:$P$95,I$2,0)),0,VLOOKUP($B7,'Other Capital Needs'!$C$51:$P$95,I$2,0))+IF(ISNA(VLOOKUP('Project Details by Yr - MASTER'!$B7,'Public Grounds'!$A$11:$N$49,I$2,0)),0,VLOOKUP('Project Details by Yr - MASTER'!$B7,'Public Grounds'!$A$11:$N$49,I$2,0))+IF(ISNA(VLOOKUP('Project Details by Yr - MASTER'!$B7,'Public Buildings'!$A$10:$N$96,I$2,0)),0,VLOOKUP('Project Details by Yr - MASTER'!$B7,'Public Buildings'!$A$10:$N$96,I$2,0))+IF(ISNA(VLOOKUP('Project Details by Yr - MASTER'!$B7,Bridges!$A$9:$N$24,I$2,0)),0,VLOOKUP('Project Details by Yr - MASTER'!$B7,Bridges!$A$9:$N$24,I$2,0))+IF(ISNA(VLOOKUP('Project Details by Yr - MASTER'!$B7,'Parking Lots &amp; Playgrounds'!$A$9:$N$33,I$2,0)),0,VLOOKUP('Project Details by Yr - MASTER'!$B7,'Parking Lots &amp; Playgrounds'!$A$9:$N$33,I$2,0))+IF(ISNA(VLOOKUP($B7,Vehicles!$B$9:$O$50,I$2,0)),0,VLOOKUP($B7,Vehicles!$B$9:$O$50,I$2,0))</f>
        <v>43640</v>
      </c>
      <c r="J7" s="8">
        <f>IF(ISNA(VLOOKUP($B7,'Other Capital Needs'!$C$51:$P$95,J$2,0)),0,VLOOKUP($B7,'Other Capital Needs'!$C$51:$P$95,J$2,0))+IF(ISNA(VLOOKUP('Project Details by Yr - MASTER'!$B7,'Public Grounds'!$A$11:$N$49,J$2,0)),0,VLOOKUP('Project Details by Yr - MASTER'!$B7,'Public Grounds'!$A$11:$N$49,J$2,0))+IF(ISNA(VLOOKUP('Project Details by Yr - MASTER'!$B7,'Public Buildings'!$A$10:$N$96,J$2,0)),0,VLOOKUP('Project Details by Yr - MASTER'!$B7,'Public Buildings'!$A$10:$N$96,J$2,0))+IF(ISNA(VLOOKUP('Project Details by Yr - MASTER'!$B7,Bridges!$A$9:$N$24,J$2,0)),0,VLOOKUP('Project Details by Yr - MASTER'!$B7,Bridges!$A$9:$N$24,J$2,0))+IF(ISNA(VLOOKUP('Project Details by Yr - MASTER'!$B7,'Parking Lots &amp; Playgrounds'!$A$9:$N$33,J$2,0)),0,VLOOKUP('Project Details by Yr - MASTER'!$B7,'Parking Lots &amp; Playgrounds'!$A$9:$N$33,J$2,0))+IF(ISNA(VLOOKUP($B7,Vehicles!$B$9:$O$50,J$2,0)),0,VLOOKUP($B7,Vehicles!$B$9:$O$50,J$2,0))</f>
        <v>46500</v>
      </c>
      <c r="K7" s="8">
        <f>IF(ISNA(VLOOKUP($B7,'Other Capital Needs'!$C$51:$P$95,K$2,0)),0,VLOOKUP($B7,'Other Capital Needs'!$C$51:$P$95,K$2,0))+IF(ISNA(VLOOKUP('Project Details by Yr - MASTER'!$B7,'Public Grounds'!$A$11:$N$49,K$2,0)),0,VLOOKUP('Project Details by Yr - MASTER'!$B7,'Public Grounds'!$A$11:$N$49,K$2,0))+IF(ISNA(VLOOKUP('Project Details by Yr - MASTER'!$B7,'Public Buildings'!$A$10:$N$96,K$2,0)),0,VLOOKUP('Project Details by Yr - MASTER'!$B7,'Public Buildings'!$A$10:$N$96,K$2,0))+IF(ISNA(VLOOKUP('Project Details by Yr - MASTER'!$B7,Bridges!$A$9:$N$24,K$2,0)),0,VLOOKUP('Project Details by Yr - MASTER'!$B7,Bridges!$A$9:$N$24,K$2,0))+IF(ISNA(VLOOKUP('Project Details by Yr - MASTER'!$B7,'Parking Lots &amp; Playgrounds'!$A$9:$N$33,K$2,0)),0,VLOOKUP('Project Details by Yr - MASTER'!$B7,'Parking Lots &amp; Playgrounds'!$A$9:$N$33,K$2,0))+IF(ISNA(VLOOKUP($B7,Vehicles!$B$9:$O$50,K$2,0)),0,VLOOKUP($B7,Vehicles!$B$9:$O$50,K$2,0))</f>
        <v>96700</v>
      </c>
    </row>
    <row r="8" spans="1:11" x14ac:dyDescent="0.25">
      <c r="A8" s="20" t="s">
        <v>209</v>
      </c>
      <c r="B8" t="s">
        <v>107</v>
      </c>
      <c r="C8" t="s">
        <v>101</v>
      </c>
      <c r="D8" t="s">
        <v>272</v>
      </c>
      <c r="E8" s="1" t="s">
        <v>16</v>
      </c>
      <c r="G8" s="8">
        <f>IF(ISNA(VLOOKUP($B8,'Other Capital Needs'!$C$51:$P$95,G$2,0)),0,VLOOKUP($B8,'Other Capital Needs'!$C$51:$P$95,G$2,0))+IF(ISNA(VLOOKUP('Project Details by Yr - MASTER'!$B8,'Public Grounds'!$A$11:$N$49,G$2,0)),0,VLOOKUP('Project Details by Yr - MASTER'!$B8,'Public Grounds'!$A$11:$N$49,G$2,0))+IF(ISNA(VLOOKUP('Project Details by Yr - MASTER'!$B8,'Public Buildings'!$A$10:$N$96,G$2,0)),0,VLOOKUP('Project Details by Yr - MASTER'!$B8,'Public Buildings'!$A$10:$N$96,G$2,0))+IF(ISNA(VLOOKUP('Project Details by Yr - MASTER'!$B8,Bridges!$A$9:$N$24,G$2,0)),0,VLOOKUP('Project Details by Yr - MASTER'!$B8,Bridges!$A$9:$N$24,G$2,0))+IF(ISNA(VLOOKUP('Project Details by Yr - MASTER'!$B8,'Parking Lots &amp; Playgrounds'!$A$9:$N$33,G$2,0)),0,VLOOKUP('Project Details by Yr - MASTER'!$B8,'Parking Lots &amp; Playgrounds'!$A$9:$N$33,G$2,0))+IF(ISNA(VLOOKUP($B8,Vehicles!$B$9:$O$50,G$2,0)),0,VLOOKUP($B8,Vehicles!$B$9:$O$50,G$2,0))</f>
        <v>50000</v>
      </c>
      <c r="H8" s="8">
        <f>IF(ISNA(VLOOKUP($B8,'Other Capital Needs'!$C$51:$P$95,H$2,0)),0,VLOOKUP($B8,'Other Capital Needs'!$C$51:$P$95,H$2,0))+IF(ISNA(VLOOKUP('Project Details by Yr - MASTER'!$B8,'Public Grounds'!$A$11:$N$49,H$2,0)),0,VLOOKUP('Project Details by Yr - MASTER'!$B8,'Public Grounds'!$A$11:$N$49,H$2,0))+IF(ISNA(VLOOKUP('Project Details by Yr - MASTER'!$B8,'Public Buildings'!$A$10:$N$96,H$2,0)),0,VLOOKUP('Project Details by Yr - MASTER'!$B8,'Public Buildings'!$A$10:$N$96,H$2,0))+IF(ISNA(VLOOKUP('Project Details by Yr - MASTER'!$B8,Bridges!$A$9:$N$24,H$2,0)),0,VLOOKUP('Project Details by Yr - MASTER'!$B8,Bridges!$A$9:$N$24,H$2,0))+IF(ISNA(VLOOKUP('Project Details by Yr - MASTER'!$B8,'Parking Lots &amp; Playgrounds'!$A$9:$N$33,H$2,0)),0,VLOOKUP('Project Details by Yr - MASTER'!$B8,'Parking Lots &amp; Playgrounds'!$A$9:$N$33,H$2,0))+IF(ISNA(VLOOKUP($B8,Vehicles!$B$9:$O$50,H$2,0)),0,VLOOKUP($B8,Vehicles!$B$9:$O$50,H$2,0))</f>
        <v>50000</v>
      </c>
      <c r="I8" s="8">
        <f>IF(ISNA(VLOOKUP($B8,'Other Capital Needs'!$C$51:$P$95,I$2,0)),0,VLOOKUP($B8,'Other Capital Needs'!$C$51:$P$95,I$2,0))+IF(ISNA(VLOOKUP('Project Details by Yr - MASTER'!$B8,'Public Grounds'!$A$11:$N$49,I$2,0)),0,VLOOKUP('Project Details by Yr - MASTER'!$B8,'Public Grounds'!$A$11:$N$49,I$2,0))+IF(ISNA(VLOOKUP('Project Details by Yr - MASTER'!$B8,'Public Buildings'!$A$10:$N$96,I$2,0)),0,VLOOKUP('Project Details by Yr - MASTER'!$B8,'Public Buildings'!$A$10:$N$96,I$2,0))+IF(ISNA(VLOOKUP('Project Details by Yr - MASTER'!$B8,Bridges!$A$9:$N$24,I$2,0)),0,VLOOKUP('Project Details by Yr - MASTER'!$B8,Bridges!$A$9:$N$24,I$2,0))+IF(ISNA(VLOOKUP('Project Details by Yr - MASTER'!$B8,'Parking Lots &amp; Playgrounds'!$A$9:$N$33,I$2,0)),0,VLOOKUP('Project Details by Yr - MASTER'!$B8,'Parking Lots &amp; Playgrounds'!$A$9:$N$33,I$2,0))+IF(ISNA(VLOOKUP($B8,Vehicles!$B$9:$O$50,I$2,0)),0,VLOOKUP($B8,Vehicles!$B$9:$O$50,I$2,0))</f>
        <v>50000</v>
      </c>
      <c r="J8" s="8">
        <f>IF(ISNA(VLOOKUP($B8,'Other Capital Needs'!$C$51:$P$95,J$2,0)),0,VLOOKUP($B8,'Other Capital Needs'!$C$51:$P$95,J$2,0))+IF(ISNA(VLOOKUP('Project Details by Yr - MASTER'!$B8,'Public Grounds'!$A$11:$N$49,J$2,0)),0,VLOOKUP('Project Details by Yr - MASTER'!$B8,'Public Grounds'!$A$11:$N$49,J$2,0))+IF(ISNA(VLOOKUP('Project Details by Yr - MASTER'!$B8,'Public Buildings'!$A$10:$N$96,J$2,0)),0,VLOOKUP('Project Details by Yr - MASTER'!$B8,'Public Buildings'!$A$10:$N$96,J$2,0))+IF(ISNA(VLOOKUP('Project Details by Yr - MASTER'!$B8,Bridges!$A$9:$N$24,J$2,0)),0,VLOOKUP('Project Details by Yr - MASTER'!$B8,Bridges!$A$9:$N$24,J$2,0))+IF(ISNA(VLOOKUP('Project Details by Yr - MASTER'!$B8,'Parking Lots &amp; Playgrounds'!$A$9:$N$33,J$2,0)),0,VLOOKUP('Project Details by Yr - MASTER'!$B8,'Parking Lots &amp; Playgrounds'!$A$9:$N$33,J$2,0))+IF(ISNA(VLOOKUP($B8,Vehicles!$B$9:$O$50,J$2,0)),0,VLOOKUP($B8,Vehicles!$B$9:$O$50,J$2,0))</f>
        <v>50000</v>
      </c>
      <c r="K8" s="8">
        <f>IF(ISNA(VLOOKUP($B8,'Other Capital Needs'!$C$51:$P$95,K$2,0)),0,VLOOKUP($B8,'Other Capital Needs'!$C$51:$P$95,K$2,0))+IF(ISNA(VLOOKUP('Project Details by Yr - MASTER'!$B8,'Public Grounds'!$A$11:$N$49,K$2,0)),0,VLOOKUP('Project Details by Yr - MASTER'!$B8,'Public Grounds'!$A$11:$N$49,K$2,0))+IF(ISNA(VLOOKUP('Project Details by Yr - MASTER'!$B8,'Public Buildings'!$A$10:$N$96,K$2,0)),0,VLOOKUP('Project Details by Yr - MASTER'!$B8,'Public Buildings'!$A$10:$N$96,K$2,0))+IF(ISNA(VLOOKUP('Project Details by Yr - MASTER'!$B8,Bridges!$A$9:$N$24,K$2,0)),0,VLOOKUP('Project Details by Yr - MASTER'!$B8,Bridges!$A$9:$N$24,K$2,0))+IF(ISNA(VLOOKUP('Project Details by Yr - MASTER'!$B8,'Parking Lots &amp; Playgrounds'!$A$9:$N$33,K$2,0)),0,VLOOKUP('Project Details by Yr - MASTER'!$B8,'Parking Lots &amp; Playgrounds'!$A$9:$N$33,K$2,0))+IF(ISNA(VLOOKUP($B8,Vehicles!$B$9:$O$50,K$2,0)),0,VLOOKUP($B8,Vehicles!$B$9:$O$50,K$2,0))</f>
        <v>50000</v>
      </c>
    </row>
    <row r="9" spans="1:11" x14ac:dyDescent="0.25">
      <c r="A9" s="1">
        <v>14</v>
      </c>
      <c r="B9" t="s">
        <v>145</v>
      </c>
      <c r="C9" t="s">
        <v>101</v>
      </c>
      <c r="D9" t="s">
        <v>272</v>
      </c>
      <c r="E9" s="1" t="s">
        <v>16</v>
      </c>
      <c r="G9" s="8">
        <f>IF(ISNA(VLOOKUP($B9,'Other Capital Needs'!$C$51:$P$95,G$2,0)),0,VLOOKUP($B9,'Other Capital Needs'!$C$51:$P$95,G$2,0))+IF(ISNA(VLOOKUP('Project Details by Yr - MASTER'!$B9,'Public Grounds'!$A$11:$N$49,G$2,0)),0,VLOOKUP('Project Details by Yr - MASTER'!$B9,'Public Grounds'!$A$11:$N$49,G$2,0))+IF(ISNA(VLOOKUP('Project Details by Yr - MASTER'!$B9,'Public Buildings'!$A$10:$N$96,G$2,0)),0,VLOOKUP('Project Details by Yr - MASTER'!$B9,'Public Buildings'!$A$10:$N$96,G$2,0))+IF(ISNA(VLOOKUP('Project Details by Yr - MASTER'!$B9,Bridges!$A$9:$N$24,G$2,0)),0,VLOOKUP('Project Details by Yr - MASTER'!$B9,Bridges!$A$9:$N$24,G$2,0))+IF(ISNA(VLOOKUP('Project Details by Yr - MASTER'!$B9,'Parking Lots &amp; Playgrounds'!$A$9:$N$33,G$2,0)),0,VLOOKUP('Project Details by Yr - MASTER'!$B9,'Parking Lots &amp; Playgrounds'!$A$9:$N$33,G$2,0))+IF(ISNA(VLOOKUP($B9,Vehicles!$B$9:$O$50,G$2,0)),0,VLOOKUP($B9,Vehicles!$B$9:$O$50,G$2,0))</f>
        <v>0</v>
      </c>
      <c r="H9" s="8">
        <f>IF(ISNA(VLOOKUP($B9,'Other Capital Needs'!$C$51:$P$95,H$2,0)),0,VLOOKUP($B9,'Other Capital Needs'!$C$51:$P$95,H$2,0))+IF(ISNA(VLOOKUP('Project Details by Yr - MASTER'!$B9,'Public Grounds'!$A$11:$N$49,H$2,0)),0,VLOOKUP('Project Details by Yr - MASTER'!$B9,'Public Grounds'!$A$11:$N$49,H$2,0))+IF(ISNA(VLOOKUP('Project Details by Yr - MASTER'!$B9,'Public Buildings'!$A$10:$N$96,H$2,0)),0,VLOOKUP('Project Details by Yr - MASTER'!$B9,'Public Buildings'!$A$10:$N$96,H$2,0))+IF(ISNA(VLOOKUP('Project Details by Yr - MASTER'!$B9,Bridges!$A$9:$N$24,H$2,0)),0,VLOOKUP('Project Details by Yr - MASTER'!$B9,Bridges!$A$9:$N$24,H$2,0))+IF(ISNA(VLOOKUP('Project Details by Yr - MASTER'!$B9,'Parking Lots &amp; Playgrounds'!$A$9:$N$33,H$2,0)),0,VLOOKUP('Project Details by Yr - MASTER'!$B9,'Parking Lots &amp; Playgrounds'!$A$9:$N$33,H$2,0))+IF(ISNA(VLOOKUP($B9,Vehicles!$B$9:$O$50,H$2,0)),0,VLOOKUP($B9,Vehicles!$B$9:$O$50,H$2,0))</f>
        <v>0</v>
      </c>
      <c r="I9" s="8">
        <f>IF(ISNA(VLOOKUP($B9,'Other Capital Needs'!$C$51:$P$95,I$2,0)),0,VLOOKUP($B9,'Other Capital Needs'!$C$51:$P$95,I$2,0))+IF(ISNA(VLOOKUP('Project Details by Yr - MASTER'!$B9,'Public Grounds'!$A$11:$N$49,I$2,0)),0,VLOOKUP('Project Details by Yr - MASTER'!$B9,'Public Grounds'!$A$11:$N$49,I$2,0))+IF(ISNA(VLOOKUP('Project Details by Yr - MASTER'!$B9,'Public Buildings'!$A$10:$N$96,I$2,0)),0,VLOOKUP('Project Details by Yr - MASTER'!$B9,'Public Buildings'!$A$10:$N$96,I$2,0))+IF(ISNA(VLOOKUP('Project Details by Yr - MASTER'!$B9,Bridges!$A$9:$N$24,I$2,0)),0,VLOOKUP('Project Details by Yr - MASTER'!$B9,Bridges!$A$9:$N$24,I$2,0))+IF(ISNA(VLOOKUP('Project Details by Yr - MASTER'!$B9,'Parking Lots &amp; Playgrounds'!$A$9:$N$33,I$2,0)),0,VLOOKUP('Project Details by Yr - MASTER'!$B9,'Parking Lots &amp; Playgrounds'!$A$9:$N$33,I$2,0))+IF(ISNA(VLOOKUP($B9,Vehicles!$B$9:$O$50,I$2,0)),0,VLOOKUP($B9,Vehicles!$B$9:$O$50,I$2,0))</f>
        <v>0</v>
      </c>
      <c r="J9" s="8">
        <f>IF(ISNA(VLOOKUP($B9,'Other Capital Needs'!$C$51:$P$95,J$2,0)),0,VLOOKUP($B9,'Other Capital Needs'!$C$51:$P$95,J$2,0))+IF(ISNA(VLOOKUP('Project Details by Yr - MASTER'!$B9,'Public Grounds'!$A$11:$N$49,J$2,0)),0,VLOOKUP('Project Details by Yr - MASTER'!$B9,'Public Grounds'!$A$11:$N$49,J$2,0))+IF(ISNA(VLOOKUP('Project Details by Yr - MASTER'!$B9,'Public Buildings'!$A$10:$N$96,J$2,0)),0,VLOOKUP('Project Details by Yr - MASTER'!$B9,'Public Buildings'!$A$10:$N$96,J$2,0))+IF(ISNA(VLOOKUP('Project Details by Yr - MASTER'!$B9,Bridges!$A$9:$N$24,J$2,0)),0,VLOOKUP('Project Details by Yr - MASTER'!$B9,Bridges!$A$9:$N$24,J$2,0))+IF(ISNA(VLOOKUP('Project Details by Yr - MASTER'!$B9,'Parking Lots &amp; Playgrounds'!$A$9:$N$33,J$2,0)),0,VLOOKUP('Project Details by Yr - MASTER'!$B9,'Parking Lots &amp; Playgrounds'!$A$9:$N$33,J$2,0))+IF(ISNA(VLOOKUP($B9,Vehicles!$B$9:$O$50,J$2,0)),0,VLOOKUP($B9,Vehicles!$B$9:$O$50,J$2,0))</f>
        <v>0</v>
      </c>
      <c r="K9" s="8">
        <f>IF(ISNA(VLOOKUP($B9,'Other Capital Needs'!$C$51:$P$95,K$2,0)),0,VLOOKUP($B9,'Other Capital Needs'!$C$51:$P$95,K$2,0))+IF(ISNA(VLOOKUP('Project Details by Yr - MASTER'!$B9,'Public Grounds'!$A$11:$N$49,K$2,0)),0,VLOOKUP('Project Details by Yr - MASTER'!$B9,'Public Grounds'!$A$11:$N$49,K$2,0))+IF(ISNA(VLOOKUP('Project Details by Yr - MASTER'!$B9,'Public Buildings'!$A$10:$N$96,K$2,0)),0,VLOOKUP('Project Details by Yr - MASTER'!$B9,'Public Buildings'!$A$10:$N$96,K$2,0))+IF(ISNA(VLOOKUP('Project Details by Yr - MASTER'!$B9,Bridges!$A$9:$N$24,K$2,0)),0,VLOOKUP('Project Details by Yr - MASTER'!$B9,Bridges!$A$9:$N$24,K$2,0))+IF(ISNA(VLOOKUP('Project Details by Yr - MASTER'!$B9,'Parking Lots &amp; Playgrounds'!$A$9:$N$33,K$2,0)),0,VLOOKUP('Project Details by Yr - MASTER'!$B9,'Parking Lots &amp; Playgrounds'!$A$9:$N$33,K$2,0))+IF(ISNA(VLOOKUP($B9,Vehicles!$B$9:$O$50,K$2,0)),0,VLOOKUP($B9,Vehicles!$B$9:$O$50,K$2,0))</f>
        <v>0</v>
      </c>
    </row>
    <row r="10" spans="1:11" x14ac:dyDescent="0.25">
      <c r="A10" s="1">
        <v>17</v>
      </c>
      <c r="B10" t="s">
        <v>146</v>
      </c>
      <c r="C10" t="s">
        <v>101</v>
      </c>
      <c r="D10" t="s">
        <v>272</v>
      </c>
      <c r="E10" s="1" t="s">
        <v>37</v>
      </c>
      <c r="G10" s="8">
        <f>IF(ISNA(VLOOKUP($B10,'Other Capital Needs'!$C$51:$P$95,G$2,0)),0,VLOOKUP($B10,'Other Capital Needs'!$C$51:$P$95,G$2,0))+IF(ISNA(VLOOKUP('Project Details by Yr - MASTER'!$B10,'Public Grounds'!$A$11:$N$49,G$2,0)),0,VLOOKUP('Project Details by Yr - MASTER'!$B10,'Public Grounds'!$A$11:$N$49,G$2,0))+IF(ISNA(VLOOKUP('Project Details by Yr - MASTER'!$B10,'Public Buildings'!$A$10:$N$96,G$2,0)),0,VLOOKUP('Project Details by Yr - MASTER'!$B10,'Public Buildings'!$A$10:$N$96,G$2,0))+IF(ISNA(VLOOKUP('Project Details by Yr - MASTER'!$B10,Bridges!$A$9:$N$24,G$2,0)),0,VLOOKUP('Project Details by Yr - MASTER'!$B10,Bridges!$A$9:$N$24,G$2,0))+IF(ISNA(VLOOKUP('Project Details by Yr - MASTER'!$B10,'Parking Lots &amp; Playgrounds'!$A$9:$N$33,G$2,0)),0,VLOOKUP('Project Details by Yr - MASTER'!$B10,'Parking Lots &amp; Playgrounds'!$A$9:$N$33,G$2,0))+IF(ISNA(VLOOKUP($B10,Vehicles!$B$9:$O$50,G$2,0)),0,VLOOKUP($B10,Vehicles!$B$9:$O$50,G$2,0))</f>
        <v>0</v>
      </c>
      <c r="H10" s="8">
        <f>IF(ISNA(VLOOKUP($B10,'Other Capital Needs'!$C$51:$P$95,H$2,0)),0,VLOOKUP($B10,'Other Capital Needs'!$C$51:$P$95,H$2,0))+IF(ISNA(VLOOKUP('Project Details by Yr - MASTER'!$B10,'Public Grounds'!$A$11:$N$49,H$2,0)),0,VLOOKUP('Project Details by Yr - MASTER'!$B10,'Public Grounds'!$A$11:$N$49,H$2,0))+IF(ISNA(VLOOKUP('Project Details by Yr - MASTER'!$B10,'Public Buildings'!$A$10:$N$96,H$2,0)),0,VLOOKUP('Project Details by Yr - MASTER'!$B10,'Public Buildings'!$A$10:$N$96,H$2,0))+IF(ISNA(VLOOKUP('Project Details by Yr - MASTER'!$B10,Bridges!$A$9:$N$24,H$2,0)),0,VLOOKUP('Project Details by Yr - MASTER'!$B10,Bridges!$A$9:$N$24,H$2,0))+IF(ISNA(VLOOKUP('Project Details by Yr - MASTER'!$B10,'Parking Lots &amp; Playgrounds'!$A$9:$N$33,H$2,0)),0,VLOOKUP('Project Details by Yr - MASTER'!$B10,'Parking Lots &amp; Playgrounds'!$A$9:$N$33,H$2,0))+IF(ISNA(VLOOKUP($B10,Vehicles!$B$9:$O$50,H$2,0)),0,VLOOKUP($B10,Vehicles!$B$9:$O$50,H$2,0))</f>
        <v>0</v>
      </c>
      <c r="I10" s="8">
        <f>IF(ISNA(VLOOKUP($B10,'Other Capital Needs'!$C$51:$P$95,I$2,0)),0,VLOOKUP($B10,'Other Capital Needs'!$C$51:$P$95,I$2,0))+IF(ISNA(VLOOKUP('Project Details by Yr - MASTER'!$B10,'Public Grounds'!$A$11:$N$49,I$2,0)),0,VLOOKUP('Project Details by Yr - MASTER'!$B10,'Public Grounds'!$A$11:$N$49,I$2,0))+IF(ISNA(VLOOKUP('Project Details by Yr - MASTER'!$B10,'Public Buildings'!$A$10:$N$96,I$2,0)),0,VLOOKUP('Project Details by Yr - MASTER'!$B10,'Public Buildings'!$A$10:$N$96,I$2,0))+IF(ISNA(VLOOKUP('Project Details by Yr - MASTER'!$B10,Bridges!$A$9:$N$24,I$2,0)),0,VLOOKUP('Project Details by Yr - MASTER'!$B10,Bridges!$A$9:$N$24,I$2,0))+IF(ISNA(VLOOKUP('Project Details by Yr - MASTER'!$B10,'Parking Lots &amp; Playgrounds'!$A$9:$N$33,I$2,0)),0,VLOOKUP('Project Details by Yr - MASTER'!$B10,'Parking Lots &amp; Playgrounds'!$A$9:$N$33,I$2,0))+IF(ISNA(VLOOKUP($B10,Vehicles!$B$9:$O$50,I$2,0)),0,VLOOKUP($B10,Vehicles!$B$9:$O$50,I$2,0))</f>
        <v>0</v>
      </c>
      <c r="J10" s="8">
        <f>IF(ISNA(VLOOKUP($B10,'Other Capital Needs'!$C$51:$P$95,J$2,0)),0,VLOOKUP($B10,'Other Capital Needs'!$C$51:$P$95,J$2,0))+IF(ISNA(VLOOKUP('Project Details by Yr - MASTER'!$B10,'Public Grounds'!$A$11:$N$49,J$2,0)),0,VLOOKUP('Project Details by Yr - MASTER'!$B10,'Public Grounds'!$A$11:$N$49,J$2,0))+IF(ISNA(VLOOKUP('Project Details by Yr - MASTER'!$B10,'Public Buildings'!$A$10:$N$96,J$2,0)),0,VLOOKUP('Project Details by Yr - MASTER'!$B10,'Public Buildings'!$A$10:$N$96,J$2,0))+IF(ISNA(VLOOKUP('Project Details by Yr - MASTER'!$B10,Bridges!$A$9:$N$24,J$2,0)),0,VLOOKUP('Project Details by Yr - MASTER'!$B10,Bridges!$A$9:$N$24,J$2,0))+IF(ISNA(VLOOKUP('Project Details by Yr - MASTER'!$B10,'Parking Lots &amp; Playgrounds'!$A$9:$N$33,J$2,0)),0,VLOOKUP('Project Details by Yr - MASTER'!$B10,'Parking Lots &amp; Playgrounds'!$A$9:$N$33,J$2,0))+IF(ISNA(VLOOKUP($B10,Vehicles!$B$9:$O$50,J$2,0)),0,VLOOKUP($B10,Vehicles!$B$9:$O$50,J$2,0))</f>
        <v>0</v>
      </c>
      <c r="K10" s="8">
        <f>IF(ISNA(VLOOKUP($B10,'Other Capital Needs'!$C$51:$P$95,K$2,0)),0,VLOOKUP($B10,'Other Capital Needs'!$C$51:$P$95,K$2,0))+IF(ISNA(VLOOKUP('Project Details by Yr - MASTER'!$B10,'Public Grounds'!$A$11:$N$49,K$2,0)),0,VLOOKUP('Project Details by Yr - MASTER'!$B10,'Public Grounds'!$A$11:$N$49,K$2,0))+IF(ISNA(VLOOKUP('Project Details by Yr - MASTER'!$B10,'Public Buildings'!$A$10:$N$96,K$2,0)),0,VLOOKUP('Project Details by Yr - MASTER'!$B10,'Public Buildings'!$A$10:$N$96,K$2,0))+IF(ISNA(VLOOKUP('Project Details by Yr - MASTER'!$B10,Bridges!$A$9:$N$24,K$2,0)),0,VLOOKUP('Project Details by Yr - MASTER'!$B10,Bridges!$A$9:$N$24,K$2,0))+IF(ISNA(VLOOKUP('Project Details by Yr - MASTER'!$B10,'Parking Lots &amp; Playgrounds'!$A$9:$N$33,K$2,0)),0,VLOOKUP('Project Details by Yr - MASTER'!$B10,'Parking Lots &amp; Playgrounds'!$A$9:$N$33,K$2,0))+IF(ISNA(VLOOKUP($B10,Vehicles!$B$9:$O$50,K$2,0)),0,VLOOKUP($B10,Vehicles!$B$9:$O$50,K$2,0))</f>
        <v>0</v>
      </c>
    </row>
    <row r="11" spans="1:11" x14ac:dyDescent="0.25">
      <c r="A11" s="1">
        <v>17</v>
      </c>
      <c r="B11" t="s">
        <v>148</v>
      </c>
      <c r="C11" t="s">
        <v>101</v>
      </c>
      <c r="D11" t="s">
        <v>272</v>
      </c>
      <c r="E11" s="1" t="s">
        <v>16</v>
      </c>
      <c r="G11" s="8">
        <f>IF(ISNA(VLOOKUP($B11,'Other Capital Needs'!$C$51:$P$95,G$2,0)),0,VLOOKUP($B11,'Other Capital Needs'!$C$51:$P$95,G$2,0))+IF(ISNA(VLOOKUP('Project Details by Yr - MASTER'!$B11,'Public Grounds'!$A$11:$N$49,G$2,0)),0,VLOOKUP('Project Details by Yr - MASTER'!$B11,'Public Grounds'!$A$11:$N$49,G$2,0))+IF(ISNA(VLOOKUP('Project Details by Yr - MASTER'!$B11,'Public Buildings'!$A$10:$N$96,G$2,0)),0,VLOOKUP('Project Details by Yr - MASTER'!$B11,'Public Buildings'!$A$10:$N$96,G$2,0))+IF(ISNA(VLOOKUP('Project Details by Yr - MASTER'!$B11,Bridges!$A$9:$N$24,G$2,0)),0,VLOOKUP('Project Details by Yr - MASTER'!$B11,Bridges!$A$9:$N$24,G$2,0))+IF(ISNA(VLOOKUP('Project Details by Yr - MASTER'!$B11,'Parking Lots &amp; Playgrounds'!$A$9:$N$33,G$2,0)),0,VLOOKUP('Project Details by Yr - MASTER'!$B11,'Parking Lots &amp; Playgrounds'!$A$9:$N$33,G$2,0))+IF(ISNA(VLOOKUP($B11,Vehicles!$B$9:$O$50,G$2,0)),0,VLOOKUP($B11,Vehicles!$B$9:$O$50,G$2,0))</f>
        <v>0</v>
      </c>
      <c r="H11" s="8">
        <f>IF(ISNA(VLOOKUP($B11,'Other Capital Needs'!$C$51:$P$95,H$2,0)),0,VLOOKUP($B11,'Other Capital Needs'!$C$51:$P$95,H$2,0))+IF(ISNA(VLOOKUP('Project Details by Yr - MASTER'!$B11,'Public Grounds'!$A$11:$N$49,H$2,0)),0,VLOOKUP('Project Details by Yr - MASTER'!$B11,'Public Grounds'!$A$11:$N$49,H$2,0))+IF(ISNA(VLOOKUP('Project Details by Yr - MASTER'!$B11,'Public Buildings'!$A$10:$N$96,H$2,0)),0,VLOOKUP('Project Details by Yr - MASTER'!$B11,'Public Buildings'!$A$10:$N$96,H$2,0))+IF(ISNA(VLOOKUP('Project Details by Yr - MASTER'!$B11,Bridges!$A$9:$N$24,H$2,0)),0,VLOOKUP('Project Details by Yr - MASTER'!$B11,Bridges!$A$9:$N$24,H$2,0))+IF(ISNA(VLOOKUP('Project Details by Yr - MASTER'!$B11,'Parking Lots &amp; Playgrounds'!$A$9:$N$33,H$2,0)),0,VLOOKUP('Project Details by Yr - MASTER'!$B11,'Parking Lots &amp; Playgrounds'!$A$9:$N$33,H$2,0))+IF(ISNA(VLOOKUP($B11,Vehicles!$B$9:$O$50,H$2,0)),0,VLOOKUP($B11,Vehicles!$B$9:$O$50,H$2,0))</f>
        <v>0</v>
      </c>
      <c r="I11" s="8">
        <f>IF(ISNA(VLOOKUP($B11,'Other Capital Needs'!$C$51:$P$95,I$2,0)),0,VLOOKUP($B11,'Other Capital Needs'!$C$51:$P$95,I$2,0))+IF(ISNA(VLOOKUP('Project Details by Yr - MASTER'!$B11,'Public Grounds'!$A$11:$N$49,I$2,0)),0,VLOOKUP('Project Details by Yr - MASTER'!$B11,'Public Grounds'!$A$11:$N$49,I$2,0))+IF(ISNA(VLOOKUP('Project Details by Yr - MASTER'!$B11,'Public Buildings'!$A$10:$N$96,I$2,0)),0,VLOOKUP('Project Details by Yr - MASTER'!$B11,'Public Buildings'!$A$10:$N$96,I$2,0))+IF(ISNA(VLOOKUP('Project Details by Yr - MASTER'!$B11,Bridges!$A$9:$N$24,I$2,0)),0,VLOOKUP('Project Details by Yr - MASTER'!$B11,Bridges!$A$9:$N$24,I$2,0))+IF(ISNA(VLOOKUP('Project Details by Yr - MASTER'!$B11,'Parking Lots &amp; Playgrounds'!$A$9:$N$33,I$2,0)),0,VLOOKUP('Project Details by Yr - MASTER'!$B11,'Parking Lots &amp; Playgrounds'!$A$9:$N$33,I$2,0))+IF(ISNA(VLOOKUP($B11,Vehicles!$B$9:$O$50,I$2,0)),0,VLOOKUP($B11,Vehicles!$B$9:$O$50,I$2,0))</f>
        <v>0</v>
      </c>
      <c r="J11" s="8">
        <f>IF(ISNA(VLOOKUP($B11,'Other Capital Needs'!$C$51:$P$95,J$2,0)),0,VLOOKUP($B11,'Other Capital Needs'!$C$51:$P$95,J$2,0))+IF(ISNA(VLOOKUP('Project Details by Yr - MASTER'!$B11,'Public Grounds'!$A$11:$N$49,J$2,0)),0,VLOOKUP('Project Details by Yr - MASTER'!$B11,'Public Grounds'!$A$11:$N$49,J$2,0))+IF(ISNA(VLOOKUP('Project Details by Yr - MASTER'!$B11,'Public Buildings'!$A$10:$N$96,J$2,0)),0,VLOOKUP('Project Details by Yr - MASTER'!$B11,'Public Buildings'!$A$10:$N$96,J$2,0))+IF(ISNA(VLOOKUP('Project Details by Yr - MASTER'!$B11,Bridges!$A$9:$N$24,J$2,0)),0,VLOOKUP('Project Details by Yr - MASTER'!$B11,Bridges!$A$9:$N$24,J$2,0))+IF(ISNA(VLOOKUP('Project Details by Yr - MASTER'!$B11,'Parking Lots &amp; Playgrounds'!$A$9:$N$33,J$2,0)),0,VLOOKUP('Project Details by Yr - MASTER'!$B11,'Parking Lots &amp; Playgrounds'!$A$9:$N$33,J$2,0))+IF(ISNA(VLOOKUP($B11,Vehicles!$B$9:$O$50,J$2,0)),0,VLOOKUP($B11,Vehicles!$B$9:$O$50,J$2,0))</f>
        <v>0</v>
      </c>
      <c r="K11" s="8">
        <f>IF(ISNA(VLOOKUP($B11,'Other Capital Needs'!$C$51:$P$95,K$2,0)),0,VLOOKUP($B11,'Other Capital Needs'!$C$51:$P$95,K$2,0))+IF(ISNA(VLOOKUP('Project Details by Yr - MASTER'!$B11,'Public Grounds'!$A$11:$N$49,K$2,0)),0,VLOOKUP('Project Details by Yr - MASTER'!$B11,'Public Grounds'!$A$11:$N$49,K$2,0))+IF(ISNA(VLOOKUP('Project Details by Yr - MASTER'!$B11,'Public Buildings'!$A$10:$N$96,K$2,0)),0,VLOOKUP('Project Details by Yr - MASTER'!$B11,'Public Buildings'!$A$10:$N$96,K$2,0))+IF(ISNA(VLOOKUP('Project Details by Yr - MASTER'!$B11,Bridges!$A$9:$N$24,K$2,0)),0,VLOOKUP('Project Details by Yr - MASTER'!$B11,Bridges!$A$9:$N$24,K$2,0))+IF(ISNA(VLOOKUP('Project Details by Yr - MASTER'!$B11,'Parking Lots &amp; Playgrounds'!$A$9:$N$33,K$2,0)),0,VLOOKUP('Project Details by Yr - MASTER'!$B11,'Parking Lots &amp; Playgrounds'!$A$9:$N$33,K$2,0))+IF(ISNA(VLOOKUP($B11,Vehicles!$B$9:$O$50,K$2,0)),0,VLOOKUP($B11,Vehicles!$B$9:$O$50,K$2,0))</f>
        <v>0</v>
      </c>
    </row>
    <row r="12" spans="1:11" x14ac:dyDescent="0.25">
      <c r="A12" s="1">
        <v>17</v>
      </c>
      <c r="B12" t="s">
        <v>149</v>
      </c>
      <c r="C12" t="s">
        <v>101</v>
      </c>
      <c r="D12" t="s">
        <v>272</v>
      </c>
      <c r="E12" s="1" t="s">
        <v>16</v>
      </c>
      <c r="G12" s="8">
        <f>IF(ISNA(VLOOKUP($B12,'Other Capital Needs'!$C$51:$P$95,G$2,0)),0,VLOOKUP($B12,'Other Capital Needs'!$C$51:$P$95,G$2,0))+IF(ISNA(VLOOKUP('Project Details by Yr - MASTER'!$B12,'Public Grounds'!$A$11:$N$49,G$2,0)),0,VLOOKUP('Project Details by Yr - MASTER'!$B12,'Public Grounds'!$A$11:$N$49,G$2,0))+IF(ISNA(VLOOKUP('Project Details by Yr - MASTER'!$B12,'Public Buildings'!$A$10:$N$96,G$2,0)),0,VLOOKUP('Project Details by Yr - MASTER'!$B12,'Public Buildings'!$A$10:$N$96,G$2,0))+IF(ISNA(VLOOKUP('Project Details by Yr - MASTER'!$B12,Bridges!$A$9:$N$24,G$2,0)),0,VLOOKUP('Project Details by Yr - MASTER'!$B12,Bridges!$A$9:$N$24,G$2,0))+IF(ISNA(VLOOKUP('Project Details by Yr - MASTER'!$B12,'Parking Lots &amp; Playgrounds'!$A$9:$N$33,G$2,0)),0,VLOOKUP('Project Details by Yr - MASTER'!$B12,'Parking Lots &amp; Playgrounds'!$A$9:$N$33,G$2,0))+IF(ISNA(VLOOKUP($B12,Vehicles!$B$9:$O$50,G$2,0)),0,VLOOKUP($B12,Vehicles!$B$9:$O$50,G$2,0))</f>
        <v>0</v>
      </c>
      <c r="H12" s="8">
        <f>IF(ISNA(VLOOKUP($B12,'Other Capital Needs'!$C$51:$P$95,H$2,0)),0,VLOOKUP($B12,'Other Capital Needs'!$C$51:$P$95,H$2,0))+IF(ISNA(VLOOKUP('Project Details by Yr - MASTER'!$B12,'Public Grounds'!$A$11:$N$49,H$2,0)),0,VLOOKUP('Project Details by Yr - MASTER'!$B12,'Public Grounds'!$A$11:$N$49,H$2,0))+IF(ISNA(VLOOKUP('Project Details by Yr - MASTER'!$B12,'Public Buildings'!$A$10:$N$96,H$2,0)),0,VLOOKUP('Project Details by Yr - MASTER'!$B12,'Public Buildings'!$A$10:$N$96,H$2,0))+IF(ISNA(VLOOKUP('Project Details by Yr - MASTER'!$B12,Bridges!$A$9:$N$24,H$2,0)),0,VLOOKUP('Project Details by Yr - MASTER'!$B12,Bridges!$A$9:$N$24,H$2,0))+IF(ISNA(VLOOKUP('Project Details by Yr - MASTER'!$B12,'Parking Lots &amp; Playgrounds'!$A$9:$N$33,H$2,0)),0,VLOOKUP('Project Details by Yr - MASTER'!$B12,'Parking Lots &amp; Playgrounds'!$A$9:$N$33,H$2,0))+IF(ISNA(VLOOKUP($B12,Vehicles!$B$9:$O$50,H$2,0)),0,VLOOKUP($B12,Vehicles!$B$9:$O$50,H$2,0))</f>
        <v>0</v>
      </c>
      <c r="I12" s="8">
        <f>IF(ISNA(VLOOKUP($B12,'Other Capital Needs'!$C$51:$P$95,I$2,0)),0,VLOOKUP($B12,'Other Capital Needs'!$C$51:$P$95,I$2,0))+IF(ISNA(VLOOKUP('Project Details by Yr - MASTER'!$B12,'Public Grounds'!$A$11:$N$49,I$2,0)),0,VLOOKUP('Project Details by Yr - MASTER'!$B12,'Public Grounds'!$A$11:$N$49,I$2,0))+IF(ISNA(VLOOKUP('Project Details by Yr - MASTER'!$B12,'Public Buildings'!$A$10:$N$96,I$2,0)),0,VLOOKUP('Project Details by Yr - MASTER'!$B12,'Public Buildings'!$A$10:$N$96,I$2,0))+IF(ISNA(VLOOKUP('Project Details by Yr - MASTER'!$B12,Bridges!$A$9:$N$24,I$2,0)),0,VLOOKUP('Project Details by Yr - MASTER'!$B12,Bridges!$A$9:$N$24,I$2,0))+IF(ISNA(VLOOKUP('Project Details by Yr - MASTER'!$B12,'Parking Lots &amp; Playgrounds'!$A$9:$N$33,I$2,0)),0,VLOOKUP('Project Details by Yr - MASTER'!$B12,'Parking Lots &amp; Playgrounds'!$A$9:$N$33,I$2,0))+IF(ISNA(VLOOKUP($B12,Vehicles!$B$9:$O$50,I$2,0)),0,VLOOKUP($B12,Vehicles!$B$9:$O$50,I$2,0))</f>
        <v>0</v>
      </c>
      <c r="J12" s="8">
        <f>IF(ISNA(VLOOKUP($B12,'Other Capital Needs'!$C$51:$P$95,J$2,0)),0,VLOOKUP($B12,'Other Capital Needs'!$C$51:$P$95,J$2,0))+IF(ISNA(VLOOKUP('Project Details by Yr - MASTER'!$B12,'Public Grounds'!$A$11:$N$49,J$2,0)),0,VLOOKUP('Project Details by Yr - MASTER'!$B12,'Public Grounds'!$A$11:$N$49,J$2,0))+IF(ISNA(VLOOKUP('Project Details by Yr - MASTER'!$B12,'Public Buildings'!$A$10:$N$96,J$2,0)),0,VLOOKUP('Project Details by Yr - MASTER'!$B12,'Public Buildings'!$A$10:$N$96,J$2,0))+IF(ISNA(VLOOKUP('Project Details by Yr - MASTER'!$B12,Bridges!$A$9:$N$24,J$2,0)),0,VLOOKUP('Project Details by Yr - MASTER'!$B12,Bridges!$A$9:$N$24,J$2,0))+IF(ISNA(VLOOKUP('Project Details by Yr - MASTER'!$B12,'Parking Lots &amp; Playgrounds'!$A$9:$N$33,J$2,0)),0,VLOOKUP('Project Details by Yr - MASTER'!$B12,'Parking Lots &amp; Playgrounds'!$A$9:$N$33,J$2,0))+IF(ISNA(VLOOKUP($B12,Vehicles!$B$9:$O$50,J$2,0)),0,VLOOKUP($B12,Vehicles!$B$9:$O$50,J$2,0))</f>
        <v>0</v>
      </c>
      <c r="K12" s="8">
        <f>IF(ISNA(VLOOKUP($B12,'Other Capital Needs'!$C$51:$P$95,K$2,0)),0,VLOOKUP($B12,'Other Capital Needs'!$C$51:$P$95,K$2,0))+IF(ISNA(VLOOKUP('Project Details by Yr - MASTER'!$B12,'Public Grounds'!$A$11:$N$49,K$2,0)),0,VLOOKUP('Project Details by Yr - MASTER'!$B12,'Public Grounds'!$A$11:$N$49,K$2,0))+IF(ISNA(VLOOKUP('Project Details by Yr - MASTER'!$B12,'Public Buildings'!$A$10:$N$96,K$2,0)),0,VLOOKUP('Project Details by Yr - MASTER'!$B12,'Public Buildings'!$A$10:$N$96,K$2,0))+IF(ISNA(VLOOKUP('Project Details by Yr - MASTER'!$B12,Bridges!$A$9:$N$24,K$2,0)),0,VLOOKUP('Project Details by Yr - MASTER'!$B12,Bridges!$A$9:$N$24,K$2,0))+IF(ISNA(VLOOKUP('Project Details by Yr - MASTER'!$B12,'Parking Lots &amp; Playgrounds'!$A$9:$N$33,K$2,0)),0,VLOOKUP('Project Details by Yr - MASTER'!$B12,'Parking Lots &amp; Playgrounds'!$A$9:$N$33,K$2,0))+IF(ISNA(VLOOKUP($B12,Vehicles!$B$9:$O$50,K$2,0)),0,VLOOKUP($B12,Vehicles!$B$9:$O$50,K$2,0))</f>
        <v>0</v>
      </c>
    </row>
    <row r="13" spans="1:11" x14ac:dyDescent="0.25">
      <c r="A13" s="1">
        <v>31</v>
      </c>
      <c r="B13" t="s">
        <v>150</v>
      </c>
      <c r="C13" t="s">
        <v>101</v>
      </c>
      <c r="D13" t="s">
        <v>272</v>
      </c>
      <c r="E13" s="1" t="s">
        <v>37</v>
      </c>
      <c r="G13" s="8">
        <f>IF(ISNA(VLOOKUP($B13,'Other Capital Needs'!$C$51:$P$95,G$2,0)),0,VLOOKUP($B13,'Other Capital Needs'!$C$51:$P$95,G$2,0))+IF(ISNA(VLOOKUP('Project Details by Yr - MASTER'!$B13,'Public Grounds'!$A$11:$N$49,G$2,0)),0,VLOOKUP('Project Details by Yr - MASTER'!$B13,'Public Grounds'!$A$11:$N$49,G$2,0))+IF(ISNA(VLOOKUP('Project Details by Yr - MASTER'!$B13,'Public Buildings'!$A$10:$N$96,G$2,0)),0,VLOOKUP('Project Details by Yr - MASTER'!$B13,'Public Buildings'!$A$10:$N$96,G$2,0))+IF(ISNA(VLOOKUP('Project Details by Yr - MASTER'!$B13,Bridges!$A$9:$N$24,G$2,0)),0,VLOOKUP('Project Details by Yr - MASTER'!$B13,Bridges!$A$9:$N$24,G$2,0))+IF(ISNA(VLOOKUP('Project Details by Yr - MASTER'!$B13,'Parking Lots &amp; Playgrounds'!$A$9:$N$33,G$2,0)),0,VLOOKUP('Project Details by Yr - MASTER'!$B13,'Parking Lots &amp; Playgrounds'!$A$9:$N$33,G$2,0))+IF(ISNA(VLOOKUP($B13,Vehicles!$B$9:$O$50,G$2,0)),0,VLOOKUP($B13,Vehicles!$B$9:$O$50,G$2,0))</f>
        <v>0</v>
      </c>
      <c r="H13" s="8">
        <f>IF(ISNA(VLOOKUP($B13,'Other Capital Needs'!$C$51:$P$95,H$2,0)),0,VLOOKUP($B13,'Other Capital Needs'!$C$51:$P$95,H$2,0))+IF(ISNA(VLOOKUP('Project Details by Yr - MASTER'!$B13,'Public Grounds'!$A$11:$N$49,H$2,0)),0,VLOOKUP('Project Details by Yr - MASTER'!$B13,'Public Grounds'!$A$11:$N$49,H$2,0))+IF(ISNA(VLOOKUP('Project Details by Yr - MASTER'!$B13,'Public Buildings'!$A$10:$N$96,H$2,0)),0,VLOOKUP('Project Details by Yr - MASTER'!$B13,'Public Buildings'!$A$10:$N$96,H$2,0))+IF(ISNA(VLOOKUP('Project Details by Yr - MASTER'!$B13,Bridges!$A$9:$N$24,H$2,0)),0,VLOOKUP('Project Details by Yr - MASTER'!$B13,Bridges!$A$9:$N$24,H$2,0))+IF(ISNA(VLOOKUP('Project Details by Yr - MASTER'!$B13,'Parking Lots &amp; Playgrounds'!$A$9:$N$33,H$2,0)),0,VLOOKUP('Project Details by Yr - MASTER'!$B13,'Parking Lots &amp; Playgrounds'!$A$9:$N$33,H$2,0))+IF(ISNA(VLOOKUP($B13,Vehicles!$B$9:$O$50,H$2,0)),0,VLOOKUP($B13,Vehicles!$B$9:$O$50,H$2,0))</f>
        <v>100000</v>
      </c>
      <c r="I13" s="8">
        <f>IF(ISNA(VLOOKUP($B13,'Other Capital Needs'!$C$51:$P$95,I$2,0)),0,VLOOKUP($B13,'Other Capital Needs'!$C$51:$P$95,I$2,0))+IF(ISNA(VLOOKUP('Project Details by Yr - MASTER'!$B13,'Public Grounds'!$A$11:$N$49,I$2,0)),0,VLOOKUP('Project Details by Yr - MASTER'!$B13,'Public Grounds'!$A$11:$N$49,I$2,0))+IF(ISNA(VLOOKUP('Project Details by Yr - MASTER'!$B13,'Public Buildings'!$A$10:$N$96,I$2,0)),0,VLOOKUP('Project Details by Yr - MASTER'!$B13,'Public Buildings'!$A$10:$N$96,I$2,0))+IF(ISNA(VLOOKUP('Project Details by Yr - MASTER'!$B13,Bridges!$A$9:$N$24,I$2,0)),0,VLOOKUP('Project Details by Yr - MASTER'!$B13,Bridges!$A$9:$N$24,I$2,0))+IF(ISNA(VLOOKUP('Project Details by Yr - MASTER'!$B13,'Parking Lots &amp; Playgrounds'!$A$9:$N$33,I$2,0)),0,VLOOKUP('Project Details by Yr - MASTER'!$B13,'Parking Lots &amp; Playgrounds'!$A$9:$N$33,I$2,0))+IF(ISNA(VLOOKUP($B13,Vehicles!$B$9:$O$50,I$2,0)),0,VLOOKUP($B13,Vehicles!$B$9:$O$50,I$2,0))</f>
        <v>0</v>
      </c>
      <c r="J13" s="8">
        <f>IF(ISNA(VLOOKUP($B13,'Other Capital Needs'!$C$51:$P$95,J$2,0)),0,VLOOKUP($B13,'Other Capital Needs'!$C$51:$P$95,J$2,0))+IF(ISNA(VLOOKUP('Project Details by Yr - MASTER'!$B13,'Public Grounds'!$A$11:$N$49,J$2,0)),0,VLOOKUP('Project Details by Yr - MASTER'!$B13,'Public Grounds'!$A$11:$N$49,J$2,0))+IF(ISNA(VLOOKUP('Project Details by Yr - MASTER'!$B13,'Public Buildings'!$A$10:$N$96,J$2,0)),0,VLOOKUP('Project Details by Yr - MASTER'!$B13,'Public Buildings'!$A$10:$N$96,J$2,0))+IF(ISNA(VLOOKUP('Project Details by Yr - MASTER'!$B13,Bridges!$A$9:$N$24,J$2,0)),0,VLOOKUP('Project Details by Yr - MASTER'!$B13,Bridges!$A$9:$N$24,J$2,0))+IF(ISNA(VLOOKUP('Project Details by Yr - MASTER'!$B13,'Parking Lots &amp; Playgrounds'!$A$9:$N$33,J$2,0)),0,VLOOKUP('Project Details by Yr - MASTER'!$B13,'Parking Lots &amp; Playgrounds'!$A$9:$N$33,J$2,0))+IF(ISNA(VLOOKUP($B13,Vehicles!$B$9:$O$50,J$2,0)),0,VLOOKUP($B13,Vehicles!$B$9:$O$50,J$2,0))</f>
        <v>0</v>
      </c>
      <c r="K13" s="8">
        <f>IF(ISNA(VLOOKUP($B13,'Other Capital Needs'!$C$51:$P$95,K$2,0)),0,VLOOKUP($B13,'Other Capital Needs'!$C$51:$P$95,K$2,0))+IF(ISNA(VLOOKUP('Project Details by Yr - MASTER'!$B13,'Public Grounds'!$A$11:$N$49,K$2,0)),0,VLOOKUP('Project Details by Yr - MASTER'!$B13,'Public Grounds'!$A$11:$N$49,K$2,0))+IF(ISNA(VLOOKUP('Project Details by Yr - MASTER'!$B13,'Public Buildings'!$A$10:$N$96,K$2,0)),0,VLOOKUP('Project Details by Yr - MASTER'!$B13,'Public Buildings'!$A$10:$N$96,K$2,0))+IF(ISNA(VLOOKUP('Project Details by Yr - MASTER'!$B13,Bridges!$A$9:$N$24,K$2,0)),0,VLOOKUP('Project Details by Yr - MASTER'!$B13,Bridges!$A$9:$N$24,K$2,0))+IF(ISNA(VLOOKUP('Project Details by Yr - MASTER'!$B13,'Parking Lots &amp; Playgrounds'!$A$9:$N$33,K$2,0)),0,VLOOKUP('Project Details by Yr - MASTER'!$B13,'Parking Lots &amp; Playgrounds'!$A$9:$N$33,K$2,0))+IF(ISNA(VLOOKUP($B13,Vehicles!$B$9:$O$50,K$2,0)),0,VLOOKUP($B13,Vehicles!$B$9:$O$50,K$2,0))</f>
        <v>0</v>
      </c>
    </row>
    <row r="14" spans="1:11" x14ac:dyDescent="0.25">
      <c r="A14" s="1">
        <v>31</v>
      </c>
      <c r="B14" t="s">
        <v>151</v>
      </c>
      <c r="C14" t="s">
        <v>101</v>
      </c>
      <c r="D14" t="s">
        <v>272</v>
      </c>
      <c r="E14" s="1" t="s">
        <v>16</v>
      </c>
      <c r="G14" s="8">
        <f>IF(ISNA(VLOOKUP($B14,'Other Capital Needs'!$C$51:$P$95,G$2,0)),0,VLOOKUP($B14,'Other Capital Needs'!$C$51:$P$95,G$2,0))+IF(ISNA(VLOOKUP('Project Details by Yr - MASTER'!$B14,'Public Grounds'!$A$11:$N$49,G$2,0)),0,VLOOKUP('Project Details by Yr - MASTER'!$B14,'Public Grounds'!$A$11:$N$49,G$2,0))+IF(ISNA(VLOOKUP('Project Details by Yr - MASTER'!$B14,'Public Buildings'!$A$10:$N$96,G$2,0)),0,VLOOKUP('Project Details by Yr - MASTER'!$B14,'Public Buildings'!$A$10:$N$96,G$2,0))+IF(ISNA(VLOOKUP('Project Details by Yr - MASTER'!$B14,Bridges!$A$9:$N$24,G$2,0)),0,VLOOKUP('Project Details by Yr - MASTER'!$B14,Bridges!$A$9:$N$24,G$2,0))+IF(ISNA(VLOOKUP('Project Details by Yr - MASTER'!$B14,'Parking Lots &amp; Playgrounds'!$A$9:$N$33,G$2,0)),0,VLOOKUP('Project Details by Yr - MASTER'!$B14,'Parking Lots &amp; Playgrounds'!$A$9:$N$33,G$2,0))+IF(ISNA(VLOOKUP($B14,Vehicles!$B$9:$O$50,G$2,0)),0,VLOOKUP($B14,Vehicles!$B$9:$O$50,G$2,0))</f>
        <v>0</v>
      </c>
      <c r="H14" s="8">
        <f>IF(ISNA(VLOOKUP($B14,'Other Capital Needs'!$C$51:$P$95,H$2,0)),0,VLOOKUP($B14,'Other Capital Needs'!$C$51:$P$95,H$2,0))+IF(ISNA(VLOOKUP('Project Details by Yr - MASTER'!$B14,'Public Grounds'!$A$11:$N$49,H$2,0)),0,VLOOKUP('Project Details by Yr - MASTER'!$B14,'Public Grounds'!$A$11:$N$49,H$2,0))+IF(ISNA(VLOOKUP('Project Details by Yr - MASTER'!$B14,'Public Buildings'!$A$10:$N$96,H$2,0)),0,VLOOKUP('Project Details by Yr - MASTER'!$B14,'Public Buildings'!$A$10:$N$96,H$2,0))+IF(ISNA(VLOOKUP('Project Details by Yr - MASTER'!$B14,Bridges!$A$9:$N$24,H$2,0)),0,VLOOKUP('Project Details by Yr - MASTER'!$B14,Bridges!$A$9:$N$24,H$2,0))+IF(ISNA(VLOOKUP('Project Details by Yr - MASTER'!$B14,'Parking Lots &amp; Playgrounds'!$A$9:$N$33,H$2,0)),0,VLOOKUP('Project Details by Yr - MASTER'!$B14,'Parking Lots &amp; Playgrounds'!$A$9:$N$33,H$2,0))+IF(ISNA(VLOOKUP($B14,Vehicles!$B$9:$O$50,H$2,0)),0,VLOOKUP($B14,Vehicles!$B$9:$O$50,H$2,0))</f>
        <v>0</v>
      </c>
      <c r="I14" s="8">
        <f>IF(ISNA(VLOOKUP($B14,'Other Capital Needs'!$C$51:$P$95,I$2,0)),0,VLOOKUP($B14,'Other Capital Needs'!$C$51:$P$95,I$2,0))+IF(ISNA(VLOOKUP('Project Details by Yr - MASTER'!$B14,'Public Grounds'!$A$11:$N$49,I$2,0)),0,VLOOKUP('Project Details by Yr - MASTER'!$B14,'Public Grounds'!$A$11:$N$49,I$2,0))+IF(ISNA(VLOOKUP('Project Details by Yr - MASTER'!$B14,'Public Buildings'!$A$10:$N$96,I$2,0)),0,VLOOKUP('Project Details by Yr - MASTER'!$B14,'Public Buildings'!$A$10:$N$96,I$2,0))+IF(ISNA(VLOOKUP('Project Details by Yr - MASTER'!$B14,Bridges!$A$9:$N$24,I$2,0)),0,VLOOKUP('Project Details by Yr - MASTER'!$B14,Bridges!$A$9:$N$24,I$2,0))+IF(ISNA(VLOOKUP('Project Details by Yr - MASTER'!$B14,'Parking Lots &amp; Playgrounds'!$A$9:$N$33,I$2,0)),0,VLOOKUP('Project Details by Yr - MASTER'!$B14,'Parking Lots &amp; Playgrounds'!$A$9:$N$33,I$2,0))+IF(ISNA(VLOOKUP($B14,Vehicles!$B$9:$O$50,I$2,0)),0,VLOOKUP($B14,Vehicles!$B$9:$O$50,I$2,0))</f>
        <v>0</v>
      </c>
      <c r="J14" s="8">
        <f>IF(ISNA(VLOOKUP($B14,'Other Capital Needs'!$C$51:$P$95,J$2,0)),0,VLOOKUP($B14,'Other Capital Needs'!$C$51:$P$95,J$2,0))+IF(ISNA(VLOOKUP('Project Details by Yr - MASTER'!$B14,'Public Grounds'!$A$11:$N$49,J$2,0)),0,VLOOKUP('Project Details by Yr - MASTER'!$B14,'Public Grounds'!$A$11:$N$49,J$2,0))+IF(ISNA(VLOOKUP('Project Details by Yr - MASTER'!$B14,'Public Buildings'!$A$10:$N$96,J$2,0)),0,VLOOKUP('Project Details by Yr - MASTER'!$B14,'Public Buildings'!$A$10:$N$96,J$2,0))+IF(ISNA(VLOOKUP('Project Details by Yr - MASTER'!$B14,Bridges!$A$9:$N$24,J$2,0)),0,VLOOKUP('Project Details by Yr - MASTER'!$B14,Bridges!$A$9:$N$24,J$2,0))+IF(ISNA(VLOOKUP('Project Details by Yr - MASTER'!$B14,'Parking Lots &amp; Playgrounds'!$A$9:$N$33,J$2,0)),0,VLOOKUP('Project Details by Yr - MASTER'!$B14,'Parking Lots &amp; Playgrounds'!$A$9:$N$33,J$2,0))+IF(ISNA(VLOOKUP($B14,Vehicles!$B$9:$O$50,J$2,0)),0,VLOOKUP($B14,Vehicles!$B$9:$O$50,J$2,0))</f>
        <v>0</v>
      </c>
      <c r="K14" s="8">
        <f>IF(ISNA(VLOOKUP($B14,'Other Capital Needs'!$C$51:$P$95,K$2,0)),0,VLOOKUP($B14,'Other Capital Needs'!$C$51:$P$95,K$2,0))+IF(ISNA(VLOOKUP('Project Details by Yr - MASTER'!$B14,'Public Grounds'!$A$11:$N$49,K$2,0)),0,VLOOKUP('Project Details by Yr - MASTER'!$B14,'Public Grounds'!$A$11:$N$49,K$2,0))+IF(ISNA(VLOOKUP('Project Details by Yr - MASTER'!$B14,'Public Buildings'!$A$10:$N$96,K$2,0)),0,VLOOKUP('Project Details by Yr - MASTER'!$B14,'Public Buildings'!$A$10:$N$96,K$2,0))+IF(ISNA(VLOOKUP('Project Details by Yr - MASTER'!$B14,Bridges!$A$9:$N$24,K$2,0)),0,VLOOKUP('Project Details by Yr - MASTER'!$B14,Bridges!$A$9:$N$24,K$2,0))+IF(ISNA(VLOOKUP('Project Details by Yr - MASTER'!$B14,'Parking Lots &amp; Playgrounds'!$A$9:$N$33,K$2,0)),0,VLOOKUP('Project Details by Yr - MASTER'!$B14,'Parking Lots &amp; Playgrounds'!$A$9:$N$33,K$2,0))+IF(ISNA(VLOOKUP($B14,Vehicles!$B$9:$O$50,K$2,0)),0,VLOOKUP($B14,Vehicles!$B$9:$O$50,K$2,0))</f>
        <v>0</v>
      </c>
    </row>
    <row r="15" spans="1:11" x14ac:dyDescent="0.25">
      <c r="A15" s="1">
        <v>31</v>
      </c>
      <c r="B15" t="s">
        <v>152</v>
      </c>
      <c r="C15" t="s">
        <v>101</v>
      </c>
      <c r="D15" t="s">
        <v>272</v>
      </c>
      <c r="E15" s="1" t="s">
        <v>16</v>
      </c>
      <c r="G15" s="8">
        <f>IF(ISNA(VLOOKUP($B15,'Other Capital Needs'!$C$51:$P$95,G$2,0)),0,VLOOKUP($B15,'Other Capital Needs'!$C$51:$P$95,G$2,0))+IF(ISNA(VLOOKUP('Project Details by Yr - MASTER'!$B15,'Public Grounds'!$A$11:$N$49,G$2,0)),0,VLOOKUP('Project Details by Yr - MASTER'!$B15,'Public Grounds'!$A$11:$N$49,G$2,0))+IF(ISNA(VLOOKUP('Project Details by Yr - MASTER'!$B15,'Public Buildings'!$A$10:$N$96,G$2,0)),0,VLOOKUP('Project Details by Yr - MASTER'!$B15,'Public Buildings'!$A$10:$N$96,G$2,0))+IF(ISNA(VLOOKUP('Project Details by Yr - MASTER'!$B15,Bridges!$A$9:$N$24,G$2,0)),0,VLOOKUP('Project Details by Yr - MASTER'!$B15,Bridges!$A$9:$N$24,G$2,0))+IF(ISNA(VLOOKUP('Project Details by Yr - MASTER'!$B15,'Parking Lots &amp; Playgrounds'!$A$9:$N$33,G$2,0)),0,VLOOKUP('Project Details by Yr - MASTER'!$B15,'Parking Lots &amp; Playgrounds'!$A$9:$N$33,G$2,0))+IF(ISNA(VLOOKUP($B15,Vehicles!$B$9:$O$50,G$2,0)),0,VLOOKUP($B15,Vehicles!$B$9:$O$50,G$2,0))</f>
        <v>0</v>
      </c>
      <c r="H15" s="8">
        <f>IF(ISNA(VLOOKUP($B15,'Other Capital Needs'!$C$51:$P$95,H$2,0)),0,VLOOKUP($B15,'Other Capital Needs'!$C$51:$P$95,H$2,0))+IF(ISNA(VLOOKUP('Project Details by Yr - MASTER'!$B15,'Public Grounds'!$A$11:$N$49,H$2,0)),0,VLOOKUP('Project Details by Yr - MASTER'!$B15,'Public Grounds'!$A$11:$N$49,H$2,0))+IF(ISNA(VLOOKUP('Project Details by Yr - MASTER'!$B15,'Public Buildings'!$A$10:$N$96,H$2,0)),0,VLOOKUP('Project Details by Yr - MASTER'!$B15,'Public Buildings'!$A$10:$N$96,H$2,0))+IF(ISNA(VLOOKUP('Project Details by Yr - MASTER'!$B15,Bridges!$A$9:$N$24,H$2,0)),0,VLOOKUP('Project Details by Yr - MASTER'!$B15,Bridges!$A$9:$N$24,H$2,0))+IF(ISNA(VLOOKUP('Project Details by Yr - MASTER'!$B15,'Parking Lots &amp; Playgrounds'!$A$9:$N$33,H$2,0)),0,VLOOKUP('Project Details by Yr - MASTER'!$B15,'Parking Lots &amp; Playgrounds'!$A$9:$N$33,H$2,0))+IF(ISNA(VLOOKUP($B15,Vehicles!$B$9:$O$50,H$2,0)),0,VLOOKUP($B15,Vehicles!$B$9:$O$50,H$2,0))</f>
        <v>0</v>
      </c>
      <c r="I15" s="8">
        <f>IF(ISNA(VLOOKUP($B15,'Other Capital Needs'!$C$51:$P$95,I$2,0)),0,VLOOKUP($B15,'Other Capital Needs'!$C$51:$P$95,I$2,0))+IF(ISNA(VLOOKUP('Project Details by Yr - MASTER'!$B15,'Public Grounds'!$A$11:$N$49,I$2,0)),0,VLOOKUP('Project Details by Yr - MASTER'!$B15,'Public Grounds'!$A$11:$N$49,I$2,0))+IF(ISNA(VLOOKUP('Project Details by Yr - MASTER'!$B15,'Public Buildings'!$A$10:$N$96,I$2,0)),0,VLOOKUP('Project Details by Yr - MASTER'!$B15,'Public Buildings'!$A$10:$N$96,I$2,0))+IF(ISNA(VLOOKUP('Project Details by Yr - MASTER'!$B15,Bridges!$A$9:$N$24,I$2,0)),0,VLOOKUP('Project Details by Yr - MASTER'!$B15,Bridges!$A$9:$N$24,I$2,0))+IF(ISNA(VLOOKUP('Project Details by Yr - MASTER'!$B15,'Parking Lots &amp; Playgrounds'!$A$9:$N$33,I$2,0)),0,VLOOKUP('Project Details by Yr - MASTER'!$B15,'Parking Lots &amp; Playgrounds'!$A$9:$N$33,I$2,0))+IF(ISNA(VLOOKUP($B15,Vehicles!$B$9:$O$50,I$2,0)),0,VLOOKUP($B15,Vehicles!$B$9:$O$50,I$2,0))</f>
        <v>200000</v>
      </c>
      <c r="J15" s="8">
        <f>IF(ISNA(VLOOKUP($B15,'Other Capital Needs'!$C$51:$P$95,J$2,0)),0,VLOOKUP($B15,'Other Capital Needs'!$C$51:$P$95,J$2,0))+IF(ISNA(VLOOKUP('Project Details by Yr - MASTER'!$B15,'Public Grounds'!$A$11:$N$49,J$2,0)),0,VLOOKUP('Project Details by Yr - MASTER'!$B15,'Public Grounds'!$A$11:$N$49,J$2,0))+IF(ISNA(VLOOKUP('Project Details by Yr - MASTER'!$B15,'Public Buildings'!$A$10:$N$96,J$2,0)),0,VLOOKUP('Project Details by Yr - MASTER'!$B15,'Public Buildings'!$A$10:$N$96,J$2,0))+IF(ISNA(VLOOKUP('Project Details by Yr - MASTER'!$B15,Bridges!$A$9:$N$24,J$2,0)),0,VLOOKUP('Project Details by Yr - MASTER'!$B15,Bridges!$A$9:$N$24,J$2,0))+IF(ISNA(VLOOKUP('Project Details by Yr - MASTER'!$B15,'Parking Lots &amp; Playgrounds'!$A$9:$N$33,J$2,0)),0,VLOOKUP('Project Details by Yr - MASTER'!$B15,'Parking Lots &amp; Playgrounds'!$A$9:$N$33,J$2,0))+IF(ISNA(VLOOKUP($B15,Vehicles!$B$9:$O$50,J$2,0)),0,VLOOKUP($B15,Vehicles!$B$9:$O$50,J$2,0))</f>
        <v>0</v>
      </c>
      <c r="K15" s="8">
        <f>IF(ISNA(VLOOKUP($B15,'Other Capital Needs'!$C$51:$P$95,K$2,0)),0,VLOOKUP($B15,'Other Capital Needs'!$C$51:$P$95,K$2,0))+IF(ISNA(VLOOKUP('Project Details by Yr - MASTER'!$B15,'Public Grounds'!$A$11:$N$49,K$2,0)),0,VLOOKUP('Project Details by Yr - MASTER'!$B15,'Public Grounds'!$A$11:$N$49,K$2,0))+IF(ISNA(VLOOKUP('Project Details by Yr - MASTER'!$B15,'Public Buildings'!$A$10:$N$96,K$2,0)),0,VLOOKUP('Project Details by Yr - MASTER'!$B15,'Public Buildings'!$A$10:$N$96,K$2,0))+IF(ISNA(VLOOKUP('Project Details by Yr - MASTER'!$B15,Bridges!$A$9:$N$24,K$2,0)),0,VLOOKUP('Project Details by Yr - MASTER'!$B15,Bridges!$A$9:$N$24,K$2,0))+IF(ISNA(VLOOKUP('Project Details by Yr - MASTER'!$B15,'Parking Lots &amp; Playgrounds'!$A$9:$N$33,K$2,0)),0,VLOOKUP('Project Details by Yr - MASTER'!$B15,'Parking Lots &amp; Playgrounds'!$A$9:$N$33,K$2,0))+IF(ISNA(VLOOKUP($B15,Vehicles!$B$9:$O$50,K$2,0)),0,VLOOKUP($B15,Vehicles!$B$9:$O$50,K$2,0))</f>
        <v>0</v>
      </c>
    </row>
    <row r="16" spans="1:11" x14ac:dyDescent="0.25">
      <c r="A16" s="1">
        <v>31</v>
      </c>
      <c r="B16" t="s">
        <v>153</v>
      </c>
      <c r="C16" t="s">
        <v>101</v>
      </c>
      <c r="D16" t="s">
        <v>272</v>
      </c>
      <c r="E16" s="1" t="s">
        <v>16</v>
      </c>
      <c r="G16" s="8">
        <f>IF(ISNA(VLOOKUP($B16,'Other Capital Needs'!$C$51:$P$95,G$2,0)),0,VLOOKUP($B16,'Other Capital Needs'!$C$51:$P$95,G$2,0))+IF(ISNA(VLOOKUP('Project Details by Yr - MASTER'!$B16,'Public Grounds'!$A$11:$N$49,G$2,0)),0,VLOOKUP('Project Details by Yr - MASTER'!$B16,'Public Grounds'!$A$11:$N$49,G$2,0))+IF(ISNA(VLOOKUP('Project Details by Yr - MASTER'!$B16,'Public Buildings'!$A$10:$N$96,G$2,0)),0,VLOOKUP('Project Details by Yr - MASTER'!$B16,'Public Buildings'!$A$10:$N$96,G$2,0))+IF(ISNA(VLOOKUP('Project Details by Yr - MASTER'!$B16,Bridges!$A$9:$N$24,G$2,0)),0,VLOOKUP('Project Details by Yr - MASTER'!$B16,Bridges!$A$9:$N$24,G$2,0))+IF(ISNA(VLOOKUP('Project Details by Yr - MASTER'!$B16,'Parking Lots &amp; Playgrounds'!$A$9:$N$33,G$2,0)),0,VLOOKUP('Project Details by Yr - MASTER'!$B16,'Parking Lots &amp; Playgrounds'!$A$9:$N$33,G$2,0))+IF(ISNA(VLOOKUP($B16,Vehicles!$B$9:$O$50,G$2,0)),0,VLOOKUP($B16,Vehicles!$B$9:$O$50,G$2,0))</f>
        <v>0</v>
      </c>
      <c r="H16" s="8">
        <f>IF(ISNA(VLOOKUP($B16,'Other Capital Needs'!$C$51:$P$95,H$2,0)),0,VLOOKUP($B16,'Other Capital Needs'!$C$51:$P$95,H$2,0))+IF(ISNA(VLOOKUP('Project Details by Yr - MASTER'!$B16,'Public Grounds'!$A$11:$N$49,H$2,0)),0,VLOOKUP('Project Details by Yr - MASTER'!$B16,'Public Grounds'!$A$11:$N$49,H$2,0))+IF(ISNA(VLOOKUP('Project Details by Yr - MASTER'!$B16,'Public Buildings'!$A$10:$N$96,H$2,0)),0,VLOOKUP('Project Details by Yr - MASTER'!$B16,'Public Buildings'!$A$10:$N$96,H$2,0))+IF(ISNA(VLOOKUP('Project Details by Yr - MASTER'!$B16,Bridges!$A$9:$N$24,H$2,0)),0,VLOOKUP('Project Details by Yr - MASTER'!$B16,Bridges!$A$9:$N$24,H$2,0))+IF(ISNA(VLOOKUP('Project Details by Yr - MASTER'!$B16,'Parking Lots &amp; Playgrounds'!$A$9:$N$33,H$2,0)),0,VLOOKUP('Project Details by Yr - MASTER'!$B16,'Parking Lots &amp; Playgrounds'!$A$9:$N$33,H$2,0))+IF(ISNA(VLOOKUP($B16,Vehicles!$B$9:$O$50,H$2,0)),0,VLOOKUP($B16,Vehicles!$B$9:$O$50,H$2,0))</f>
        <v>0</v>
      </c>
      <c r="I16" s="8">
        <f>IF(ISNA(VLOOKUP($B16,'Other Capital Needs'!$C$51:$P$95,I$2,0)),0,VLOOKUP($B16,'Other Capital Needs'!$C$51:$P$95,I$2,0))+IF(ISNA(VLOOKUP('Project Details by Yr - MASTER'!$B16,'Public Grounds'!$A$11:$N$49,I$2,0)),0,VLOOKUP('Project Details by Yr - MASTER'!$B16,'Public Grounds'!$A$11:$N$49,I$2,0))+IF(ISNA(VLOOKUP('Project Details by Yr - MASTER'!$B16,'Public Buildings'!$A$10:$N$96,I$2,0)),0,VLOOKUP('Project Details by Yr - MASTER'!$B16,'Public Buildings'!$A$10:$N$96,I$2,0))+IF(ISNA(VLOOKUP('Project Details by Yr - MASTER'!$B16,Bridges!$A$9:$N$24,I$2,0)),0,VLOOKUP('Project Details by Yr - MASTER'!$B16,Bridges!$A$9:$N$24,I$2,0))+IF(ISNA(VLOOKUP('Project Details by Yr - MASTER'!$B16,'Parking Lots &amp; Playgrounds'!$A$9:$N$33,I$2,0)),0,VLOOKUP('Project Details by Yr - MASTER'!$B16,'Parking Lots &amp; Playgrounds'!$A$9:$N$33,I$2,0))+IF(ISNA(VLOOKUP($B16,Vehicles!$B$9:$O$50,I$2,0)),0,VLOOKUP($B16,Vehicles!$B$9:$O$50,I$2,0))</f>
        <v>0</v>
      </c>
      <c r="J16" s="8">
        <f>IF(ISNA(VLOOKUP($B16,'Other Capital Needs'!$C$51:$P$95,J$2,0)),0,VLOOKUP($B16,'Other Capital Needs'!$C$51:$P$95,J$2,0))+IF(ISNA(VLOOKUP('Project Details by Yr - MASTER'!$B16,'Public Grounds'!$A$11:$N$49,J$2,0)),0,VLOOKUP('Project Details by Yr - MASTER'!$B16,'Public Grounds'!$A$11:$N$49,J$2,0))+IF(ISNA(VLOOKUP('Project Details by Yr - MASTER'!$B16,'Public Buildings'!$A$10:$N$96,J$2,0)),0,VLOOKUP('Project Details by Yr - MASTER'!$B16,'Public Buildings'!$A$10:$N$96,J$2,0))+IF(ISNA(VLOOKUP('Project Details by Yr - MASTER'!$B16,Bridges!$A$9:$N$24,J$2,0)),0,VLOOKUP('Project Details by Yr - MASTER'!$B16,Bridges!$A$9:$N$24,J$2,0))+IF(ISNA(VLOOKUP('Project Details by Yr - MASTER'!$B16,'Parking Lots &amp; Playgrounds'!$A$9:$N$33,J$2,0)),0,VLOOKUP('Project Details by Yr - MASTER'!$B16,'Parking Lots &amp; Playgrounds'!$A$9:$N$33,J$2,0))+IF(ISNA(VLOOKUP($B16,Vehicles!$B$9:$O$50,J$2,0)),0,VLOOKUP($B16,Vehicles!$B$9:$O$50,J$2,0))</f>
        <v>0</v>
      </c>
      <c r="K16" s="8">
        <f>IF(ISNA(VLOOKUP($B16,'Other Capital Needs'!$C$51:$P$95,K$2,0)),0,VLOOKUP($B16,'Other Capital Needs'!$C$51:$P$95,K$2,0))+IF(ISNA(VLOOKUP('Project Details by Yr - MASTER'!$B16,'Public Grounds'!$A$11:$N$49,K$2,0)),0,VLOOKUP('Project Details by Yr - MASTER'!$B16,'Public Grounds'!$A$11:$N$49,K$2,0))+IF(ISNA(VLOOKUP('Project Details by Yr - MASTER'!$B16,'Public Buildings'!$A$10:$N$96,K$2,0)),0,VLOOKUP('Project Details by Yr - MASTER'!$B16,'Public Buildings'!$A$10:$N$96,K$2,0))+IF(ISNA(VLOOKUP('Project Details by Yr - MASTER'!$B16,Bridges!$A$9:$N$24,K$2,0)),0,VLOOKUP('Project Details by Yr - MASTER'!$B16,Bridges!$A$9:$N$24,K$2,0))+IF(ISNA(VLOOKUP('Project Details by Yr - MASTER'!$B16,'Parking Lots &amp; Playgrounds'!$A$9:$N$33,K$2,0)),0,VLOOKUP('Project Details by Yr - MASTER'!$B16,'Parking Lots &amp; Playgrounds'!$A$9:$N$33,K$2,0))+IF(ISNA(VLOOKUP($B16,Vehicles!$B$9:$O$50,K$2,0)),0,VLOOKUP($B16,Vehicles!$B$9:$O$50,K$2,0))</f>
        <v>0</v>
      </c>
    </row>
    <row r="17" spans="1:11" x14ac:dyDescent="0.25">
      <c r="A17" s="1">
        <v>31</v>
      </c>
      <c r="B17" t="s">
        <v>154</v>
      </c>
      <c r="C17" t="s">
        <v>101</v>
      </c>
      <c r="D17" t="s">
        <v>272</v>
      </c>
      <c r="E17" s="1" t="s">
        <v>16</v>
      </c>
      <c r="G17" s="8">
        <f>IF(ISNA(VLOOKUP($B17,'Other Capital Needs'!$C$51:$P$95,G$2,0)),0,VLOOKUP($B17,'Other Capital Needs'!$C$51:$P$95,G$2,0))+IF(ISNA(VLOOKUP('Project Details by Yr - MASTER'!$B17,'Public Grounds'!$A$11:$N$49,G$2,0)),0,VLOOKUP('Project Details by Yr - MASTER'!$B17,'Public Grounds'!$A$11:$N$49,G$2,0))+IF(ISNA(VLOOKUP('Project Details by Yr - MASTER'!$B17,'Public Buildings'!$A$10:$N$96,G$2,0)),0,VLOOKUP('Project Details by Yr - MASTER'!$B17,'Public Buildings'!$A$10:$N$96,G$2,0))+IF(ISNA(VLOOKUP('Project Details by Yr - MASTER'!$B17,Bridges!$A$9:$N$24,G$2,0)),0,VLOOKUP('Project Details by Yr - MASTER'!$B17,Bridges!$A$9:$N$24,G$2,0))+IF(ISNA(VLOOKUP('Project Details by Yr - MASTER'!$B17,'Parking Lots &amp; Playgrounds'!$A$9:$N$33,G$2,0)),0,VLOOKUP('Project Details by Yr - MASTER'!$B17,'Parking Lots &amp; Playgrounds'!$A$9:$N$33,G$2,0))+IF(ISNA(VLOOKUP($B17,Vehicles!$B$9:$O$50,G$2,0)),0,VLOOKUP($B17,Vehicles!$B$9:$O$50,G$2,0))</f>
        <v>0</v>
      </c>
      <c r="H17" s="8">
        <f>IF(ISNA(VLOOKUP($B17,'Other Capital Needs'!$C$51:$P$95,H$2,0)),0,VLOOKUP($B17,'Other Capital Needs'!$C$51:$P$95,H$2,0))+IF(ISNA(VLOOKUP('Project Details by Yr - MASTER'!$B17,'Public Grounds'!$A$11:$N$49,H$2,0)),0,VLOOKUP('Project Details by Yr - MASTER'!$B17,'Public Grounds'!$A$11:$N$49,H$2,0))+IF(ISNA(VLOOKUP('Project Details by Yr - MASTER'!$B17,'Public Buildings'!$A$10:$N$96,H$2,0)),0,VLOOKUP('Project Details by Yr - MASTER'!$B17,'Public Buildings'!$A$10:$N$96,H$2,0))+IF(ISNA(VLOOKUP('Project Details by Yr - MASTER'!$B17,Bridges!$A$9:$N$24,H$2,0)),0,VLOOKUP('Project Details by Yr - MASTER'!$B17,Bridges!$A$9:$N$24,H$2,0))+IF(ISNA(VLOOKUP('Project Details by Yr - MASTER'!$B17,'Parking Lots &amp; Playgrounds'!$A$9:$N$33,H$2,0)),0,VLOOKUP('Project Details by Yr - MASTER'!$B17,'Parking Lots &amp; Playgrounds'!$A$9:$N$33,H$2,0))+IF(ISNA(VLOOKUP($B17,Vehicles!$B$9:$O$50,H$2,0)),0,VLOOKUP($B17,Vehicles!$B$9:$O$50,H$2,0))</f>
        <v>50000</v>
      </c>
      <c r="I17" s="8">
        <f>IF(ISNA(VLOOKUP($B17,'Other Capital Needs'!$C$51:$P$95,I$2,0)),0,VLOOKUP($B17,'Other Capital Needs'!$C$51:$P$95,I$2,0))+IF(ISNA(VLOOKUP('Project Details by Yr - MASTER'!$B17,'Public Grounds'!$A$11:$N$49,I$2,0)),0,VLOOKUP('Project Details by Yr - MASTER'!$B17,'Public Grounds'!$A$11:$N$49,I$2,0))+IF(ISNA(VLOOKUP('Project Details by Yr - MASTER'!$B17,'Public Buildings'!$A$10:$N$96,I$2,0)),0,VLOOKUP('Project Details by Yr - MASTER'!$B17,'Public Buildings'!$A$10:$N$96,I$2,0))+IF(ISNA(VLOOKUP('Project Details by Yr - MASTER'!$B17,Bridges!$A$9:$N$24,I$2,0)),0,VLOOKUP('Project Details by Yr - MASTER'!$B17,Bridges!$A$9:$N$24,I$2,0))+IF(ISNA(VLOOKUP('Project Details by Yr - MASTER'!$B17,'Parking Lots &amp; Playgrounds'!$A$9:$N$33,I$2,0)),0,VLOOKUP('Project Details by Yr - MASTER'!$B17,'Parking Lots &amp; Playgrounds'!$A$9:$N$33,I$2,0))+IF(ISNA(VLOOKUP($B17,Vehicles!$B$9:$O$50,I$2,0)),0,VLOOKUP($B17,Vehicles!$B$9:$O$50,I$2,0))</f>
        <v>0</v>
      </c>
      <c r="J17" s="8">
        <f>IF(ISNA(VLOOKUP($B17,'Other Capital Needs'!$C$51:$P$95,J$2,0)),0,VLOOKUP($B17,'Other Capital Needs'!$C$51:$P$95,J$2,0))+IF(ISNA(VLOOKUP('Project Details by Yr - MASTER'!$B17,'Public Grounds'!$A$11:$N$49,J$2,0)),0,VLOOKUP('Project Details by Yr - MASTER'!$B17,'Public Grounds'!$A$11:$N$49,J$2,0))+IF(ISNA(VLOOKUP('Project Details by Yr - MASTER'!$B17,'Public Buildings'!$A$10:$N$96,J$2,0)),0,VLOOKUP('Project Details by Yr - MASTER'!$B17,'Public Buildings'!$A$10:$N$96,J$2,0))+IF(ISNA(VLOOKUP('Project Details by Yr - MASTER'!$B17,Bridges!$A$9:$N$24,J$2,0)),0,VLOOKUP('Project Details by Yr - MASTER'!$B17,Bridges!$A$9:$N$24,J$2,0))+IF(ISNA(VLOOKUP('Project Details by Yr - MASTER'!$B17,'Parking Lots &amp; Playgrounds'!$A$9:$N$33,J$2,0)),0,VLOOKUP('Project Details by Yr - MASTER'!$B17,'Parking Lots &amp; Playgrounds'!$A$9:$N$33,J$2,0))+IF(ISNA(VLOOKUP($B17,Vehicles!$B$9:$O$50,J$2,0)),0,VLOOKUP($B17,Vehicles!$B$9:$O$50,J$2,0))</f>
        <v>0</v>
      </c>
      <c r="K17" s="8">
        <f>IF(ISNA(VLOOKUP($B17,'Other Capital Needs'!$C$51:$P$95,K$2,0)),0,VLOOKUP($B17,'Other Capital Needs'!$C$51:$P$95,K$2,0))+IF(ISNA(VLOOKUP('Project Details by Yr - MASTER'!$B17,'Public Grounds'!$A$11:$N$49,K$2,0)),0,VLOOKUP('Project Details by Yr - MASTER'!$B17,'Public Grounds'!$A$11:$N$49,K$2,0))+IF(ISNA(VLOOKUP('Project Details by Yr - MASTER'!$B17,'Public Buildings'!$A$10:$N$96,K$2,0)),0,VLOOKUP('Project Details by Yr - MASTER'!$B17,'Public Buildings'!$A$10:$N$96,K$2,0))+IF(ISNA(VLOOKUP('Project Details by Yr - MASTER'!$B17,Bridges!$A$9:$N$24,K$2,0)),0,VLOOKUP('Project Details by Yr - MASTER'!$B17,Bridges!$A$9:$N$24,K$2,0))+IF(ISNA(VLOOKUP('Project Details by Yr - MASTER'!$B17,'Parking Lots &amp; Playgrounds'!$A$9:$N$33,K$2,0)),0,VLOOKUP('Project Details by Yr - MASTER'!$B17,'Parking Lots &amp; Playgrounds'!$A$9:$N$33,K$2,0))+IF(ISNA(VLOOKUP($B17,Vehicles!$B$9:$O$50,K$2,0)),0,VLOOKUP($B17,Vehicles!$B$9:$O$50,K$2,0))</f>
        <v>0</v>
      </c>
    </row>
    <row r="18" spans="1:11" x14ac:dyDescent="0.25">
      <c r="A18" s="1">
        <v>31</v>
      </c>
      <c r="B18" t="s">
        <v>155</v>
      </c>
      <c r="C18" t="s">
        <v>101</v>
      </c>
      <c r="D18" t="s">
        <v>272</v>
      </c>
      <c r="E18" s="1" t="s">
        <v>16</v>
      </c>
      <c r="G18" s="8">
        <f>IF(ISNA(VLOOKUP($B18,'Other Capital Needs'!$C$51:$P$95,G$2,0)),0,VLOOKUP($B18,'Other Capital Needs'!$C$51:$P$95,G$2,0))+IF(ISNA(VLOOKUP('Project Details by Yr - MASTER'!$B18,'Public Grounds'!$A$11:$N$49,G$2,0)),0,VLOOKUP('Project Details by Yr - MASTER'!$B18,'Public Grounds'!$A$11:$N$49,G$2,0))+IF(ISNA(VLOOKUP('Project Details by Yr - MASTER'!$B18,'Public Buildings'!$A$10:$N$96,G$2,0)),0,VLOOKUP('Project Details by Yr - MASTER'!$B18,'Public Buildings'!$A$10:$N$96,G$2,0))+IF(ISNA(VLOOKUP('Project Details by Yr - MASTER'!$B18,Bridges!$A$9:$N$24,G$2,0)),0,VLOOKUP('Project Details by Yr - MASTER'!$B18,Bridges!$A$9:$N$24,G$2,0))+IF(ISNA(VLOOKUP('Project Details by Yr - MASTER'!$B18,'Parking Lots &amp; Playgrounds'!$A$9:$N$33,G$2,0)),0,VLOOKUP('Project Details by Yr - MASTER'!$B18,'Parking Lots &amp; Playgrounds'!$A$9:$N$33,G$2,0))+IF(ISNA(VLOOKUP($B18,Vehicles!$B$9:$O$50,G$2,0)),0,VLOOKUP($B18,Vehicles!$B$9:$O$50,G$2,0))</f>
        <v>0</v>
      </c>
      <c r="H18" s="8">
        <f>IF(ISNA(VLOOKUP($B18,'Other Capital Needs'!$C$51:$P$95,H$2,0)),0,VLOOKUP($B18,'Other Capital Needs'!$C$51:$P$95,H$2,0))+IF(ISNA(VLOOKUP('Project Details by Yr - MASTER'!$B18,'Public Grounds'!$A$11:$N$49,H$2,0)),0,VLOOKUP('Project Details by Yr - MASTER'!$B18,'Public Grounds'!$A$11:$N$49,H$2,0))+IF(ISNA(VLOOKUP('Project Details by Yr - MASTER'!$B18,'Public Buildings'!$A$10:$N$96,H$2,0)),0,VLOOKUP('Project Details by Yr - MASTER'!$B18,'Public Buildings'!$A$10:$N$96,H$2,0))+IF(ISNA(VLOOKUP('Project Details by Yr - MASTER'!$B18,Bridges!$A$9:$N$24,H$2,0)),0,VLOOKUP('Project Details by Yr - MASTER'!$B18,Bridges!$A$9:$N$24,H$2,0))+IF(ISNA(VLOOKUP('Project Details by Yr - MASTER'!$B18,'Parking Lots &amp; Playgrounds'!$A$9:$N$33,H$2,0)),0,VLOOKUP('Project Details by Yr - MASTER'!$B18,'Parking Lots &amp; Playgrounds'!$A$9:$N$33,H$2,0))+IF(ISNA(VLOOKUP($B18,Vehicles!$B$9:$O$50,H$2,0)),0,VLOOKUP($B18,Vehicles!$B$9:$O$50,H$2,0))</f>
        <v>0</v>
      </c>
      <c r="I18" s="8">
        <f>IF(ISNA(VLOOKUP($B18,'Other Capital Needs'!$C$51:$P$95,I$2,0)),0,VLOOKUP($B18,'Other Capital Needs'!$C$51:$P$95,I$2,0))+IF(ISNA(VLOOKUP('Project Details by Yr - MASTER'!$B18,'Public Grounds'!$A$11:$N$49,I$2,0)),0,VLOOKUP('Project Details by Yr - MASTER'!$B18,'Public Grounds'!$A$11:$N$49,I$2,0))+IF(ISNA(VLOOKUP('Project Details by Yr - MASTER'!$B18,'Public Buildings'!$A$10:$N$96,I$2,0)),0,VLOOKUP('Project Details by Yr - MASTER'!$B18,'Public Buildings'!$A$10:$N$96,I$2,0))+IF(ISNA(VLOOKUP('Project Details by Yr - MASTER'!$B18,Bridges!$A$9:$N$24,I$2,0)),0,VLOOKUP('Project Details by Yr - MASTER'!$B18,Bridges!$A$9:$N$24,I$2,0))+IF(ISNA(VLOOKUP('Project Details by Yr - MASTER'!$B18,'Parking Lots &amp; Playgrounds'!$A$9:$N$33,I$2,0)),0,VLOOKUP('Project Details by Yr - MASTER'!$B18,'Parking Lots &amp; Playgrounds'!$A$9:$N$33,I$2,0))+IF(ISNA(VLOOKUP($B18,Vehicles!$B$9:$O$50,I$2,0)),0,VLOOKUP($B18,Vehicles!$B$9:$O$50,I$2,0))</f>
        <v>0</v>
      </c>
      <c r="J18" s="8">
        <f>IF(ISNA(VLOOKUP($B18,'Other Capital Needs'!$C$51:$P$95,J$2,0)),0,VLOOKUP($B18,'Other Capital Needs'!$C$51:$P$95,J$2,0))+IF(ISNA(VLOOKUP('Project Details by Yr - MASTER'!$B18,'Public Grounds'!$A$11:$N$49,J$2,0)),0,VLOOKUP('Project Details by Yr - MASTER'!$B18,'Public Grounds'!$A$11:$N$49,J$2,0))+IF(ISNA(VLOOKUP('Project Details by Yr - MASTER'!$B18,'Public Buildings'!$A$10:$N$96,J$2,0)),0,VLOOKUP('Project Details by Yr - MASTER'!$B18,'Public Buildings'!$A$10:$N$96,J$2,0))+IF(ISNA(VLOOKUP('Project Details by Yr - MASTER'!$B18,Bridges!$A$9:$N$24,J$2,0)),0,VLOOKUP('Project Details by Yr - MASTER'!$B18,Bridges!$A$9:$N$24,J$2,0))+IF(ISNA(VLOOKUP('Project Details by Yr - MASTER'!$B18,'Parking Lots &amp; Playgrounds'!$A$9:$N$33,J$2,0)),0,VLOOKUP('Project Details by Yr - MASTER'!$B18,'Parking Lots &amp; Playgrounds'!$A$9:$N$33,J$2,0))+IF(ISNA(VLOOKUP($B18,Vehicles!$B$9:$O$50,J$2,0)),0,VLOOKUP($B18,Vehicles!$B$9:$O$50,J$2,0))</f>
        <v>0</v>
      </c>
      <c r="K18" s="8">
        <f>IF(ISNA(VLOOKUP($B18,'Other Capital Needs'!$C$51:$P$95,K$2,0)),0,VLOOKUP($B18,'Other Capital Needs'!$C$51:$P$95,K$2,0))+IF(ISNA(VLOOKUP('Project Details by Yr - MASTER'!$B18,'Public Grounds'!$A$11:$N$49,K$2,0)),0,VLOOKUP('Project Details by Yr - MASTER'!$B18,'Public Grounds'!$A$11:$N$49,K$2,0))+IF(ISNA(VLOOKUP('Project Details by Yr - MASTER'!$B18,'Public Buildings'!$A$10:$N$96,K$2,0)),0,VLOOKUP('Project Details by Yr - MASTER'!$B18,'Public Buildings'!$A$10:$N$96,K$2,0))+IF(ISNA(VLOOKUP('Project Details by Yr - MASTER'!$B18,Bridges!$A$9:$N$24,K$2,0)),0,VLOOKUP('Project Details by Yr - MASTER'!$B18,Bridges!$A$9:$N$24,K$2,0))+IF(ISNA(VLOOKUP('Project Details by Yr - MASTER'!$B18,'Parking Lots &amp; Playgrounds'!$A$9:$N$33,K$2,0)),0,VLOOKUP('Project Details by Yr - MASTER'!$B18,'Parking Lots &amp; Playgrounds'!$A$9:$N$33,K$2,0))+IF(ISNA(VLOOKUP($B18,Vehicles!$B$9:$O$50,K$2,0)),0,VLOOKUP($B18,Vehicles!$B$9:$O$50,K$2,0))</f>
        <v>0</v>
      </c>
    </row>
    <row r="19" spans="1:11" x14ac:dyDescent="0.25">
      <c r="A19" s="1">
        <v>31</v>
      </c>
      <c r="B19" t="s">
        <v>156</v>
      </c>
      <c r="C19" t="s">
        <v>101</v>
      </c>
      <c r="D19" t="s">
        <v>272</v>
      </c>
      <c r="E19" s="1" t="s">
        <v>16</v>
      </c>
      <c r="G19" s="8">
        <f>IF(ISNA(VLOOKUP($B19,'Other Capital Needs'!$C$51:$P$95,G$2,0)),0,VLOOKUP($B19,'Other Capital Needs'!$C$51:$P$95,G$2,0))+IF(ISNA(VLOOKUP('Project Details by Yr - MASTER'!$B19,'Public Grounds'!$A$11:$N$49,G$2,0)),0,VLOOKUP('Project Details by Yr - MASTER'!$B19,'Public Grounds'!$A$11:$N$49,G$2,0))+IF(ISNA(VLOOKUP('Project Details by Yr - MASTER'!$B19,'Public Buildings'!$A$10:$N$96,G$2,0)),0,VLOOKUP('Project Details by Yr - MASTER'!$B19,'Public Buildings'!$A$10:$N$96,G$2,0))+IF(ISNA(VLOOKUP('Project Details by Yr - MASTER'!$B19,Bridges!$A$9:$N$24,G$2,0)),0,VLOOKUP('Project Details by Yr - MASTER'!$B19,Bridges!$A$9:$N$24,G$2,0))+IF(ISNA(VLOOKUP('Project Details by Yr - MASTER'!$B19,'Parking Lots &amp; Playgrounds'!$A$9:$N$33,G$2,0)),0,VLOOKUP('Project Details by Yr - MASTER'!$B19,'Parking Lots &amp; Playgrounds'!$A$9:$N$33,G$2,0))+IF(ISNA(VLOOKUP($B19,Vehicles!$B$9:$O$50,G$2,0)),0,VLOOKUP($B19,Vehicles!$B$9:$O$50,G$2,0))</f>
        <v>0</v>
      </c>
      <c r="H19" s="8">
        <f>IF(ISNA(VLOOKUP($B19,'Other Capital Needs'!$C$51:$P$95,H$2,0)),0,VLOOKUP($B19,'Other Capital Needs'!$C$51:$P$95,H$2,0))+IF(ISNA(VLOOKUP('Project Details by Yr - MASTER'!$B19,'Public Grounds'!$A$11:$N$49,H$2,0)),0,VLOOKUP('Project Details by Yr - MASTER'!$B19,'Public Grounds'!$A$11:$N$49,H$2,0))+IF(ISNA(VLOOKUP('Project Details by Yr - MASTER'!$B19,'Public Buildings'!$A$10:$N$96,H$2,0)),0,VLOOKUP('Project Details by Yr - MASTER'!$B19,'Public Buildings'!$A$10:$N$96,H$2,0))+IF(ISNA(VLOOKUP('Project Details by Yr - MASTER'!$B19,Bridges!$A$9:$N$24,H$2,0)),0,VLOOKUP('Project Details by Yr - MASTER'!$B19,Bridges!$A$9:$N$24,H$2,0))+IF(ISNA(VLOOKUP('Project Details by Yr - MASTER'!$B19,'Parking Lots &amp; Playgrounds'!$A$9:$N$33,H$2,0)),0,VLOOKUP('Project Details by Yr - MASTER'!$B19,'Parking Lots &amp; Playgrounds'!$A$9:$N$33,H$2,0))+IF(ISNA(VLOOKUP($B19,Vehicles!$B$9:$O$50,H$2,0)),0,VLOOKUP($B19,Vehicles!$B$9:$O$50,H$2,0))</f>
        <v>0</v>
      </c>
      <c r="I19" s="8">
        <f>IF(ISNA(VLOOKUP($B19,'Other Capital Needs'!$C$51:$P$95,I$2,0)),0,VLOOKUP($B19,'Other Capital Needs'!$C$51:$P$95,I$2,0))+IF(ISNA(VLOOKUP('Project Details by Yr - MASTER'!$B19,'Public Grounds'!$A$11:$N$49,I$2,0)),0,VLOOKUP('Project Details by Yr - MASTER'!$B19,'Public Grounds'!$A$11:$N$49,I$2,0))+IF(ISNA(VLOOKUP('Project Details by Yr - MASTER'!$B19,'Public Buildings'!$A$10:$N$96,I$2,0)),0,VLOOKUP('Project Details by Yr - MASTER'!$B19,'Public Buildings'!$A$10:$N$96,I$2,0))+IF(ISNA(VLOOKUP('Project Details by Yr - MASTER'!$B19,Bridges!$A$9:$N$24,I$2,0)),0,VLOOKUP('Project Details by Yr - MASTER'!$B19,Bridges!$A$9:$N$24,I$2,0))+IF(ISNA(VLOOKUP('Project Details by Yr - MASTER'!$B19,'Parking Lots &amp; Playgrounds'!$A$9:$N$33,I$2,0)),0,VLOOKUP('Project Details by Yr - MASTER'!$B19,'Parking Lots &amp; Playgrounds'!$A$9:$N$33,I$2,0))+IF(ISNA(VLOOKUP($B19,Vehicles!$B$9:$O$50,I$2,0)),0,VLOOKUP($B19,Vehicles!$B$9:$O$50,I$2,0))</f>
        <v>0</v>
      </c>
      <c r="J19" s="8">
        <f>IF(ISNA(VLOOKUP($B19,'Other Capital Needs'!$C$51:$P$95,J$2,0)),0,VLOOKUP($B19,'Other Capital Needs'!$C$51:$P$95,J$2,0))+IF(ISNA(VLOOKUP('Project Details by Yr - MASTER'!$B19,'Public Grounds'!$A$11:$N$49,J$2,0)),0,VLOOKUP('Project Details by Yr - MASTER'!$B19,'Public Grounds'!$A$11:$N$49,J$2,0))+IF(ISNA(VLOOKUP('Project Details by Yr - MASTER'!$B19,'Public Buildings'!$A$10:$N$96,J$2,0)),0,VLOOKUP('Project Details by Yr - MASTER'!$B19,'Public Buildings'!$A$10:$N$96,J$2,0))+IF(ISNA(VLOOKUP('Project Details by Yr - MASTER'!$B19,Bridges!$A$9:$N$24,J$2,0)),0,VLOOKUP('Project Details by Yr - MASTER'!$B19,Bridges!$A$9:$N$24,J$2,0))+IF(ISNA(VLOOKUP('Project Details by Yr - MASTER'!$B19,'Parking Lots &amp; Playgrounds'!$A$9:$N$33,J$2,0)),0,VLOOKUP('Project Details by Yr - MASTER'!$B19,'Parking Lots &amp; Playgrounds'!$A$9:$N$33,J$2,0))+IF(ISNA(VLOOKUP($B19,Vehicles!$B$9:$O$50,J$2,0)),0,VLOOKUP($B19,Vehicles!$B$9:$O$50,J$2,0))</f>
        <v>0</v>
      </c>
      <c r="K19" s="8">
        <f>IF(ISNA(VLOOKUP($B19,'Other Capital Needs'!$C$51:$P$95,K$2,0)),0,VLOOKUP($B19,'Other Capital Needs'!$C$51:$P$95,K$2,0))+IF(ISNA(VLOOKUP('Project Details by Yr - MASTER'!$B19,'Public Grounds'!$A$11:$N$49,K$2,0)),0,VLOOKUP('Project Details by Yr - MASTER'!$B19,'Public Grounds'!$A$11:$N$49,K$2,0))+IF(ISNA(VLOOKUP('Project Details by Yr - MASTER'!$B19,'Public Buildings'!$A$10:$N$96,K$2,0)),0,VLOOKUP('Project Details by Yr - MASTER'!$B19,'Public Buildings'!$A$10:$N$96,K$2,0))+IF(ISNA(VLOOKUP('Project Details by Yr - MASTER'!$B19,Bridges!$A$9:$N$24,K$2,0)),0,VLOOKUP('Project Details by Yr - MASTER'!$B19,Bridges!$A$9:$N$24,K$2,0))+IF(ISNA(VLOOKUP('Project Details by Yr - MASTER'!$B19,'Parking Lots &amp; Playgrounds'!$A$9:$N$33,K$2,0)),0,VLOOKUP('Project Details by Yr - MASTER'!$B19,'Parking Lots &amp; Playgrounds'!$A$9:$N$33,K$2,0))+IF(ISNA(VLOOKUP($B19,Vehicles!$B$9:$O$50,K$2,0)),0,VLOOKUP($B19,Vehicles!$B$9:$O$50,K$2,0))</f>
        <v>0</v>
      </c>
    </row>
    <row r="20" spans="1:11" x14ac:dyDescent="0.25">
      <c r="A20" s="1">
        <v>31</v>
      </c>
      <c r="B20" t="s">
        <v>102</v>
      </c>
      <c r="C20" t="s">
        <v>101</v>
      </c>
      <c r="D20" t="s">
        <v>272</v>
      </c>
      <c r="E20" s="1" t="s">
        <v>19</v>
      </c>
      <c r="G20" s="8">
        <f>IF(ISNA(VLOOKUP($B20,'Other Capital Needs'!$C$51:$P$95,G$2,0)),0,VLOOKUP($B20,'Other Capital Needs'!$C$51:$P$95,G$2,0))+IF(ISNA(VLOOKUP('Project Details by Yr - MASTER'!$B20,'Public Grounds'!$A$11:$N$49,G$2,0)),0,VLOOKUP('Project Details by Yr - MASTER'!$B20,'Public Grounds'!$A$11:$N$49,G$2,0))+IF(ISNA(VLOOKUP('Project Details by Yr - MASTER'!$B20,'Public Buildings'!$A$10:$N$96,G$2,0)),0,VLOOKUP('Project Details by Yr - MASTER'!$B20,'Public Buildings'!$A$10:$N$96,G$2,0))+IF(ISNA(VLOOKUP('Project Details by Yr - MASTER'!$B20,Bridges!$A$9:$N$24,G$2,0)),0,VLOOKUP('Project Details by Yr - MASTER'!$B20,Bridges!$A$9:$N$24,G$2,0))+IF(ISNA(VLOOKUP('Project Details by Yr - MASTER'!$B20,'Parking Lots &amp; Playgrounds'!$A$9:$N$33,G$2,0)),0,VLOOKUP('Project Details by Yr - MASTER'!$B20,'Parking Lots &amp; Playgrounds'!$A$9:$N$33,G$2,0))+IF(ISNA(VLOOKUP($B20,Vehicles!$B$9:$O$50,G$2,0)),0,VLOOKUP($B20,Vehicles!$B$9:$O$50,G$2,0))</f>
        <v>0</v>
      </c>
      <c r="H20" s="8">
        <f>IF(ISNA(VLOOKUP($B20,'Other Capital Needs'!$C$51:$P$95,H$2,0)),0,VLOOKUP($B20,'Other Capital Needs'!$C$51:$P$95,H$2,0))+IF(ISNA(VLOOKUP('Project Details by Yr - MASTER'!$B20,'Public Grounds'!$A$11:$N$49,H$2,0)),0,VLOOKUP('Project Details by Yr - MASTER'!$B20,'Public Grounds'!$A$11:$N$49,H$2,0))+IF(ISNA(VLOOKUP('Project Details by Yr - MASTER'!$B20,'Public Buildings'!$A$10:$N$96,H$2,0)),0,VLOOKUP('Project Details by Yr - MASTER'!$B20,'Public Buildings'!$A$10:$N$96,H$2,0))+IF(ISNA(VLOOKUP('Project Details by Yr - MASTER'!$B20,Bridges!$A$9:$N$24,H$2,0)),0,VLOOKUP('Project Details by Yr - MASTER'!$B20,Bridges!$A$9:$N$24,H$2,0))+IF(ISNA(VLOOKUP('Project Details by Yr - MASTER'!$B20,'Parking Lots &amp; Playgrounds'!$A$9:$N$33,H$2,0)),0,VLOOKUP('Project Details by Yr - MASTER'!$B20,'Parking Lots &amp; Playgrounds'!$A$9:$N$33,H$2,0))+IF(ISNA(VLOOKUP($B20,Vehicles!$B$9:$O$50,H$2,0)),0,VLOOKUP($B20,Vehicles!$B$9:$O$50,H$2,0))</f>
        <v>0</v>
      </c>
      <c r="I20" s="8">
        <f>IF(ISNA(VLOOKUP($B20,'Other Capital Needs'!$C$51:$P$95,I$2,0)),0,VLOOKUP($B20,'Other Capital Needs'!$C$51:$P$95,I$2,0))+IF(ISNA(VLOOKUP('Project Details by Yr - MASTER'!$B20,'Public Grounds'!$A$11:$N$49,I$2,0)),0,VLOOKUP('Project Details by Yr - MASTER'!$B20,'Public Grounds'!$A$11:$N$49,I$2,0))+IF(ISNA(VLOOKUP('Project Details by Yr - MASTER'!$B20,'Public Buildings'!$A$10:$N$96,I$2,0)),0,VLOOKUP('Project Details by Yr - MASTER'!$B20,'Public Buildings'!$A$10:$N$96,I$2,0))+IF(ISNA(VLOOKUP('Project Details by Yr - MASTER'!$B20,Bridges!$A$9:$N$24,I$2,0)),0,VLOOKUP('Project Details by Yr - MASTER'!$B20,Bridges!$A$9:$N$24,I$2,0))+IF(ISNA(VLOOKUP('Project Details by Yr - MASTER'!$B20,'Parking Lots &amp; Playgrounds'!$A$9:$N$33,I$2,0)),0,VLOOKUP('Project Details by Yr - MASTER'!$B20,'Parking Lots &amp; Playgrounds'!$A$9:$N$33,I$2,0))+IF(ISNA(VLOOKUP($B20,Vehicles!$B$9:$O$50,I$2,0)),0,VLOOKUP($B20,Vehicles!$B$9:$O$50,I$2,0))</f>
        <v>0</v>
      </c>
      <c r="J20" s="8">
        <f>IF(ISNA(VLOOKUP($B20,'Other Capital Needs'!$C$51:$P$95,J$2,0)),0,VLOOKUP($B20,'Other Capital Needs'!$C$51:$P$95,J$2,0))+IF(ISNA(VLOOKUP('Project Details by Yr - MASTER'!$B20,'Public Grounds'!$A$11:$N$49,J$2,0)),0,VLOOKUP('Project Details by Yr - MASTER'!$B20,'Public Grounds'!$A$11:$N$49,J$2,0))+IF(ISNA(VLOOKUP('Project Details by Yr - MASTER'!$B20,'Public Buildings'!$A$10:$N$96,J$2,0)),0,VLOOKUP('Project Details by Yr - MASTER'!$B20,'Public Buildings'!$A$10:$N$96,J$2,0))+IF(ISNA(VLOOKUP('Project Details by Yr - MASTER'!$B20,Bridges!$A$9:$N$24,J$2,0)),0,VLOOKUP('Project Details by Yr - MASTER'!$B20,Bridges!$A$9:$N$24,J$2,0))+IF(ISNA(VLOOKUP('Project Details by Yr - MASTER'!$B20,'Parking Lots &amp; Playgrounds'!$A$9:$N$33,J$2,0)),0,VLOOKUP('Project Details by Yr - MASTER'!$B20,'Parking Lots &amp; Playgrounds'!$A$9:$N$33,J$2,0))+IF(ISNA(VLOOKUP($B20,Vehicles!$B$9:$O$50,J$2,0)),0,VLOOKUP($B20,Vehicles!$B$9:$O$50,J$2,0))</f>
        <v>0</v>
      </c>
      <c r="K20" s="8">
        <f>IF(ISNA(VLOOKUP($B20,'Other Capital Needs'!$C$51:$P$95,K$2,0)),0,VLOOKUP($B20,'Other Capital Needs'!$C$51:$P$95,K$2,0))+IF(ISNA(VLOOKUP('Project Details by Yr - MASTER'!$B20,'Public Grounds'!$A$11:$N$49,K$2,0)),0,VLOOKUP('Project Details by Yr - MASTER'!$B20,'Public Grounds'!$A$11:$N$49,K$2,0))+IF(ISNA(VLOOKUP('Project Details by Yr - MASTER'!$B20,'Public Buildings'!$A$10:$N$96,K$2,0)),0,VLOOKUP('Project Details by Yr - MASTER'!$B20,'Public Buildings'!$A$10:$N$96,K$2,0))+IF(ISNA(VLOOKUP('Project Details by Yr - MASTER'!$B20,Bridges!$A$9:$N$24,K$2,0)),0,VLOOKUP('Project Details by Yr - MASTER'!$B20,Bridges!$A$9:$N$24,K$2,0))+IF(ISNA(VLOOKUP('Project Details by Yr - MASTER'!$B20,'Parking Lots &amp; Playgrounds'!$A$9:$N$33,K$2,0)),0,VLOOKUP('Project Details by Yr - MASTER'!$B20,'Parking Lots &amp; Playgrounds'!$A$9:$N$33,K$2,0))+IF(ISNA(VLOOKUP($B20,Vehicles!$B$9:$O$50,K$2,0)),0,VLOOKUP($B20,Vehicles!$B$9:$O$50,K$2,0))</f>
        <v>0</v>
      </c>
    </row>
    <row r="21" spans="1:11" x14ac:dyDescent="0.25">
      <c r="A21" s="1">
        <v>32</v>
      </c>
      <c r="B21" t="s">
        <v>103</v>
      </c>
      <c r="C21" t="s">
        <v>101</v>
      </c>
      <c r="D21" t="s">
        <v>272</v>
      </c>
      <c r="E21" s="1" t="s">
        <v>19</v>
      </c>
      <c r="G21" s="8">
        <f>IF(ISNA(VLOOKUP($B21,'Other Capital Needs'!$C$51:$P$95,G$2,0)),0,VLOOKUP($B21,'Other Capital Needs'!$C$51:$P$95,G$2,0))+IF(ISNA(VLOOKUP('Project Details by Yr - MASTER'!$B21,'Public Grounds'!$A$11:$N$49,G$2,0)),0,VLOOKUP('Project Details by Yr - MASTER'!$B21,'Public Grounds'!$A$11:$N$49,G$2,0))+IF(ISNA(VLOOKUP('Project Details by Yr - MASTER'!$B21,'Public Buildings'!$A$10:$N$96,G$2,0)),0,VLOOKUP('Project Details by Yr - MASTER'!$B21,'Public Buildings'!$A$10:$N$96,G$2,0))+IF(ISNA(VLOOKUP('Project Details by Yr - MASTER'!$B21,Bridges!$A$9:$N$24,G$2,0)),0,VLOOKUP('Project Details by Yr - MASTER'!$B21,Bridges!$A$9:$N$24,G$2,0))+IF(ISNA(VLOOKUP('Project Details by Yr - MASTER'!$B21,'Parking Lots &amp; Playgrounds'!$A$9:$N$33,G$2,0)),0,VLOOKUP('Project Details by Yr - MASTER'!$B21,'Parking Lots &amp; Playgrounds'!$A$9:$N$33,G$2,0))+IF(ISNA(VLOOKUP($B21,Vehicles!$B$9:$O$50,G$2,0)),0,VLOOKUP($B21,Vehicles!$B$9:$O$50,G$2,0))</f>
        <v>0</v>
      </c>
      <c r="H21" s="8">
        <f>IF(ISNA(VLOOKUP($B21,'Other Capital Needs'!$C$51:$P$95,H$2,0)),0,VLOOKUP($B21,'Other Capital Needs'!$C$51:$P$95,H$2,0))+IF(ISNA(VLOOKUP('Project Details by Yr - MASTER'!$B21,'Public Grounds'!$A$11:$N$49,H$2,0)),0,VLOOKUP('Project Details by Yr - MASTER'!$B21,'Public Grounds'!$A$11:$N$49,H$2,0))+IF(ISNA(VLOOKUP('Project Details by Yr - MASTER'!$B21,'Public Buildings'!$A$10:$N$96,H$2,0)),0,VLOOKUP('Project Details by Yr - MASTER'!$B21,'Public Buildings'!$A$10:$N$96,H$2,0))+IF(ISNA(VLOOKUP('Project Details by Yr - MASTER'!$B21,Bridges!$A$9:$N$24,H$2,0)),0,VLOOKUP('Project Details by Yr - MASTER'!$B21,Bridges!$A$9:$N$24,H$2,0))+IF(ISNA(VLOOKUP('Project Details by Yr - MASTER'!$B21,'Parking Lots &amp; Playgrounds'!$A$9:$N$33,H$2,0)),0,VLOOKUP('Project Details by Yr - MASTER'!$B21,'Parking Lots &amp; Playgrounds'!$A$9:$N$33,H$2,0))+IF(ISNA(VLOOKUP($B21,Vehicles!$B$9:$O$50,H$2,0)),0,VLOOKUP($B21,Vehicles!$B$9:$O$50,H$2,0))</f>
        <v>0</v>
      </c>
      <c r="I21" s="8">
        <f>IF(ISNA(VLOOKUP($B21,'Other Capital Needs'!$C$51:$P$95,I$2,0)),0,VLOOKUP($B21,'Other Capital Needs'!$C$51:$P$95,I$2,0))+IF(ISNA(VLOOKUP('Project Details by Yr - MASTER'!$B21,'Public Grounds'!$A$11:$N$49,I$2,0)),0,VLOOKUP('Project Details by Yr - MASTER'!$B21,'Public Grounds'!$A$11:$N$49,I$2,0))+IF(ISNA(VLOOKUP('Project Details by Yr - MASTER'!$B21,'Public Buildings'!$A$10:$N$96,I$2,0)),0,VLOOKUP('Project Details by Yr - MASTER'!$B21,'Public Buildings'!$A$10:$N$96,I$2,0))+IF(ISNA(VLOOKUP('Project Details by Yr - MASTER'!$B21,Bridges!$A$9:$N$24,I$2,0)),0,VLOOKUP('Project Details by Yr - MASTER'!$B21,Bridges!$A$9:$N$24,I$2,0))+IF(ISNA(VLOOKUP('Project Details by Yr - MASTER'!$B21,'Parking Lots &amp; Playgrounds'!$A$9:$N$33,I$2,0)),0,VLOOKUP('Project Details by Yr - MASTER'!$B21,'Parking Lots &amp; Playgrounds'!$A$9:$N$33,I$2,0))+IF(ISNA(VLOOKUP($B21,Vehicles!$B$9:$O$50,I$2,0)),0,VLOOKUP($B21,Vehicles!$B$9:$O$50,I$2,0))</f>
        <v>0</v>
      </c>
      <c r="J21" s="8">
        <f>IF(ISNA(VLOOKUP($B21,'Other Capital Needs'!$C$51:$P$95,J$2,0)),0,VLOOKUP($B21,'Other Capital Needs'!$C$51:$P$95,J$2,0))+IF(ISNA(VLOOKUP('Project Details by Yr - MASTER'!$B21,'Public Grounds'!$A$11:$N$49,J$2,0)),0,VLOOKUP('Project Details by Yr - MASTER'!$B21,'Public Grounds'!$A$11:$N$49,J$2,0))+IF(ISNA(VLOOKUP('Project Details by Yr - MASTER'!$B21,'Public Buildings'!$A$10:$N$96,J$2,0)),0,VLOOKUP('Project Details by Yr - MASTER'!$B21,'Public Buildings'!$A$10:$N$96,J$2,0))+IF(ISNA(VLOOKUP('Project Details by Yr - MASTER'!$B21,Bridges!$A$9:$N$24,J$2,0)),0,VLOOKUP('Project Details by Yr - MASTER'!$B21,Bridges!$A$9:$N$24,J$2,0))+IF(ISNA(VLOOKUP('Project Details by Yr - MASTER'!$B21,'Parking Lots &amp; Playgrounds'!$A$9:$N$33,J$2,0)),0,VLOOKUP('Project Details by Yr - MASTER'!$B21,'Parking Lots &amp; Playgrounds'!$A$9:$N$33,J$2,0))+IF(ISNA(VLOOKUP($B21,Vehicles!$B$9:$O$50,J$2,0)),0,VLOOKUP($B21,Vehicles!$B$9:$O$50,J$2,0))</f>
        <v>0</v>
      </c>
      <c r="K21" s="8">
        <f>IF(ISNA(VLOOKUP($B21,'Other Capital Needs'!$C$51:$P$95,K$2,0)),0,VLOOKUP($B21,'Other Capital Needs'!$C$51:$P$95,K$2,0))+IF(ISNA(VLOOKUP('Project Details by Yr - MASTER'!$B21,'Public Grounds'!$A$11:$N$49,K$2,0)),0,VLOOKUP('Project Details by Yr - MASTER'!$B21,'Public Grounds'!$A$11:$N$49,K$2,0))+IF(ISNA(VLOOKUP('Project Details by Yr - MASTER'!$B21,'Public Buildings'!$A$10:$N$96,K$2,0)),0,VLOOKUP('Project Details by Yr - MASTER'!$B21,'Public Buildings'!$A$10:$N$96,K$2,0))+IF(ISNA(VLOOKUP('Project Details by Yr - MASTER'!$B21,Bridges!$A$9:$N$24,K$2,0)),0,VLOOKUP('Project Details by Yr - MASTER'!$B21,Bridges!$A$9:$N$24,K$2,0))+IF(ISNA(VLOOKUP('Project Details by Yr - MASTER'!$B21,'Parking Lots &amp; Playgrounds'!$A$9:$N$33,K$2,0)),0,VLOOKUP('Project Details by Yr - MASTER'!$B21,'Parking Lots &amp; Playgrounds'!$A$9:$N$33,K$2,0))+IF(ISNA(VLOOKUP($B21,Vehicles!$B$9:$O$50,K$2,0)),0,VLOOKUP($B21,Vehicles!$B$9:$O$50,K$2,0))</f>
        <v>0</v>
      </c>
    </row>
    <row r="22" spans="1:11" x14ac:dyDescent="0.25">
      <c r="A22" s="1">
        <v>32</v>
      </c>
      <c r="B22" t="s">
        <v>157</v>
      </c>
      <c r="C22" t="s">
        <v>101</v>
      </c>
      <c r="D22" t="s">
        <v>272</v>
      </c>
      <c r="E22" s="1" t="s">
        <v>16</v>
      </c>
      <c r="G22" s="8">
        <f>IF(ISNA(VLOOKUP($B22,'Other Capital Needs'!$C$51:$P$95,G$2,0)),0,VLOOKUP($B22,'Other Capital Needs'!$C$51:$P$95,G$2,0))+IF(ISNA(VLOOKUP('Project Details by Yr - MASTER'!$B22,'Public Grounds'!$A$11:$N$49,G$2,0)),0,VLOOKUP('Project Details by Yr - MASTER'!$B22,'Public Grounds'!$A$11:$N$49,G$2,0))+IF(ISNA(VLOOKUP('Project Details by Yr - MASTER'!$B22,'Public Buildings'!$A$10:$N$96,G$2,0)),0,VLOOKUP('Project Details by Yr - MASTER'!$B22,'Public Buildings'!$A$10:$N$96,G$2,0))+IF(ISNA(VLOOKUP('Project Details by Yr - MASTER'!$B22,Bridges!$A$9:$N$24,G$2,0)),0,VLOOKUP('Project Details by Yr - MASTER'!$B22,Bridges!$A$9:$N$24,G$2,0))+IF(ISNA(VLOOKUP('Project Details by Yr - MASTER'!$B22,'Parking Lots &amp; Playgrounds'!$A$9:$N$33,G$2,0)),0,VLOOKUP('Project Details by Yr - MASTER'!$B22,'Parking Lots &amp; Playgrounds'!$A$9:$N$33,G$2,0))+IF(ISNA(VLOOKUP($B22,Vehicles!$B$9:$O$50,G$2,0)),0,VLOOKUP($B22,Vehicles!$B$9:$O$50,G$2,0))</f>
        <v>0</v>
      </c>
      <c r="H22" s="8">
        <f>IF(ISNA(VLOOKUP($B22,'Other Capital Needs'!$C$51:$P$95,H$2,0)),0,VLOOKUP($B22,'Other Capital Needs'!$C$51:$P$95,H$2,0))+IF(ISNA(VLOOKUP('Project Details by Yr - MASTER'!$B22,'Public Grounds'!$A$11:$N$49,H$2,0)),0,VLOOKUP('Project Details by Yr - MASTER'!$B22,'Public Grounds'!$A$11:$N$49,H$2,0))+IF(ISNA(VLOOKUP('Project Details by Yr - MASTER'!$B22,'Public Buildings'!$A$10:$N$96,H$2,0)),0,VLOOKUP('Project Details by Yr - MASTER'!$B22,'Public Buildings'!$A$10:$N$96,H$2,0))+IF(ISNA(VLOOKUP('Project Details by Yr - MASTER'!$B22,Bridges!$A$9:$N$24,H$2,0)),0,VLOOKUP('Project Details by Yr - MASTER'!$B22,Bridges!$A$9:$N$24,H$2,0))+IF(ISNA(VLOOKUP('Project Details by Yr - MASTER'!$B22,'Parking Lots &amp; Playgrounds'!$A$9:$N$33,H$2,0)),0,VLOOKUP('Project Details by Yr - MASTER'!$B22,'Parking Lots &amp; Playgrounds'!$A$9:$N$33,H$2,0))+IF(ISNA(VLOOKUP($B22,Vehicles!$B$9:$O$50,H$2,0)),0,VLOOKUP($B22,Vehicles!$B$9:$O$50,H$2,0))</f>
        <v>0</v>
      </c>
      <c r="I22" s="8">
        <f>IF(ISNA(VLOOKUP($B22,'Other Capital Needs'!$C$51:$P$95,I$2,0)),0,VLOOKUP($B22,'Other Capital Needs'!$C$51:$P$95,I$2,0))+IF(ISNA(VLOOKUP('Project Details by Yr - MASTER'!$B22,'Public Grounds'!$A$11:$N$49,I$2,0)),0,VLOOKUP('Project Details by Yr - MASTER'!$B22,'Public Grounds'!$A$11:$N$49,I$2,0))+IF(ISNA(VLOOKUP('Project Details by Yr - MASTER'!$B22,'Public Buildings'!$A$10:$N$96,I$2,0)),0,VLOOKUP('Project Details by Yr - MASTER'!$B22,'Public Buildings'!$A$10:$N$96,I$2,0))+IF(ISNA(VLOOKUP('Project Details by Yr - MASTER'!$B22,Bridges!$A$9:$N$24,I$2,0)),0,VLOOKUP('Project Details by Yr - MASTER'!$B22,Bridges!$A$9:$N$24,I$2,0))+IF(ISNA(VLOOKUP('Project Details by Yr - MASTER'!$B22,'Parking Lots &amp; Playgrounds'!$A$9:$N$33,I$2,0)),0,VLOOKUP('Project Details by Yr - MASTER'!$B22,'Parking Lots &amp; Playgrounds'!$A$9:$N$33,I$2,0))+IF(ISNA(VLOOKUP($B22,Vehicles!$B$9:$O$50,I$2,0)),0,VLOOKUP($B22,Vehicles!$B$9:$O$50,I$2,0))</f>
        <v>0</v>
      </c>
      <c r="J22" s="8">
        <f>IF(ISNA(VLOOKUP($B22,'Other Capital Needs'!$C$51:$P$95,J$2,0)),0,VLOOKUP($B22,'Other Capital Needs'!$C$51:$P$95,J$2,0))+IF(ISNA(VLOOKUP('Project Details by Yr - MASTER'!$B22,'Public Grounds'!$A$11:$N$49,J$2,0)),0,VLOOKUP('Project Details by Yr - MASTER'!$B22,'Public Grounds'!$A$11:$N$49,J$2,0))+IF(ISNA(VLOOKUP('Project Details by Yr - MASTER'!$B22,'Public Buildings'!$A$10:$N$96,J$2,0)),0,VLOOKUP('Project Details by Yr - MASTER'!$B22,'Public Buildings'!$A$10:$N$96,J$2,0))+IF(ISNA(VLOOKUP('Project Details by Yr - MASTER'!$B22,Bridges!$A$9:$N$24,J$2,0)),0,VLOOKUP('Project Details by Yr - MASTER'!$B22,Bridges!$A$9:$N$24,J$2,0))+IF(ISNA(VLOOKUP('Project Details by Yr - MASTER'!$B22,'Parking Lots &amp; Playgrounds'!$A$9:$N$33,J$2,0)),0,VLOOKUP('Project Details by Yr - MASTER'!$B22,'Parking Lots &amp; Playgrounds'!$A$9:$N$33,J$2,0))+IF(ISNA(VLOOKUP($B22,Vehicles!$B$9:$O$50,J$2,0)),0,VLOOKUP($B22,Vehicles!$B$9:$O$50,J$2,0))</f>
        <v>0</v>
      </c>
      <c r="K22" s="8">
        <f>IF(ISNA(VLOOKUP($B22,'Other Capital Needs'!$C$51:$P$95,K$2,0)),0,VLOOKUP($B22,'Other Capital Needs'!$C$51:$P$95,K$2,0))+IF(ISNA(VLOOKUP('Project Details by Yr - MASTER'!$B22,'Public Grounds'!$A$11:$N$49,K$2,0)),0,VLOOKUP('Project Details by Yr - MASTER'!$B22,'Public Grounds'!$A$11:$N$49,K$2,0))+IF(ISNA(VLOOKUP('Project Details by Yr - MASTER'!$B22,'Public Buildings'!$A$10:$N$96,K$2,0)),0,VLOOKUP('Project Details by Yr - MASTER'!$B22,'Public Buildings'!$A$10:$N$96,K$2,0))+IF(ISNA(VLOOKUP('Project Details by Yr - MASTER'!$B22,Bridges!$A$9:$N$24,K$2,0)),0,VLOOKUP('Project Details by Yr - MASTER'!$B22,Bridges!$A$9:$N$24,K$2,0))+IF(ISNA(VLOOKUP('Project Details by Yr - MASTER'!$B22,'Parking Lots &amp; Playgrounds'!$A$9:$N$33,K$2,0)),0,VLOOKUP('Project Details by Yr - MASTER'!$B22,'Parking Lots &amp; Playgrounds'!$A$9:$N$33,K$2,0))+IF(ISNA(VLOOKUP($B22,Vehicles!$B$9:$O$50,K$2,0)),0,VLOOKUP($B22,Vehicles!$B$9:$O$50,K$2,0))</f>
        <v>0</v>
      </c>
    </row>
    <row r="23" spans="1:11" x14ac:dyDescent="0.25">
      <c r="A23" s="1">
        <v>32</v>
      </c>
      <c r="B23" t="s">
        <v>158</v>
      </c>
      <c r="C23" t="s">
        <v>101</v>
      </c>
      <c r="D23" t="s">
        <v>272</v>
      </c>
      <c r="E23" s="1" t="s">
        <v>16</v>
      </c>
      <c r="G23" s="8">
        <f>IF(ISNA(VLOOKUP($B23,'Other Capital Needs'!$C$51:$P$95,G$2,0)),0,VLOOKUP($B23,'Other Capital Needs'!$C$51:$P$95,G$2,0))+IF(ISNA(VLOOKUP('Project Details by Yr - MASTER'!$B23,'Public Grounds'!$A$11:$N$49,G$2,0)),0,VLOOKUP('Project Details by Yr - MASTER'!$B23,'Public Grounds'!$A$11:$N$49,G$2,0))+IF(ISNA(VLOOKUP('Project Details by Yr - MASTER'!$B23,'Public Buildings'!$A$10:$N$96,G$2,0)),0,VLOOKUP('Project Details by Yr - MASTER'!$B23,'Public Buildings'!$A$10:$N$96,G$2,0))+IF(ISNA(VLOOKUP('Project Details by Yr - MASTER'!$B23,Bridges!$A$9:$N$24,G$2,0)),0,VLOOKUP('Project Details by Yr - MASTER'!$B23,Bridges!$A$9:$N$24,G$2,0))+IF(ISNA(VLOOKUP('Project Details by Yr - MASTER'!$B23,'Parking Lots &amp; Playgrounds'!$A$9:$N$33,G$2,0)),0,VLOOKUP('Project Details by Yr - MASTER'!$B23,'Parking Lots &amp; Playgrounds'!$A$9:$N$33,G$2,0))+IF(ISNA(VLOOKUP($B23,Vehicles!$B$9:$O$50,G$2,0)),0,VLOOKUP($B23,Vehicles!$B$9:$O$50,G$2,0))</f>
        <v>0</v>
      </c>
      <c r="H23" s="8">
        <f>IF(ISNA(VLOOKUP($B23,'Other Capital Needs'!$C$51:$P$95,H$2,0)),0,VLOOKUP($B23,'Other Capital Needs'!$C$51:$P$95,H$2,0))+IF(ISNA(VLOOKUP('Project Details by Yr - MASTER'!$B23,'Public Grounds'!$A$11:$N$49,H$2,0)),0,VLOOKUP('Project Details by Yr - MASTER'!$B23,'Public Grounds'!$A$11:$N$49,H$2,0))+IF(ISNA(VLOOKUP('Project Details by Yr - MASTER'!$B23,'Public Buildings'!$A$10:$N$96,H$2,0)),0,VLOOKUP('Project Details by Yr - MASTER'!$B23,'Public Buildings'!$A$10:$N$96,H$2,0))+IF(ISNA(VLOOKUP('Project Details by Yr - MASTER'!$B23,Bridges!$A$9:$N$24,H$2,0)),0,VLOOKUP('Project Details by Yr - MASTER'!$B23,Bridges!$A$9:$N$24,H$2,0))+IF(ISNA(VLOOKUP('Project Details by Yr - MASTER'!$B23,'Parking Lots &amp; Playgrounds'!$A$9:$N$33,H$2,0)),0,VLOOKUP('Project Details by Yr - MASTER'!$B23,'Parking Lots &amp; Playgrounds'!$A$9:$N$33,H$2,0))+IF(ISNA(VLOOKUP($B23,Vehicles!$B$9:$O$50,H$2,0)),0,VLOOKUP($B23,Vehicles!$B$9:$O$50,H$2,0))</f>
        <v>0</v>
      </c>
      <c r="I23" s="8">
        <f>IF(ISNA(VLOOKUP($B23,'Other Capital Needs'!$C$51:$P$95,I$2,0)),0,VLOOKUP($B23,'Other Capital Needs'!$C$51:$P$95,I$2,0))+IF(ISNA(VLOOKUP('Project Details by Yr - MASTER'!$B23,'Public Grounds'!$A$11:$N$49,I$2,0)),0,VLOOKUP('Project Details by Yr - MASTER'!$B23,'Public Grounds'!$A$11:$N$49,I$2,0))+IF(ISNA(VLOOKUP('Project Details by Yr - MASTER'!$B23,'Public Buildings'!$A$10:$N$96,I$2,0)),0,VLOOKUP('Project Details by Yr - MASTER'!$B23,'Public Buildings'!$A$10:$N$96,I$2,0))+IF(ISNA(VLOOKUP('Project Details by Yr - MASTER'!$B23,Bridges!$A$9:$N$24,I$2,0)),0,VLOOKUP('Project Details by Yr - MASTER'!$B23,Bridges!$A$9:$N$24,I$2,0))+IF(ISNA(VLOOKUP('Project Details by Yr - MASTER'!$B23,'Parking Lots &amp; Playgrounds'!$A$9:$N$33,I$2,0)),0,VLOOKUP('Project Details by Yr - MASTER'!$B23,'Parking Lots &amp; Playgrounds'!$A$9:$N$33,I$2,0))+IF(ISNA(VLOOKUP($B23,Vehicles!$B$9:$O$50,I$2,0)),0,VLOOKUP($B23,Vehicles!$B$9:$O$50,I$2,0))</f>
        <v>0</v>
      </c>
      <c r="J23" s="8">
        <f>IF(ISNA(VLOOKUP($B23,'Other Capital Needs'!$C$51:$P$95,J$2,0)),0,VLOOKUP($B23,'Other Capital Needs'!$C$51:$P$95,J$2,0))+IF(ISNA(VLOOKUP('Project Details by Yr - MASTER'!$B23,'Public Grounds'!$A$11:$N$49,J$2,0)),0,VLOOKUP('Project Details by Yr - MASTER'!$B23,'Public Grounds'!$A$11:$N$49,J$2,0))+IF(ISNA(VLOOKUP('Project Details by Yr - MASTER'!$B23,'Public Buildings'!$A$10:$N$96,J$2,0)),0,VLOOKUP('Project Details by Yr - MASTER'!$B23,'Public Buildings'!$A$10:$N$96,J$2,0))+IF(ISNA(VLOOKUP('Project Details by Yr - MASTER'!$B23,Bridges!$A$9:$N$24,J$2,0)),0,VLOOKUP('Project Details by Yr - MASTER'!$B23,Bridges!$A$9:$N$24,J$2,0))+IF(ISNA(VLOOKUP('Project Details by Yr - MASTER'!$B23,'Parking Lots &amp; Playgrounds'!$A$9:$N$33,J$2,0)),0,VLOOKUP('Project Details by Yr - MASTER'!$B23,'Parking Lots &amp; Playgrounds'!$A$9:$N$33,J$2,0))+IF(ISNA(VLOOKUP($B23,Vehicles!$B$9:$O$50,J$2,0)),0,VLOOKUP($B23,Vehicles!$B$9:$O$50,J$2,0))</f>
        <v>0</v>
      </c>
      <c r="K23" s="8">
        <f>IF(ISNA(VLOOKUP($B23,'Other Capital Needs'!$C$51:$P$95,K$2,0)),0,VLOOKUP($B23,'Other Capital Needs'!$C$51:$P$95,K$2,0))+IF(ISNA(VLOOKUP('Project Details by Yr - MASTER'!$B23,'Public Grounds'!$A$11:$N$49,K$2,0)),0,VLOOKUP('Project Details by Yr - MASTER'!$B23,'Public Grounds'!$A$11:$N$49,K$2,0))+IF(ISNA(VLOOKUP('Project Details by Yr - MASTER'!$B23,'Public Buildings'!$A$10:$N$96,K$2,0)),0,VLOOKUP('Project Details by Yr - MASTER'!$B23,'Public Buildings'!$A$10:$N$96,K$2,0))+IF(ISNA(VLOOKUP('Project Details by Yr - MASTER'!$B23,Bridges!$A$9:$N$24,K$2,0)),0,VLOOKUP('Project Details by Yr - MASTER'!$B23,Bridges!$A$9:$N$24,K$2,0))+IF(ISNA(VLOOKUP('Project Details by Yr - MASTER'!$B23,'Parking Lots &amp; Playgrounds'!$A$9:$N$33,K$2,0)),0,VLOOKUP('Project Details by Yr - MASTER'!$B23,'Parking Lots &amp; Playgrounds'!$A$9:$N$33,K$2,0))+IF(ISNA(VLOOKUP($B23,Vehicles!$B$9:$O$50,K$2,0)),0,VLOOKUP($B23,Vehicles!$B$9:$O$50,K$2,0))</f>
        <v>0</v>
      </c>
    </row>
    <row r="24" spans="1:11" x14ac:dyDescent="0.25">
      <c r="A24" s="1">
        <v>32</v>
      </c>
      <c r="B24" t="s">
        <v>159</v>
      </c>
      <c r="C24" t="s">
        <v>101</v>
      </c>
      <c r="D24" t="s">
        <v>272</v>
      </c>
      <c r="E24" s="1" t="s">
        <v>16</v>
      </c>
      <c r="G24" s="8">
        <f>IF(ISNA(VLOOKUP($B24,'Other Capital Needs'!$C$51:$P$95,G$2,0)),0,VLOOKUP($B24,'Other Capital Needs'!$C$51:$P$95,G$2,0))+IF(ISNA(VLOOKUP('Project Details by Yr - MASTER'!$B24,'Public Grounds'!$A$11:$N$49,G$2,0)),0,VLOOKUP('Project Details by Yr - MASTER'!$B24,'Public Grounds'!$A$11:$N$49,G$2,0))+IF(ISNA(VLOOKUP('Project Details by Yr - MASTER'!$B24,'Public Buildings'!$A$10:$N$96,G$2,0)),0,VLOOKUP('Project Details by Yr - MASTER'!$B24,'Public Buildings'!$A$10:$N$96,G$2,0))+IF(ISNA(VLOOKUP('Project Details by Yr - MASTER'!$B24,Bridges!$A$9:$N$24,G$2,0)),0,VLOOKUP('Project Details by Yr - MASTER'!$B24,Bridges!$A$9:$N$24,G$2,0))+IF(ISNA(VLOOKUP('Project Details by Yr - MASTER'!$B24,'Parking Lots &amp; Playgrounds'!$A$9:$N$33,G$2,0)),0,VLOOKUP('Project Details by Yr - MASTER'!$B24,'Parking Lots &amp; Playgrounds'!$A$9:$N$33,G$2,0))+IF(ISNA(VLOOKUP($B24,Vehicles!$B$9:$O$50,G$2,0)),0,VLOOKUP($B24,Vehicles!$B$9:$O$50,G$2,0))</f>
        <v>0</v>
      </c>
      <c r="H24" s="8">
        <f>IF(ISNA(VLOOKUP($B24,'Other Capital Needs'!$C$51:$P$95,H$2,0)),0,VLOOKUP($B24,'Other Capital Needs'!$C$51:$P$95,H$2,0))+IF(ISNA(VLOOKUP('Project Details by Yr - MASTER'!$B24,'Public Grounds'!$A$11:$N$49,H$2,0)),0,VLOOKUP('Project Details by Yr - MASTER'!$B24,'Public Grounds'!$A$11:$N$49,H$2,0))+IF(ISNA(VLOOKUP('Project Details by Yr - MASTER'!$B24,'Public Buildings'!$A$10:$N$96,H$2,0)),0,VLOOKUP('Project Details by Yr - MASTER'!$B24,'Public Buildings'!$A$10:$N$96,H$2,0))+IF(ISNA(VLOOKUP('Project Details by Yr - MASTER'!$B24,Bridges!$A$9:$N$24,H$2,0)),0,VLOOKUP('Project Details by Yr - MASTER'!$B24,Bridges!$A$9:$N$24,H$2,0))+IF(ISNA(VLOOKUP('Project Details by Yr - MASTER'!$B24,'Parking Lots &amp; Playgrounds'!$A$9:$N$33,H$2,0)),0,VLOOKUP('Project Details by Yr - MASTER'!$B24,'Parking Lots &amp; Playgrounds'!$A$9:$N$33,H$2,0))+IF(ISNA(VLOOKUP($B24,Vehicles!$B$9:$O$50,H$2,0)),0,VLOOKUP($B24,Vehicles!$B$9:$O$50,H$2,0))</f>
        <v>0</v>
      </c>
      <c r="I24" s="8">
        <f>IF(ISNA(VLOOKUP($B24,'Other Capital Needs'!$C$51:$P$95,I$2,0)),0,VLOOKUP($B24,'Other Capital Needs'!$C$51:$P$95,I$2,0))+IF(ISNA(VLOOKUP('Project Details by Yr - MASTER'!$B24,'Public Grounds'!$A$11:$N$49,I$2,0)),0,VLOOKUP('Project Details by Yr - MASTER'!$B24,'Public Grounds'!$A$11:$N$49,I$2,0))+IF(ISNA(VLOOKUP('Project Details by Yr - MASTER'!$B24,'Public Buildings'!$A$10:$N$96,I$2,0)),0,VLOOKUP('Project Details by Yr - MASTER'!$B24,'Public Buildings'!$A$10:$N$96,I$2,0))+IF(ISNA(VLOOKUP('Project Details by Yr - MASTER'!$B24,Bridges!$A$9:$N$24,I$2,0)),0,VLOOKUP('Project Details by Yr - MASTER'!$B24,Bridges!$A$9:$N$24,I$2,0))+IF(ISNA(VLOOKUP('Project Details by Yr - MASTER'!$B24,'Parking Lots &amp; Playgrounds'!$A$9:$N$33,I$2,0)),0,VLOOKUP('Project Details by Yr - MASTER'!$B24,'Parking Lots &amp; Playgrounds'!$A$9:$N$33,I$2,0))+IF(ISNA(VLOOKUP($B24,Vehicles!$B$9:$O$50,I$2,0)),0,VLOOKUP($B24,Vehicles!$B$9:$O$50,I$2,0))</f>
        <v>0</v>
      </c>
      <c r="J24" s="8">
        <f>IF(ISNA(VLOOKUP($B24,'Other Capital Needs'!$C$51:$P$95,J$2,0)),0,VLOOKUP($B24,'Other Capital Needs'!$C$51:$P$95,J$2,0))+IF(ISNA(VLOOKUP('Project Details by Yr - MASTER'!$B24,'Public Grounds'!$A$11:$N$49,J$2,0)),0,VLOOKUP('Project Details by Yr - MASTER'!$B24,'Public Grounds'!$A$11:$N$49,J$2,0))+IF(ISNA(VLOOKUP('Project Details by Yr - MASTER'!$B24,'Public Buildings'!$A$10:$N$96,J$2,0)),0,VLOOKUP('Project Details by Yr - MASTER'!$B24,'Public Buildings'!$A$10:$N$96,J$2,0))+IF(ISNA(VLOOKUP('Project Details by Yr - MASTER'!$B24,Bridges!$A$9:$N$24,J$2,0)),0,VLOOKUP('Project Details by Yr - MASTER'!$B24,Bridges!$A$9:$N$24,J$2,0))+IF(ISNA(VLOOKUP('Project Details by Yr - MASTER'!$B24,'Parking Lots &amp; Playgrounds'!$A$9:$N$33,J$2,0)),0,VLOOKUP('Project Details by Yr - MASTER'!$B24,'Parking Lots &amp; Playgrounds'!$A$9:$N$33,J$2,0))+IF(ISNA(VLOOKUP($B24,Vehicles!$B$9:$O$50,J$2,0)),0,VLOOKUP($B24,Vehicles!$B$9:$O$50,J$2,0))</f>
        <v>0</v>
      </c>
      <c r="K24" s="8">
        <f>IF(ISNA(VLOOKUP($B24,'Other Capital Needs'!$C$51:$P$95,K$2,0)),0,VLOOKUP($B24,'Other Capital Needs'!$C$51:$P$95,K$2,0))+IF(ISNA(VLOOKUP('Project Details by Yr - MASTER'!$B24,'Public Grounds'!$A$11:$N$49,K$2,0)),0,VLOOKUP('Project Details by Yr - MASTER'!$B24,'Public Grounds'!$A$11:$N$49,K$2,0))+IF(ISNA(VLOOKUP('Project Details by Yr - MASTER'!$B24,'Public Buildings'!$A$10:$N$96,K$2,0)),0,VLOOKUP('Project Details by Yr - MASTER'!$B24,'Public Buildings'!$A$10:$N$96,K$2,0))+IF(ISNA(VLOOKUP('Project Details by Yr - MASTER'!$B24,Bridges!$A$9:$N$24,K$2,0)),0,VLOOKUP('Project Details by Yr - MASTER'!$B24,Bridges!$A$9:$N$24,K$2,0))+IF(ISNA(VLOOKUP('Project Details by Yr - MASTER'!$B24,'Parking Lots &amp; Playgrounds'!$A$9:$N$33,K$2,0)),0,VLOOKUP('Project Details by Yr - MASTER'!$B24,'Parking Lots &amp; Playgrounds'!$A$9:$N$33,K$2,0))+IF(ISNA(VLOOKUP($B24,Vehicles!$B$9:$O$50,K$2,0)),0,VLOOKUP($B24,Vehicles!$B$9:$O$50,K$2,0))</f>
        <v>0</v>
      </c>
    </row>
    <row r="25" spans="1:11" x14ac:dyDescent="0.25">
      <c r="A25" s="1">
        <v>32</v>
      </c>
      <c r="B25" t="s">
        <v>160</v>
      </c>
      <c r="C25" t="s">
        <v>101</v>
      </c>
      <c r="D25" t="s">
        <v>272</v>
      </c>
      <c r="E25" s="1" t="s">
        <v>16</v>
      </c>
      <c r="G25" s="8">
        <f>IF(ISNA(VLOOKUP($B25,'Other Capital Needs'!$C$51:$P$95,G$2,0)),0,VLOOKUP($B25,'Other Capital Needs'!$C$51:$P$95,G$2,0))+IF(ISNA(VLOOKUP('Project Details by Yr - MASTER'!$B25,'Public Grounds'!$A$11:$N$49,G$2,0)),0,VLOOKUP('Project Details by Yr - MASTER'!$B25,'Public Grounds'!$A$11:$N$49,G$2,0))+IF(ISNA(VLOOKUP('Project Details by Yr - MASTER'!$B25,'Public Buildings'!$A$10:$N$96,G$2,0)),0,VLOOKUP('Project Details by Yr - MASTER'!$B25,'Public Buildings'!$A$10:$N$96,G$2,0))+IF(ISNA(VLOOKUP('Project Details by Yr - MASTER'!$B25,Bridges!$A$9:$N$24,G$2,0)),0,VLOOKUP('Project Details by Yr - MASTER'!$B25,Bridges!$A$9:$N$24,G$2,0))+IF(ISNA(VLOOKUP('Project Details by Yr - MASTER'!$B25,'Parking Lots &amp; Playgrounds'!$A$9:$N$33,G$2,0)),0,VLOOKUP('Project Details by Yr - MASTER'!$B25,'Parking Lots &amp; Playgrounds'!$A$9:$N$33,G$2,0))+IF(ISNA(VLOOKUP($B25,Vehicles!$B$9:$O$50,G$2,0)),0,VLOOKUP($B25,Vehicles!$B$9:$O$50,G$2,0))</f>
        <v>0</v>
      </c>
      <c r="H25" s="8">
        <f>IF(ISNA(VLOOKUP($B25,'Other Capital Needs'!$C$51:$P$95,H$2,0)),0,VLOOKUP($B25,'Other Capital Needs'!$C$51:$P$95,H$2,0))+IF(ISNA(VLOOKUP('Project Details by Yr - MASTER'!$B25,'Public Grounds'!$A$11:$N$49,H$2,0)),0,VLOOKUP('Project Details by Yr - MASTER'!$B25,'Public Grounds'!$A$11:$N$49,H$2,0))+IF(ISNA(VLOOKUP('Project Details by Yr - MASTER'!$B25,'Public Buildings'!$A$10:$N$96,H$2,0)),0,VLOOKUP('Project Details by Yr - MASTER'!$B25,'Public Buildings'!$A$10:$N$96,H$2,0))+IF(ISNA(VLOOKUP('Project Details by Yr - MASTER'!$B25,Bridges!$A$9:$N$24,H$2,0)),0,VLOOKUP('Project Details by Yr - MASTER'!$B25,Bridges!$A$9:$N$24,H$2,0))+IF(ISNA(VLOOKUP('Project Details by Yr - MASTER'!$B25,'Parking Lots &amp; Playgrounds'!$A$9:$N$33,H$2,0)),0,VLOOKUP('Project Details by Yr - MASTER'!$B25,'Parking Lots &amp; Playgrounds'!$A$9:$N$33,H$2,0))+IF(ISNA(VLOOKUP($B25,Vehicles!$B$9:$O$50,H$2,0)),0,VLOOKUP($B25,Vehicles!$B$9:$O$50,H$2,0))</f>
        <v>60000</v>
      </c>
      <c r="I25" s="8">
        <f>IF(ISNA(VLOOKUP($B25,'Other Capital Needs'!$C$51:$P$95,I$2,0)),0,VLOOKUP($B25,'Other Capital Needs'!$C$51:$P$95,I$2,0))+IF(ISNA(VLOOKUP('Project Details by Yr - MASTER'!$B25,'Public Grounds'!$A$11:$N$49,I$2,0)),0,VLOOKUP('Project Details by Yr - MASTER'!$B25,'Public Grounds'!$A$11:$N$49,I$2,0))+IF(ISNA(VLOOKUP('Project Details by Yr - MASTER'!$B25,'Public Buildings'!$A$10:$N$96,I$2,0)),0,VLOOKUP('Project Details by Yr - MASTER'!$B25,'Public Buildings'!$A$10:$N$96,I$2,0))+IF(ISNA(VLOOKUP('Project Details by Yr - MASTER'!$B25,Bridges!$A$9:$N$24,I$2,0)),0,VLOOKUP('Project Details by Yr - MASTER'!$B25,Bridges!$A$9:$N$24,I$2,0))+IF(ISNA(VLOOKUP('Project Details by Yr - MASTER'!$B25,'Parking Lots &amp; Playgrounds'!$A$9:$N$33,I$2,0)),0,VLOOKUP('Project Details by Yr - MASTER'!$B25,'Parking Lots &amp; Playgrounds'!$A$9:$N$33,I$2,0))+IF(ISNA(VLOOKUP($B25,Vehicles!$B$9:$O$50,I$2,0)),0,VLOOKUP($B25,Vehicles!$B$9:$O$50,I$2,0))</f>
        <v>0</v>
      </c>
      <c r="J25" s="8">
        <f>IF(ISNA(VLOOKUP($B25,'Other Capital Needs'!$C$51:$P$95,J$2,0)),0,VLOOKUP($B25,'Other Capital Needs'!$C$51:$P$95,J$2,0))+IF(ISNA(VLOOKUP('Project Details by Yr - MASTER'!$B25,'Public Grounds'!$A$11:$N$49,J$2,0)),0,VLOOKUP('Project Details by Yr - MASTER'!$B25,'Public Grounds'!$A$11:$N$49,J$2,0))+IF(ISNA(VLOOKUP('Project Details by Yr - MASTER'!$B25,'Public Buildings'!$A$10:$N$96,J$2,0)),0,VLOOKUP('Project Details by Yr - MASTER'!$B25,'Public Buildings'!$A$10:$N$96,J$2,0))+IF(ISNA(VLOOKUP('Project Details by Yr - MASTER'!$B25,Bridges!$A$9:$N$24,J$2,0)),0,VLOOKUP('Project Details by Yr - MASTER'!$B25,Bridges!$A$9:$N$24,J$2,0))+IF(ISNA(VLOOKUP('Project Details by Yr - MASTER'!$B25,'Parking Lots &amp; Playgrounds'!$A$9:$N$33,J$2,0)),0,VLOOKUP('Project Details by Yr - MASTER'!$B25,'Parking Lots &amp; Playgrounds'!$A$9:$N$33,J$2,0))+IF(ISNA(VLOOKUP($B25,Vehicles!$B$9:$O$50,J$2,0)),0,VLOOKUP($B25,Vehicles!$B$9:$O$50,J$2,0))</f>
        <v>0</v>
      </c>
      <c r="K25" s="8">
        <f>IF(ISNA(VLOOKUP($B25,'Other Capital Needs'!$C$51:$P$95,K$2,0)),0,VLOOKUP($B25,'Other Capital Needs'!$C$51:$P$95,K$2,0))+IF(ISNA(VLOOKUP('Project Details by Yr - MASTER'!$B25,'Public Grounds'!$A$11:$N$49,K$2,0)),0,VLOOKUP('Project Details by Yr - MASTER'!$B25,'Public Grounds'!$A$11:$N$49,K$2,0))+IF(ISNA(VLOOKUP('Project Details by Yr - MASTER'!$B25,'Public Buildings'!$A$10:$N$96,K$2,0)),0,VLOOKUP('Project Details by Yr - MASTER'!$B25,'Public Buildings'!$A$10:$N$96,K$2,0))+IF(ISNA(VLOOKUP('Project Details by Yr - MASTER'!$B25,Bridges!$A$9:$N$24,K$2,0)),0,VLOOKUP('Project Details by Yr - MASTER'!$B25,Bridges!$A$9:$N$24,K$2,0))+IF(ISNA(VLOOKUP('Project Details by Yr - MASTER'!$B25,'Parking Lots &amp; Playgrounds'!$A$9:$N$33,K$2,0)),0,VLOOKUP('Project Details by Yr - MASTER'!$B25,'Parking Lots &amp; Playgrounds'!$A$9:$N$33,K$2,0))+IF(ISNA(VLOOKUP($B25,Vehicles!$B$9:$O$50,K$2,0)),0,VLOOKUP($B25,Vehicles!$B$9:$O$50,K$2,0))</f>
        <v>0</v>
      </c>
    </row>
    <row r="26" spans="1:11" x14ac:dyDescent="0.25">
      <c r="A26" s="1">
        <v>32</v>
      </c>
      <c r="B26" t="s">
        <v>161</v>
      </c>
      <c r="C26" t="s">
        <v>101</v>
      </c>
      <c r="D26" t="s">
        <v>272</v>
      </c>
      <c r="E26" s="1" t="s">
        <v>16</v>
      </c>
      <c r="G26" s="8">
        <f>IF(ISNA(VLOOKUP($B26,'Other Capital Needs'!$C$51:$P$95,G$2,0)),0,VLOOKUP($B26,'Other Capital Needs'!$C$51:$P$95,G$2,0))+IF(ISNA(VLOOKUP('Project Details by Yr - MASTER'!$B26,'Public Grounds'!$A$11:$N$49,G$2,0)),0,VLOOKUP('Project Details by Yr - MASTER'!$B26,'Public Grounds'!$A$11:$N$49,G$2,0))+IF(ISNA(VLOOKUP('Project Details by Yr - MASTER'!$B26,'Public Buildings'!$A$10:$N$96,G$2,0)),0,VLOOKUP('Project Details by Yr - MASTER'!$B26,'Public Buildings'!$A$10:$N$96,G$2,0))+IF(ISNA(VLOOKUP('Project Details by Yr - MASTER'!$B26,Bridges!$A$9:$N$24,G$2,0)),0,VLOOKUP('Project Details by Yr - MASTER'!$B26,Bridges!$A$9:$N$24,G$2,0))+IF(ISNA(VLOOKUP('Project Details by Yr - MASTER'!$B26,'Parking Lots &amp; Playgrounds'!$A$9:$N$33,G$2,0)),0,VLOOKUP('Project Details by Yr - MASTER'!$B26,'Parking Lots &amp; Playgrounds'!$A$9:$N$33,G$2,0))+IF(ISNA(VLOOKUP($B26,Vehicles!$B$9:$O$50,G$2,0)),0,VLOOKUP($B26,Vehicles!$B$9:$O$50,G$2,0))</f>
        <v>0</v>
      </c>
      <c r="H26" s="8">
        <f>IF(ISNA(VLOOKUP($B26,'Other Capital Needs'!$C$51:$P$95,H$2,0)),0,VLOOKUP($B26,'Other Capital Needs'!$C$51:$P$95,H$2,0))+IF(ISNA(VLOOKUP('Project Details by Yr - MASTER'!$B26,'Public Grounds'!$A$11:$N$49,H$2,0)),0,VLOOKUP('Project Details by Yr - MASTER'!$B26,'Public Grounds'!$A$11:$N$49,H$2,0))+IF(ISNA(VLOOKUP('Project Details by Yr - MASTER'!$B26,'Public Buildings'!$A$10:$N$96,H$2,0)),0,VLOOKUP('Project Details by Yr - MASTER'!$B26,'Public Buildings'!$A$10:$N$96,H$2,0))+IF(ISNA(VLOOKUP('Project Details by Yr - MASTER'!$B26,Bridges!$A$9:$N$24,H$2,0)),0,VLOOKUP('Project Details by Yr - MASTER'!$B26,Bridges!$A$9:$N$24,H$2,0))+IF(ISNA(VLOOKUP('Project Details by Yr - MASTER'!$B26,'Parking Lots &amp; Playgrounds'!$A$9:$N$33,H$2,0)),0,VLOOKUP('Project Details by Yr - MASTER'!$B26,'Parking Lots &amp; Playgrounds'!$A$9:$N$33,H$2,0))+IF(ISNA(VLOOKUP($B26,Vehicles!$B$9:$O$50,H$2,0)),0,VLOOKUP($B26,Vehicles!$B$9:$O$50,H$2,0))</f>
        <v>0</v>
      </c>
      <c r="I26" s="8">
        <f>IF(ISNA(VLOOKUP($B26,'Other Capital Needs'!$C$51:$P$95,I$2,0)),0,VLOOKUP($B26,'Other Capital Needs'!$C$51:$P$95,I$2,0))+IF(ISNA(VLOOKUP('Project Details by Yr - MASTER'!$B26,'Public Grounds'!$A$11:$N$49,I$2,0)),0,VLOOKUP('Project Details by Yr - MASTER'!$B26,'Public Grounds'!$A$11:$N$49,I$2,0))+IF(ISNA(VLOOKUP('Project Details by Yr - MASTER'!$B26,'Public Buildings'!$A$10:$N$96,I$2,0)),0,VLOOKUP('Project Details by Yr - MASTER'!$B26,'Public Buildings'!$A$10:$N$96,I$2,0))+IF(ISNA(VLOOKUP('Project Details by Yr - MASTER'!$B26,Bridges!$A$9:$N$24,I$2,0)),0,VLOOKUP('Project Details by Yr - MASTER'!$B26,Bridges!$A$9:$N$24,I$2,0))+IF(ISNA(VLOOKUP('Project Details by Yr - MASTER'!$B26,'Parking Lots &amp; Playgrounds'!$A$9:$N$33,I$2,0)),0,VLOOKUP('Project Details by Yr - MASTER'!$B26,'Parking Lots &amp; Playgrounds'!$A$9:$N$33,I$2,0))+IF(ISNA(VLOOKUP($B26,Vehicles!$B$9:$O$50,I$2,0)),0,VLOOKUP($B26,Vehicles!$B$9:$O$50,I$2,0))</f>
        <v>0</v>
      </c>
      <c r="J26" s="8">
        <f>IF(ISNA(VLOOKUP($B26,'Other Capital Needs'!$C$51:$P$95,J$2,0)),0,VLOOKUP($B26,'Other Capital Needs'!$C$51:$P$95,J$2,0))+IF(ISNA(VLOOKUP('Project Details by Yr - MASTER'!$B26,'Public Grounds'!$A$11:$N$49,J$2,0)),0,VLOOKUP('Project Details by Yr - MASTER'!$B26,'Public Grounds'!$A$11:$N$49,J$2,0))+IF(ISNA(VLOOKUP('Project Details by Yr - MASTER'!$B26,'Public Buildings'!$A$10:$N$96,J$2,0)),0,VLOOKUP('Project Details by Yr - MASTER'!$B26,'Public Buildings'!$A$10:$N$96,J$2,0))+IF(ISNA(VLOOKUP('Project Details by Yr - MASTER'!$B26,Bridges!$A$9:$N$24,J$2,0)),0,VLOOKUP('Project Details by Yr - MASTER'!$B26,Bridges!$A$9:$N$24,J$2,0))+IF(ISNA(VLOOKUP('Project Details by Yr - MASTER'!$B26,'Parking Lots &amp; Playgrounds'!$A$9:$N$33,J$2,0)),0,VLOOKUP('Project Details by Yr - MASTER'!$B26,'Parking Lots &amp; Playgrounds'!$A$9:$N$33,J$2,0))+IF(ISNA(VLOOKUP($B26,Vehicles!$B$9:$O$50,J$2,0)),0,VLOOKUP($B26,Vehicles!$B$9:$O$50,J$2,0))</f>
        <v>0</v>
      </c>
      <c r="K26" s="8">
        <f>IF(ISNA(VLOOKUP($B26,'Other Capital Needs'!$C$51:$P$95,K$2,0)),0,VLOOKUP($B26,'Other Capital Needs'!$C$51:$P$95,K$2,0))+IF(ISNA(VLOOKUP('Project Details by Yr - MASTER'!$B26,'Public Grounds'!$A$11:$N$49,K$2,0)),0,VLOOKUP('Project Details by Yr - MASTER'!$B26,'Public Grounds'!$A$11:$N$49,K$2,0))+IF(ISNA(VLOOKUP('Project Details by Yr - MASTER'!$B26,'Public Buildings'!$A$10:$N$96,K$2,0)),0,VLOOKUP('Project Details by Yr - MASTER'!$B26,'Public Buildings'!$A$10:$N$96,K$2,0))+IF(ISNA(VLOOKUP('Project Details by Yr - MASTER'!$B26,Bridges!$A$9:$N$24,K$2,0)),0,VLOOKUP('Project Details by Yr - MASTER'!$B26,Bridges!$A$9:$N$24,K$2,0))+IF(ISNA(VLOOKUP('Project Details by Yr - MASTER'!$B26,'Parking Lots &amp; Playgrounds'!$A$9:$N$33,K$2,0)),0,VLOOKUP('Project Details by Yr - MASTER'!$B26,'Parking Lots &amp; Playgrounds'!$A$9:$N$33,K$2,0))+IF(ISNA(VLOOKUP($B26,Vehicles!$B$9:$O$50,K$2,0)),0,VLOOKUP($B26,Vehicles!$B$9:$O$50,K$2,0))</f>
        <v>0</v>
      </c>
    </row>
    <row r="27" spans="1:11" x14ac:dyDescent="0.25">
      <c r="A27" s="1">
        <v>32</v>
      </c>
      <c r="B27" t="s">
        <v>162</v>
      </c>
      <c r="C27" t="s">
        <v>101</v>
      </c>
      <c r="D27" t="s">
        <v>272</v>
      </c>
      <c r="E27" s="1" t="s">
        <v>16</v>
      </c>
      <c r="G27" s="8">
        <f>IF(ISNA(VLOOKUP($B27,'Other Capital Needs'!$C$51:$P$95,G$2,0)),0,VLOOKUP($B27,'Other Capital Needs'!$C$51:$P$95,G$2,0))+IF(ISNA(VLOOKUP('Project Details by Yr - MASTER'!$B27,'Public Grounds'!$A$11:$N$49,G$2,0)),0,VLOOKUP('Project Details by Yr - MASTER'!$B27,'Public Grounds'!$A$11:$N$49,G$2,0))+IF(ISNA(VLOOKUP('Project Details by Yr - MASTER'!$B27,'Public Buildings'!$A$10:$N$96,G$2,0)),0,VLOOKUP('Project Details by Yr - MASTER'!$B27,'Public Buildings'!$A$10:$N$96,G$2,0))+IF(ISNA(VLOOKUP('Project Details by Yr - MASTER'!$B27,Bridges!$A$9:$N$24,G$2,0)),0,VLOOKUP('Project Details by Yr - MASTER'!$B27,Bridges!$A$9:$N$24,G$2,0))+IF(ISNA(VLOOKUP('Project Details by Yr - MASTER'!$B27,'Parking Lots &amp; Playgrounds'!$A$9:$N$33,G$2,0)),0,VLOOKUP('Project Details by Yr - MASTER'!$B27,'Parking Lots &amp; Playgrounds'!$A$9:$N$33,G$2,0))+IF(ISNA(VLOOKUP($B27,Vehicles!$B$9:$O$50,G$2,0)),0,VLOOKUP($B27,Vehicles!$B$9:$O$50,G$2,0))</f>
        <v>0</v>
      </c>
      <c r="H27" s="8">
        <f>IF(ISNA(VLOOKUP($B27,'Other Capital Needs'!$C$51:$P$95,H$2,0)),0,VLOOKUP($B27,'Other Capital Needs'!$C$51:$P$95,H$2,0))+IF(ISNA(VLOOKUP('Project Details by Yr - MASTER'!$B27,'Public Grounds'!$A$11:$N$49,H$2,0)),0,VLOOKUP('Project Details by Yr - MASTER'!$B27,'Public Grounds'!$A$11:$N$49,H$2,0))+IF(ISNA(VLOOKUP('Project Details by Yr - MASTER'!$B27,'Public Buildings'!$A$10:$N$96,H$2,0)),0,VLOOKUP('Project Details by Yr - MASTER'!$B27,'Public Buildings'!$A$10:$N$96,H$2,0))+IF(ISNA(VLOOKUP('Project Details by Yr - MASTER'!$B27,Bridges!$A$9:$N$24,H$2,0)),0,VLOOKUP('Project Details by Yr - MASTER'!$B27,Bridges!$A$9:$N$24,H$2,0))+IF(ISNA(VLOOKUP('Project Details by Yr - MASTER'!$B27,'Parking Lots &amp; Playgrounds'!$A$9:$N$33,H$2,0)),0,VLOOKUP('Project Details by Yr - MASTER'!$B27,'Parking Lots &amp; Playgrounds'!$A$9:$N$33,H$2,0))+IF(ISNA(VLOOKUP($B27,Vehicles!$B$9:$O$50,H$2,0)),0,VLOOKUP($B27,Vehicles!$B$9:$O$50,H$2,0))</f>
        <v>0</v>
      </c>
      <c r="I27" s="8">
        <f>IF(ISNA(VLOOKUP($B27,'Other Capital Needs'!$C$51:$P$95,I$2,0)),0,VLOOKUP($B27,'Other Capital Needs'!$C$51:$P$95,I$2,0))+IF(ISNA(VLOOKUP('Project Details by Yr - MASTER'!$B27,'Public Grounds'!$A$11:$N$49,I$2,0)),0,VLOOKUP('Project Details by Yr - MASTER'!$B27,'Public Grounds'!$A$11:$N$49,I$2,0))+IF(ISNA(VLOOKUP('Project Details by Yr - MASTER'!$B27,'Public Buildings'!$A$10:$N$96,I$2,0)),0,VLOOKUP('Project Details by Yr - MASTER'!$B27,'Public Buildings'!$A$10:$N$96,I$2,0))+IF(ISNA(VLOOKUP('Project Details by Yr - MASTER'!$B27,Bridges!$A$9:$N$24,I$2,0)),0,VLOOKUP('Project Details by Yr - MASTER'!$B27,Bridges!$A$9:$N$24,I$2,0))+IF(ISNA(VLOOKUP('Project Details by Yr - MASTER'!$B27,'Parking Lots &amp; Playgrounds'!$A$9:$N$33,I$2,0)),0,VLOOKUP('Project Details by Yr - MASTER'!$B27,'Parking Lots &amp; Playgrounds'!$A$9:$N$33,I$2,0))+IF(ISNA(VLOOKUP($B27,Vehicles!$B$9:$O$50,I$2,0)),0,VLOOKUP($B27,Vehicles!$B$9:$O$50,I$2,0))</f>
        <v>250000</v>
      </c>
      <c r="J27" s="8">
        <f>IF(ISNA(VLOOKUP($B27,'Other Capital Needs'!$C$51:$P$95,J$2,0)),0,VLOOKUP($B27,'Other Capital Needs'!$C$51:$P$95,J$2,0))+IF(ISNA(VLOOKUP('Project Details by Yr - MASTER'!$B27,'Public Grounds'!$A$11:$N$49,J$2,0)),0,VLOOKUP('Project Details by Yr - MASTER'!$B27,'Public Grounds'!$A$11:$N$49,J$2,0))+IF(ISNA(VLOOKUP('Project Details by Yr - MASTER'!$B27,'Public Buildings'!$A$10:$N$96,J$2,0)),0,VLOOKUP('Project Details by Yr - MASTER'!$B27,'Public Buildings'!$A$10:$N$96,J$2,0))+IF(ISNA(VLOOKUP('Project Details by Yr - MASTER'!$B27,Bridges!$A$9:$N$24,J$2,0)),0,VLOOKUP('Project Details by Yr - MASTER'!$B27,Bridges!$A$9:$N$24,J$2,0))+IF(ISNA(VLOOKUP('Project Details by Yr - MASTER'!$B27,'Parking Lots &amp; Playgrounds'!$A$9:$N$33,J$2,0)),0,VLOOKUP('Project Details by Yr - MASTER'!$B27,'Parking Lots &amp; Playgrounds'!$A$9:$N$33,J$2,0))+IF(ISNA(VLOOKUP($B27,Vehicles!$B$9:$O$50,J$2,0)),0,VLOOKUP($B27,Vehicles!$B$9:$O$50,J$2,0))</f>
        <v>0</v>
      </c>
      <c r="K27" s="8">
        <f>IF(ISNA(VLOOKUP($B27,'Other Capital Needs'!$C$51:$P$95,K$2,0)),0,VLOOKUP($B27,'Other Capital Needs'!$C$51:$P$95,K$2,0))+IF(ISNA(VLOOKUP('Project Details by Yr - MASTER'!$B27,'Public Grounds'!$A$11:$N$49,K$2,0)),0,VLOOKUP('Project Details by Yr - MASTER'!$B27,'Public Grounds'!$A$11:$N$49,K$2,0))+IF(ISNA(VLOOKUP('Project Details by Yr - MASTER'!$B27,'Public Buildings'!$A$10:$N$96,K$2,0)),0,VLOOKUP('Project Details by Yr - MASTER'!$B27,'Public Buildings'!$A$10:$N$96,K$2,0))+IF(ISNA(VLOOKUP('Project Details by Yr - MASTER'!$B27,Bridges!$A$9:$N$24,K$2,0)),0,VLOOKUP('Project Details by Yr - MASTER'!$B27,Bridges!$A$9:$N$24,K$2,0))+IF(ISNA(VLOOKUP('Project Details by Yr - MASTER'!$B27,'Parking Lots &amp; Playgrounds'!$A$9:$N$33,K$2,0)),0,VLOOKUP('Project Details by Yr - MASTER'!$B27,'Parking Lots &amp; Playgrounds'!$A$9:$N$33,K$2,0))+IF(ISNA(VLOOKUP($B27,Vehicles!$B$9:$O$50,K$2,0)),0,VLOOKUP($B27,Vehicles!$B$9:$O$50,K$2,0))</f>
        <v>0</v>
      </c>
    </row>
    <row r="28" spans="1:11" x14ac:dyDescent="0.25">
      <c r="A28" s="1">
        <v>32</v>
      </c>
      <c r="B28" t="s">
        <v>163</v>
      </c>
      <c r="C28" t="s">
        <v>101</v>
      </c>
      <c r="D28" t="s">
        <v>272</v>
      </c>
      <c r="E28" s="1" t="s">
        <v>16</v>
      </c>
      <c r="G28" s="8">
        <f>IF(ISNA(VLOOKUP($B28,'Other Capital Needs'!$C$51:$P$95,G$2,0)),0,VLOOKUP($B28,'Other Capital Needs'!$C$51:$P$95,G$2,0))+IF(ISNA(VLOOKUP('Project Details by Yr - MASTER'!$B28,'Public Grounds'!$A$11:$N$49,G$2,0)),0,VLOOKUP('Project Details by Yr - MASTER'!$B28,'Public Grounds'!$A$11:$N$49,G$2,0))+IF(ISNA(VLOOKUP('Project Details by Yr - MASTER'!$B28,'Public Buildings'!$A$10:$N$96,G$2,0)),0,VLOOKUP('Project Details by Yr - MASTER'!$B28,'Public Buildings'!$A$10:$N$96,G$2,0))+IF(ISNA(VLOOKUP('Project Details by Yr - MASTER'!$B28,Bridges!$A$9:$N$24,G$2,0)),0,VLOOKUP('Project Details by Yr - MASTER'!$B28,Bridges!$A$9:$N$24,G$2,0))+IF(ISNA(VLOOKUP('Project Details by Yr - MASTER'!$B28,'Parking Lots &amp; Playgrounds'!$A$9:$N$33,G$2,0)),0,VLOOKUP('Project Details by Yr - MASTER'!$B28,'Parking Lots &amp; Playgrounds'!$A$9:$N$33,G$2,0))+IF(ISNA(VLOOKUP($B28,Vehicles!$B$9:$O$50,G$2,0)),0,VLOOKUP($B28,Vehicles!$B$9:$O$50,G$2,0))</f>
        <v>0</v>
      </c>
      <c r="H28" s="8">
        <f>IF(ISNA(VLOOKUP($B28,'Other Capital Needs'!$C$51:$P$95,H$2,0)),0,VLOOKUP($B28,'Other Capital Needs'!$C$51:$P$95,H$2,0))+IF(ISNA(VLOOKUP('Project Details by Yr - MASTER'!$B28,'Public Grounds'!$A$11:$N$49,H$2,0)),0,VLOOKUP('Project Details by Yr - MASTER'!$B28,'Public Grounds'!$A$11:$N$49,H$2,0))+IF(ISNA(VLOOKUP('Project Details by Yr - MASTER'!$B28,'Public Buildings'!$A$10:$N$96,H$2,0)),0,VLOOKUP('Project Details by Yr - MASTER'!$B28,'Public Buildings'!$A$10:$N$96,H$2,0))+IF(ISNA(VLOOKUP('Project Details by Yr - MASTER'!$B28,Bridges!$A$9:$N$24,H$2,0)),0,VLOOKUP('Project Details by Yr - MASTER'!$B28,Bridges!$A$9:$N$24,H$2,0))+IF(ISNA(VLOOKUP('Project Details by Yr - MASTER'!$B28,'Parking Lots &amp; Playgrounds'!$A$9:$N$33,H$2,0)),0,VLOOKUP('Project Details by Yr - MASTER'!$B28,'Parking Lots &amp; Playgrounds'!$A$9:$N$33,H$2,0))+IF(ISNA(VLOOKUP($B28,Vehicles!$B$9:$O$50,H$2,0)),0,VLOOKUP($B28,Vehicles!$B$9:$O$50,H$2,0))</f>
        <v>0</v>
      </c>
      <c r="I28" s="8">
        <f>IF(ISNA(VLOOKUP($B28,'Other Capital Needs'!$C$51:$P$95,I$2,0)),0,VLOOKUP($B28,'Other Capital Needs'!$C$51:$P$95,I$2,0))+IF(ISNA(VLOOKUP('Project Details by Yr - MASTER'!$B28,'Public Grounds'!$A$11:$N$49,I$2,0)),0,VLOOKUP('Project Details by Yr - MASTER'!$B28,'Public Grounds'!$A$11:$N$49,I$2,0))+IF(ISNA(VLOOKUP('Project Details by Yr - MASTER'!$B28,'Public Buildings'!$A$10:$N$96,I$2,0)),0,VLOOKUP('Project Details by Yr - MASTER'!$B28,'Public Buildings'!$A$10:$N$96,I$2,0))+IF(ISNA(VLOOKUP('Project Details by Yr - MASTER'!$B28,Bridges!$A$9:$N$24,I$2,0)),0,VLOOKUP('Project Details by Yr - MASTER'!$B28,Bridges!$A$9:$N$24,I$2,0))+IF(ISNA(VLOOKUP('Project Details by Yr - MASTER'!$B28,'Parking Lots &amp; Playgrounds'!$A$9:$N$33,I$2,0)),0,VLOOKUP('Project Details by Yr - MASTER'!$B28,'Parking Lots &amp; Playgrounds'!$A$9:$N$33,I$2,0))+IF(ISNA(VLOOKUP($B28,Vehicles!$B$9:$O$50,I$2,0)),0,VLOOKUP($B28,Vehicles!$B$9:$O$50,I$2,0))</f>
        <v>0</v>
      </c>
      <c r="J28" s="8">
        <f>IF(ISNA(VLOOKUP($B28,'Other Capital Needs'!$C$51:$P$95,J$2,0)),0,VLOOKUP($B28,'Other Capital Needs'!$C$51:$P$95,J$2,0))+IF(ISNA(VLOOKUP('Project Details by Yr - MASTER'!$B28,'Public Grounds'!$A$11:$N$49,J$2,0)),0,VLOOKUP('Project Details by Yr - MASTER'!$B28,'Public Grounds'!$A$11:$N$49,J$2,0))+IF(ISNA(VLOOKUP('Project Details by Yr - MASTER'!$B28,'Public Buildings'!$A$10:$N$96,J$2,0)),0,VLOOKUP('Project Details by Yr - MASTER'!$B28,'Public Buildings'!$A$10:$N$96,J$2,0))+IF(ISNA(VLOOKUP('Project Details by Yr - MASTER'!$B28,Bridges!$A$9:$N$24,J$2,0)),0,VLOOKUP('Project Details by Yr - MASTER'!$B28,Bridges!$A$9:$N$24,J$2,0))+IF(ISNA(VLOOKUP('Project Details by Yr - MASTER'!$B28,'Parking Lots &amp; Playgrounds'!$A$9:$N$33,J$2,0)),0,VLOOKUP('Project Details by Yr - MASTER'!$B28,'Parking Lots &amp; Playgrounds'!$A$9:$N$33,J$2,0))+IF(ISNA(VLOOKUP($B28,Vehicles!$B$9:$O$50,J$2,0)),0,VLOOKUP($B28,Vehicles!$B$9:$O$50,J$2,0))</f>
        <v>0</v>
      </c>
      <c r="K28" s="8">
        <f>IF(ISNA(VLOOKUP($B28,'Other Capital Needs'!$C$51:$P$95,K$2,0)),0,VLOOKUP($B28,'Other Capital Needs'!$C$51:$P$95,K$2,0))+IF(ISNA(VLOOKUP('Project Details by Yr - MASTER'!$B28,'Public Grounds'!$A$11:$N$49,K$2,0)),0,VLOOKUP('Project Details by Yr - MASTER'!$B28,'Public Grounds'!$A$11:$N$49,K$2,0))+IF(ISNA(VLOOKUP('Project Details by Yr - MASTER'!$B28,'Public Buildings'!$A$10:$N$96,K$2,0)),0,VLOOKUP('Project Details by Yr - MASTER'!$B28,'Public Buildings'!$A$10:$N$96,K$2,0))+IF(ISNA(VLOOKUP('Project Details by Yr - MASTER'!$B28,Bridges!$A$9:$N$24,K$2,0)),0,VLOOKUP('Project Details by Yr - MASTER'!$B28,Bridges!$A$9:$N$24,K$2,0))+IF(ISNA(VLOOKUP('Project Details by Yr - MASTER'!$B28,'Parking Lots &amp; Playgrounds'!$A$9:$N$33,K$2,0)),0,VLOOKUP('Project Details by Yr - MASTER'!$B28,'Parking Lots &amp; Playgrounds'!$A$9:$N$33,K$2,0))+IF(ISNA(VLOOKUP($B28,Vehicles!$B$9:$O$50,K$2,0)),0,VLOOKUP($B28,Vehicles!$B$9:$O$50,K$2,0))</f>
        <v>0</v>
      </c>
    </row>
    <row r="29" spans="1:11" x14ac:dyDescent="0.25">
      <c r="A29" s="31">
        <v>32</v>
      </c>
      <c r="B29" s="26" t="s">
        <v>164</v>
      </c>
      <c r="C29" t="s">
        <v>101</v>
      </c>
      <c r="D29" t="s">
        <v>272</v>
      </c>
      <c r="E29" s="31" t="s">
        <v>16</v>
      </c>
      <c r="G29" s="8">
        <f>IF(ISNA(VLOOKUP($B29,'Other Capital Needs'!$C$51:$P$95,G$2,0)),0,VLOOKUP($B29,'Other Capital Needs'!$C$51:$P$95,G$2,0))+IF(ISNA(VLOOKUP('Project Details by Yr - MASTER'!$B29,'Public Grounds'!$A$11:$N$49,G$2,0)),0,VLOOKUP('Project Details by Yr - MASTER'!$B29,'Public Grounds'!$A$11:$N$49,G$2,0))+IF(ISNA(VLOOKUP('Project Details by Yr - MASTER'!$B29,'Public Buildings'!$A$10:$N$96,G$2,0)),0,VLOOKUP('Project Details by Yr - MASTER'!$B29,'Public Buildings'!$A$10:$N$96,G$2,0))+IF(ISNA(VLOOKUP('Project Details by Yr - MASTER'!$B29,Bridges!$A$9:$N$24,G$2,0)),0,VLOOKUP('Project Details by Yr - MASTER'!$B29,Bridges!$A$9:$N$24,G$2,0))+IF(ISNA(VLOOKUP('Project Details by Yr - MASTER'!$B29,'Parking Lots &amp; Playgrounds'!$A$9:$N$33,G$2,0)),0,VLOOKUP('Project Details by Yr - MASTER'!$B29,'Parking Lots &amp; Playgrounds'!$A$9:$N$33,G$2,0))+IF(ISNA(VLOOKUP($B29,Vehicles!$B$9:$O$50,G$2,0)),0,VLOOKUP($B29,Vehicles!$B$9:$O$50,G$2,0))</f>
        <v>0</v>
      </c>
      <c r="H29" s="8">
        <f>IF(ISNA(VLOOKUP($B29,'Other Capital Needs'!$C$51:$P$95,H$2,0)),0,VLOOKUP($B29,'Other Capital Needs'!$C$51:$P$95,H$2,0))+IF(ISNA(VLOOKUP('Project Details by Yr - MASTER'!$B29,'Public Grounds'!$A$11:$N$49,H$2,0)),0,VLOOKUP('Project Details by Yr - MASTER'!$B29,'Public Grounds'!$A$11:$N$49,H$2,0))+IF(ISNA(VLOOKUP('Project Details by Yr - MASTER'!$B29,'Public Buildings'!$A$10:$N$96,H$2,0)),0,VLOOKUP('Project Details by Yr - MASTER'!$B29,'Public Buildings'!$A$10:$N$96,H$2,0))+IF(ISNA(VLOOKUP('Project Details by Yr - MASTER'!$B29,Bridges!$A$9:$N$24,H$2,0)),0,VLOOKUP('Project Details by Yr - MASTER'!$B29,Bridges!$A$9:$N$24,H$2,0))+IF(ISNA(VLOOKUP('Project Details by Yr - MASTER'!$B29,'Parking Lots &amp; Playgrounds'!$A$9:$N$33,H$2,0)),0,VLOOKUP('Project Details by Yr - MASTER'!$B29,'Parking Lots &amp; Playgrounds'!$A$9:$N$33,H$2,0))+IF(ISNA(VLOOKUP($B29,Vehicles!$B$9:$O$50,H$2,0)),0,VLOOKUP($B29,Vehicles!$B$9:$O$50,H$2,0))</f>
        <v>0</v>
      </c>
      <c r="I29" s="8">
        <f>IF(ISNA(VLOOKUP($B29,'Other Capital Needs'!$C$51:$P$95,I$2,0)),0,VLOOKUP($B29,'Other Capital Needs'!$C$51:$P$95,I$2,0))+IF(ISNA(VLOOKUP('Project Details by Yr - MASTER'!$B29,'Public Grounds'!$A$11:$N$49,I$2,0)),0,VLOOKUP('Project Details by Yr - MASTER'!$B29,'Public Grounds'!$A$11:$N$49,I$2,0))+IF(ISNA(VLOOKUP('Project Details by Yr - MASTER'!$B29,'Public Buildings'!$A$10:$N$96,I$2,0)),0,VLOOKUP('Project Details by Yr - MASTER'!$B29,'Public Buildings'!$A$10:$N$96,I$2,0))+IF(ISNA(VLOOKUP('Project Details by Yr - MASTER'!$B29,Bridges!$A$9:$N$24,I$2,0)),0,VLOOKUP('Project Details by Yr - MASTER'!$B29,Bridges!$A$9:$N$24,I$2,0))+IF(ISNA(VLOOKUP('Project Details by Yr - MASTER'!$B29,'Parking Lots &amp; Playgrounds'!$A$9:$N$33,I$2,0)),0,VLOOKUP('Project Details by Yr - MASTER'!$B29,'Parking Lots &amp; Playgrounds'!$A$9:$N$33,I$2,0))+IF(ISNA(VLOOKUP($B29,Vehicles!$B$9:$O$50,I$2,0)),0,VLOOKUP($B29,Vehicles!$B$9:$O$50,I$2,0))</f>
        <v>0</v>
      </c>
      <c r="J29" s="8">
        <f>IF(ISNA(VLOOKUP($B29,'Other Capital Needs'!$C$51:$P$95,J$2,0)),0,VLOOKUP($B29,'Other Capital Needs'!$C$51:$P$95,J$2,0))+IF(ISNA(VLOOKUP('Project Details by Yr - MASTER'!$B29,'Public Grounds'!$A$11:$N$49,J$2,0)),0,VLOOKUP('Project Details by Yr - MASTER'!$B29,'Public Grounds'!$A$11:$N$49,J$2,0))+IF(ISNA(VLOOKUP('Project Details by Yr - MASTER'!$B29,'Public Buildings'!$A$10:$N$96,J$2,0)),0,VLOOKUP('Project Details by Yr - MASTER'!$B29,'Public Buildings'!$A$10:$N$96,J$2,0))+IF(ISNA(VLOOKUP('Project Details by Yr - MASTER'!$B29,Bridges!$A$9:$N$24,J$2,0)),0,VLOOKUP('Project Details by Yr - MASTER'!$B29,Bridges!$A$9:$N$24,J$2,0))+IF(ISNA(VLOOKUP('Project Details by Yr - MASTER'!$B29,'Parking Lots &amp; Playgrounds'!$A$9:$N$33,J$2,0)),0,VLOOKUP('Project Details by Yr - MASTER'!$B29,'Parking Lots &amp; Playgrounds'!$A$9:$N$33,J$2,0))+IF(ISNA(VLOOKUP($B29,Vehicles!$B$9:$O$50,J$2,0)),0,VLOOKUP($B29,Vehicles!$B$9:$O$50,J$2,0))</f>
        <v>0</v>
      </c>
      <c r="K29" s="8">
        <f>IF(ISNA(VLOOKUP($B29,'Other Capital Needs'!$C$51:$P$95,K$2,0)),0,VLOOKUP($B29,'Other Capital Needs'!$C$51:$P$95,K$2,0))+IF(ISNA(VLOOKUP('Project Details by Yr - MASTER'!$B29,'Public Grounds'!$A$11:$N$49,K$2,0)),0,VLOOKUP('Project Details by Yr - MASTER'!$B29,'Public Grounds'!$A$11:$N$49,K$2,0))+IF(ISNA(VLOOKUP('Project Details by Yr - MASTER'!$B29,'Public Buildings'!$A$10:$N$96,K$2,0)),0,VLOOKUP('Project Details by Yr - MASTER'!$B29,'Public Buildings'!$A$10:$N$96,K$2,0))+IF(ISNA(VLOOKUP('Project Details by Yr - MASTER'!$B29,Bridges!$A$9:$N$24,K$2,0)),0,VLOOKUP('Project Details by Yr - MASTER'!$B29,Bridges!$A$9:$N$24,K$2,0))+IF(ISNA(VLOOKUP('Project Details by Yr - MASTER'!$B29,'Parking Lots &amp; Playgrounds'!$A$9:$N$33,K$2,0)),0,VLOOKUP('Project Details by Yr - MASTER'!$B29,'Parking Lots &amp; Playgrounds'!$A$9:$N$33,K$2,0))+IF(ISNA(VLOOKUP($B29,Vehicles!$B$9:$O$50,K$2,0)),0,VLOOKUP($B29,Vehicles!$B$9:$O$50,K$2,0))</f>
        <v>0</v>
      </c>
    </row>
    <row r="30" spans="1:11" x14ac:dyDescent="0.25">
      <c r="A30" s="31">
        <v>32</v>
      </c>
      <c r="B30" s="26" t="s">
        <v>165</v>
      </c>
      <c r="C30" t="s">
        <v>101</v>
      </c>
      <c r="D30" t="s">
        <v>272</v>
      </c>
      <c r="E30" s="31" t="s">
        <v>16</v>
      </c>
      <c r="G30" s="8">
        <f>IF(ISNA(VLOOKUP($B30,'Other Capital Needs'!$C$51:$P$95,G$2,0)),0,VLOOKUP($B30,'Other Capital Needs'!$C$51:$P$95,G$2,0))+IF(ISNA(VLOOKUP('Project Details by Yr - MASTER'!$B30,'Public Grounds'!$A$11:$N$49,G$2,0)),0,VLOOKUP('Project Details by Yr - MASTER'!$B30,'Public Grounds'!$A$11:$N$49,G$2,0))+IF(ISNA(VLOOKUP('Project Details by Yr - MASTER'!$B30,'Public Buildings'!$A$10:$N$96,G$2,0)),0,VLOOKUP('Project Details by Yr - MASTER'!$B30,'Public Buildings'!$A$10:$N$96,G$2,0))+IF(ISNA(VLOOKUP('Project Details by Yr - MASTER'!$B30,Bridges!$A$9:$N$24,G$2,0)),0,VLOOKUP('Project Details by Yr - MASTER'!$B30,Bridges!$A$9:$N$24,G$2,0))+IF(ISNA(VLOOKUP('Project Details by Yr - MASTER'!$B30,'Parking Lots &amp; Playgrounds'!$A$9:$N$33,G$2,0)),0,VLOOKUP('Project Details by Yr - MASTER'!$B30,'Parking Lots &amp; Playgrounds'!$A$9:$N$33,G$2,0))+IF(ISNA(VLOOKUP($B30,Vehicles!$B$9:$O$50,G$2,0)),0,VLOOKUP($B30,Vehicles!$B$9:$O$50,G$2,0))</f>
        <v>0</v>
      </c>
      <c r="H30" s="8">
        <f>IF(ISNA(VLOOKUP($B30,'Other Capital Needs'!$C$51:$P$95,H$2,0)),0,VLOOKUP($B30,'Other Capital Needs'!$C$51:$P$95,H$2,0))+IF(ISNA(VLOOKUP('Project Details by Yr - MASTER'!$B30,'Public Grounds'!$A$11:$N$49,H$2,0)),0,VLOOKUP('Project Details by Yr - MASTER'!$B30,'Public Grounds'!$A$11:$N$49,H$2,0))+IF(ISNA(VLOOKUP('Project Details by Yr - MASTER'!$B30,'Public Buildings'!$A$10:$N$96,H$2,0)),0,VLOOKUP('Project Details by Yr - MASTER'!$B30,'Public Buildings'!$A$10:$N$96,H$2,0))+IF(ISNA(VLOOKUP('Project Details by Yr - MASTER'!$B30,Bridges!$A$9:$N$24,H$2,0)),0,VLOOKUP('Project Details by Yr - MASTER'!$B30,Bridges!$A$9:$N$24,H$2,0))+IF(ISNA(VLOOKUP('Project Details by Yr - MASTER'!$B30,'Parking Lots &amp; Playgrounds'!$A$9:$N$33,H$2,0)),0,VLOOKUP('Project Details by Yr - MASTER'!$B30,'Parking Lots &amp; Playgrounds'!$A$9:$N$33,H$2,0))+IF(ISNA(VLOOKUP($B30,Vehicles!$B$9:$O$50,H$2,0)),0,VLOOKUP($B30,Vehicles!$B$9:$O$50,H$2,0))</f>
        <v>0</v>
      </c>
      <c r="I30" s="8">
        <f>IF(ISNA(VLOOKUP($B30,'Other Capital Needs'!$C$51:$P$95,I$2,0)),0,VLOOKUP($B30,'Other Capital Needs'!$C$51:$P$95,I$2,0))+IF(ISNA(VLOOKUP('Project Details by Yr - MASTER'!$B30,'Public Grounds'!$A$11:$N$49,I$2,0)),0,VLOOKUP('Project Details by Yr - MASTER'!$B30,'Public Grounds'!$A$11:$N$49,I$2,0))+IF(ISNA(VLOOKUP('Project Details by Yr - MASTER'!$B30,'Public Buildings'!$A$10:$N$96,I$2,0)),0,VLOOKUP('Project Details by Yr - MASTER'!$B30,'Public Buildings'!$A$10:$N$96,I$2,0))+IF(ISNA(VLOOKUP('Project Details by Yr - MASTER'!$B30,Bridges!$A$9:$N$24,I$2,0)),0,VLOOKUP('Project Details by Yr - MASTER'!$B30,Bridges!$A$9:$N$24,I$2,0))+IF(ISNA(VLOOKUP('Project Details by Yr - MASTER'!$B30,'Parking Lots &amp; Playgrounds'!$A$9:$N$33,I$2,0)),0,VLOOKUP('Project Details by Yr - MASTER'!$B30,'Parking Lots &amp; Playgrounds'!$A$9:$N$33,I$2,0))+IF(ISNA(VLOOKUP($B30,Vehicles!$B$9:$O$50,I$2,0)),0,VLOOKUP($B30,Vehicles!$B$9:$O$50,I$2,0))</f>
        <v>0</v>
      </c>
      <c r="J30" s="8">
        <f>IF(ISNA(VLOOKUP($B30,'Other Capital Needs'!$C$51:$P$95,J$2,0)),0,VLOOKUP($B30,'Other Capital Needs'!$C$51:$P$95,J$2,0))+IF(ISNA(VLOOKUP('Project Details by Yr - MASTER'!$B30,'Public Grounds'!$A$11:$N$49,J$2,0)),0,VLOOKUP('Project Details by Yr - MASTER'!$B30,'Public Grounds'!$A$11:$N$49,J$2,0))+IF(ISNA(VLOOKUP('Project Details by Yr - MASTER'!$B30,'Public Buildings'!$A$10:$N$96,J$2,0)),0,VLOOKUP('Project Details by Yr - MASTER'!$B30,'Public Buildings'!$A$10:$N$96,J$2,0))+IF(ISNA(VLOOKUP('Project Details by Yr - MASTER'!$B30,Bridges!$A$9:$N$24,J$2,0)),0,VLOOKUP('Project Details by Yr - MASTER'!$B30,Bridges!$A$9:$N$24,J$2,0))+IF(ISNA(VLOOKUP('Project Details by Yr - MASTER'!$B30,'Parking Lots &amp; Playgrounds'!$A$9:$N$33,J$2,0)),0,VLOOKUP('Project Details by Yr - MASTER'!$B30,'Parking Lots &amp; Playgrounds'!$A$9:$N$33,J$2,0))+IF(ISNA(VLOOKUP($B30,Vehicles!$B$9:$O$50,J$2,0)),0,VLOOKUP($B30,Vehicles!$B$9:$O$50,J$2,0))</f>
        <v>0</v>
      </c>
      <c r="K30" s="8">
        <f>IF(ISNA(VLOOKUP($B30,'Other Capital Needs'!$C$51:$P$95,K$2,0)),0,VLOOKUP($B30,'Other Capital Needs'!$C$51:$P$95,K$2,0))+IF(ISNA(VLOOKUP('Project Details by Yr - MASTER'!$B30,'Public Grounds'!$A$11:$N$49,K$2,0)),0,VLOOKUP('Project Details by Yr - MASTER'!$B30,'Public Grounds'!$A$11:$N$49,K$2,0))+IF(ISNA(VLOOKUP('Project Details by Yr - MASTER'!$B30,'Public Buildings'!$A$10:$N$96,K$2,0)),0,VLOOKUP('Project Details by Yr - MASTER'!$B30,'Public Buildings'!$A$10:$N$96,K$2,0))+IF(ISNA(VLOOKUP('Project Details by Yr - MASTER'!$B30,Bridges!$A$9:$N$24,K$2,0)),0,VLOOKUP('Project Details by Yr - MASTER'!$B30,Bridges!$A$9:$N$24,K$2,0))+IF(ISNA(VLOOKUP('Project Details by Yr - MASTER'!$B30,'Parking Lots &amp; Playgrounds'!$A$9:$N$33,K$2,0)),0,VLOOKUP('Project Details by Yr - MASTER'!$B30,'Parking Lots &amp; Playgrounds'!$A$9:$N$33,K$2,0))+IF(ISNA(VLOOKUP($B30,Vehicles!$B$9:$O$50,K$2,0)),0,VLOOKUP($B30,Vehicles!$B$9:$O$50,K$2,0))</f>
        <v>0</v>
      </c>
    </row>
    <row r="31" spans="1:11" x14ac:dyDescent="0.25">
      <c r="A31" s="31">
        <v>32</v>
      </c>
      <c r="B31" s="26" t="s">
        <v>166</v>
      </c>
      <c r="C31" t="s">
        <v>101</v>
      </c>
      <c r="D31" t="s">
        <v>272</v>
      </c>
      <c r="E31" s="31" t="s">
        <v>16</v>
      </c>
      <c r="G31" s="8">
        <f>IF(ISNA(VLOOKUP($B31,'Other Capital Needs'!$C$51:$P$95,G$2,0)),0,VLOOKUP($B31,'Other Capital Needs'!$C$51:$P$95,G$2,0))+IF(ISNA(VLOOKUP('Project Details by Yr - MASTER'!$B31,'Public Grounds'!$A$11:$N$49,G$2,0)),0,VLOOKUP('Project Details by Yr - MASTER'!$B31,'Public Grounds'!$A$11:$N$49,G$2,0))+IF(ISNA(VLOOKUP('Project Details by Yr - MASTER'!$B31,'Public Buildings'!$A$10:$N$96,G$2,0)),0,VLOOKUP('Project Details by Yr - MASTER'!$B31,'Public Buildings'!$A$10:$N$96,G$2,0))+IF(ISNA(VLOOKUP('Project Details by Yr - MASTER'!$B31,Bridges!$A$9:$N$24,G$2,0)),0,VLOOKUP('Project Details by Yr - MASTER'!$B31,Bridges!$A$9:$N$24,G$2,0))+IF(ISNA(VLOOKUP('Project Details by Yr - MASTER'!$B31,'Parking Lots &amp; Playgrounds'!$A$9:$N$33,G$2,0)),0,VLOOKUP('Project Details by Yr - MASTER'!$B31,'Parking Lots &amp; Playgrounds'!$A$9:$N$33,G$2,0))+IF(ISNA(VLOOKUP($B31,Vehicles!$B$9:$O$50,G$2,0)),0,VLOOKUP($B31,Vehicles!$B$9:$O$50,G$2,0))</f>
        <v>0</v>
      </c>
      <c r="H31" s="8">
        <f>IF(ISNA(VLOOKUP($B31,'Other Capital Needs'!$C$51:$P$95,H$2,0)),0,VLOOKUP($B31,'Other Capital Needs'!$C$51:$P$95,H$2,0))+IF(ISNA(VLOOKUP('Project Details by Yr - MASTER'!$B31,'Public Grounds'!$A$11:$N$49,H$2,0)),0,VLOOKUP('Project Details by Yr - MASTER'!$B31,'Public Grounds'!$A$11:$N$49,H$2,0))+IF(ISNA(VLOOKUP('Project Details by Yr - MASTER'!$B31,'Public Buildings'!$A$10:$N$96,H$2,0)),0,VLOOKUP('Project Details by Yr - MASTER'!$B31,'Public Buildings'!$A$10:$N$96,H$2,0))+IF(ISNA(VLOOKUP('Project Details by Yr - MASTER'!$B31,Bridges!$A$9:$N$24,H$2,0)),0,VLOOKUP('Project Details by Yr - MASTER'!$B31,Bridges!$A$9:$N$24,H$2,0))+IF(ISNA(VLOOKUP('Project Details by Yr - MASTER'!$B31,'Parking Lots &amp; Playgrounds'!$A$9:$N$33,H$2,0)),0,VLOOKUP('Project Details by Yr - MASTER'!$B31,'Parking Lots &amp; Playgrounds'!$A$9:$N$33,H$2,0))+IF(ISNA(VLOOKUP($B31,Vehicles!$B$9:$O$50,H$2,0)),0,VLOOKUP($B31,Vehicles!$B$9:$O$50,H$2,0))</f>
        <v>0</v>
      </c>
      <c r="I31" s="8">
        <f>IF(ISNA(VLOOKUP($B31,'Other Capital Needs'!$C$51:$P$95,I$2,0)),0,VLOOKUP($B31,'Other Capital Needs'!$C$51:$P$95,I$2,0))+IF(ISNA(VLOOKUP('Project Details by Yr - MASTER'!$B31,'Public Grounds'!$A$11:$N$49,I$2,0)),0,VLOOKUP('Project Details by Yr - MASTER'!$B31,'Public Grounds'!$A$11:$N$49,I$2,0))+IF(ISNA(VLOOKUP('Project Details by Yr - MASTER'!$B31,'Public Buildings'!$A$10:$N$96,I$2,0)),0,VLOOKUP('Project Details by Yr - MASTER'!$B31,'Public Buildings'!$A$10:$N$96,I$2,0))+IF(ISNA(VLOOKUP('Project Details by Yr - MASTER'!$B31,Bridges!$A$9:$N$24,I$2,0)),0,VLOOKUP('Project Details by Yr - MASTER'!$B31,Bridges!$A$9:$N$24,I$2,0))+IF(ISNA(VLOOKUP('Project Details by Yr - MASTER'!$B31,'Parking Lots &amp; Playgrounds'!$A$9:$N$33,I$2,0)),0,VLOOKUP('Project Details by Yr - MASTER'!$B31,'Parking Lots &amp; Playgrounds'!$A$9:$N$33,I$2,0))+IF(ISNA(VLOOKUP($B31,Vehicles!$B$9:$O$50,I$2,0)),0,VLOOKUP($B31,Vehicles!$B$9:$O$50,I$2,0))</f>
        <v>0</v>
      </c>
      <c r="J31" s="8">
        <f>IF(ISNA(VLOOKUP($B31,'Other Capital Needs'!$C$51:$P$95,J$2,0)),0,VLOOKUP($B31,'Other Capital Needs'!$C$51:$P$95,J$2,0))+IF(ISNA(VLOOKUP('Project Details by Yr - MASTER'!$B31,'Public Grounds'!$A$11:$N$49,J$2,0)),0,VLOOKUP('Project Details by Yr - MASTER'!$B31,'Public Grounds'!$A$11:$N$49,J$2,0))+IF(ISNA(VLOOKUP('Project Details by Yr - MASTER'!$B31,'Public Buildings'!$A$10:$N$96,J$2,0)),0,VLOOKUP('Project Details by Yr - MASTER'!$B31,'Public Buildings'!$A$10:$N$96,J$2,0))+IF(ISNA(VLOOKUP('Project Details by Yr - MASTER'!$B31,Bridges!$A$9:$N$24,J$2,0)),0,VLOOKUP('Project Details by Yr - MASTER'!$B31,Bridges!$A$9:$N$24,J$2,0))+IF(ISNA(VLOOKUP('Project Details by Yr - MASTER'!$B31,'Parking Lots &amp; Playgrounds'!$A$9:$N$33,J$2,0)),0,VLOOKUP('Project Details by Yr - MASTER'!$B31,'Parking Lots &amp; Playgrounds'!$A$9:$N$33,J$2,0))+IF(ISNA(VLOOKUP($B31,Vehicles!$B$9:$O$50,J$2,0)),0,VLOOKUP($B31,Vehicles!$B$9:$O$50,J$2,0))</f>
        <v>0</v>
      </c>
      <c r="K31" s="8">
        <f>IF(ISNA(VLOOKUP($B31,'Other Capital Needs'!$C$51:$P$95,K$2,0)),0,VLOOKUP($B31,'Other Capital Needs'!$C$51:$P$95,K$2,0))+IF(ISNA(VLOOKUP('Project Details by Yr - MASTER'!$B31,'Public Grounds'!$A$11:$N$49,K$2,0)),0,VLOOKUP('Project Details by Yr - MASTER'!$B31,'Public Grounds'!$A$11:$N$49,K$2,0))+IF(ISNA(VLOOKUP('Project Details by Yr - MASTER'!$B31,'Public Buildings'!$A$10:$N$96,K$2,0)),0,VLOOKUP('Project Details by Yr - MASTER'!$B31,'Public Buildings'!$A$10:$N$96,K$2,0))+IF(ISNA(VLOOKUP('Project Details by Yr - MASTER'!$B31,Bridges!$A$9:$N$24,K$2,0)),0,VLOOKUP('Project Details by Yr - MASTER'!$B31,Bridges!$A$9:$N$24,K$2,0))+IF(ISNA(VLOOKUP('Project Details by Yr - MASTER'!$B31,'Parking Lots &amp; Playgrounds'!$A$9:$N$33,K$2,0)),0,VLOOKUP('Project Details by Yr - MASTER'!$B31,'Parking Lots &amp; Playgrounds'!$A$9:$N$33,K$2,0))+IF(ISNA(VLOOKUP($B31,Vehicles!$B$9:$O$50,K$2,0)),0,VLOOKUP($B31,Vehicles!$B$9:$O$50,K$2,0))</f>
        <v>0</v>
      </c>
    </row>
    <row r="32" spans="1:11" x14ac:dyDescent="0.25">
      <c r="A32" s="31">
        <v>32</v>
      </c>
      <c r="B32" s="26" t="s">
        <v>167</v>
      </c>
      <c r="C32" t="s">
        <v>101</v>
      </c>
      <c r="D32" t="s">
        <v>272</v>
      </c>
      <c r="E32" s="31" t="s">
        <v>16</v>
      </c>
      <c r="G32" s="8">
        <f>IF(ISNA(VLOOKUP($B32,'Other Capital Needs'!$C$51:$P$95,G$2,0)),0,VLOOKUP($B32,'Other Capital Needs'!$C$51:$P$95,G$2,0))+IF(ISNA(VLOOKUP('Project Details by Yr - MASTER'!$B32,'Public Grounds'!$A$11:$N$49,G$2,0)),0,VLOOKUP('Project Details by Yr - MASTER'!$B32,'Public Grounds'!$A$11:$N$49,G$2,0))+IF(ISNA(VLOOKUP('Project Details by Yr - MASTER'!$B32,'Public Buildings'!$A$10:$N$96,G$2,0)),0,VLOOKUP('Project Details by Yr - MASTER'!$B32,'Public Buildings'!$A$10:$N$96,G$2,0))+IF(ISNA(VLOOKUP('Project Details by Yr - MASTER'!$B32,Bridges!$A$9:$N$24,G$2,0)),0,VLOOKUP('Project Details by Yr - MASTER'!$B32,Bridges!$A$9:$N$24,G$2,0))+IF(ISNA(VLOOKUP('Project Details by Yr - MASTER'!$B32,'Parking Lots &amp; Playgrounds'!$A$9:$N$33,G$2,0)),0,VLOOKUP('Project Details by Yr - MASTER'!$B32,'Parking Lots &amp; Playgrounds'!$A$9:$N$33,G$2,0))+IF(ISNA(VLOOKUP($B32,Vehicles!$B$9:$O$50,G$2,0)),0,VLOOKUP($B32,Vehicles!$B$9:$O$50,G$2,0))</f>
        <v>0</v>
      </c>
      <c r="H32" s="8">
        <f>IF(ISNA(VLOOKUP($B32,'Other Capital Needs'!$C$51:$P$95,H$2,0)),0,VLOOKUP($B32,'Other Capital Needs'!$C$51:$P$95,H$2,0))+IF(ISNA(VLOOKUP('Project Details by Yr - MASTER'!$B32,'Public Grounds'!$A$11:$N$49,H$2,0)),0,VLOOKUP('Project Details by Yr - MASTER'!$B32,'Public Grounds'!$A$11:$N$49,H$2,0))+IF(ISNA(VLOOKUP('Project Details by Yr - MASTER'!$B32,'Public Buildings'!$A$10:$N$96,H$2,0)),0,VLOOKUP('Project Details by Yr - MASTER'!$B32,'Public Buildings'!$A$10:$N$96,H$2,0))+IF(ISNA(VLOOKUP('Project Details by Yr - MASTER'!$B32,Bridges!$A$9:$N$24,H$2,0)),0,VLOOKUP('Project Details by Yr - MASTER'!$B32,Bridges!$A$9:$N$24,H$2,0))+IF(ISNA(VLOOKUP('Project Details by Yr - MASTER'!$B32,'Parking Lots &amp; Playgrounds'!$A$9:$N$33,H$2,0)),0,VLOOKUP('Project Details by Yr - MASTER'!$B32,'Parking Lots &amp; Playgrounds'!$A$9:$N$33,H$2,0))+IF(ISNA(VLOOKUP($B32,Vehicles!$B$9:$O$50,H$2,0)),0,VLOOKUP($B32,Vehicles!$B$9:$O$50,H$2,0))</f>
        <v>0</v>
      </c>
      <c r="I32" s="8">
        <f>IF(ISNA(VLOOKUP($B32,'Other Capital Needs'!$C$51:$P$95,I$2,0)),0,VLOOKUP($B32,'Other Capital Needs'!$C$51:$P$95,I$2,0))+IF(ISNA(VLOOKUP('Project Details by Yr - MASTER'!$B32,'Public Grounds'!$A$11:$N$49,I$2,0)),0,VLOOKUP('Project Details by Yr - MASTER'!$B32,'Public Grounds'!$A$11:$N$49,I$2,0))+IF(ISNA(VLOOKUP('Project Details by Yr - MASTER'!$B32,'Public Buildings'!$A$10:$N$96,I$2,0)),0,VLOOKUP('Project Details by Yr - MASTER'!$B32,'Public Buildings'!$A$10:$N$96,I$2,0))+IF(ISNA(VLOOKUP('Project Details by Yr - MASTER'!$B32,Bridges!$A$9:$N$24,I$2,0)),0,VLOOKUP('Project Details by Yr - MASTER'!$B32,Bridges!$A$9:$N$24,I$2,0))+IF(ISNA(VLOOKUP('Project Details by Yr - MASTER'!$B32,'Parking Lots &amp; Playgrounds'!$A$9:$N$33,I$2,0)),0,VLOOKUP('Project Details by Yr - MASTER'!$B32,'Parking Lots &amp; Playgrounds'!$A$9:$N$33,I$2,0))+IF(ISNA(VLOOKUP($B32,Vehicles!$B$9:$O$50,I$2,0)),0,VLOOKUP($B32,Vehicles!$B$9:$O$50,I$2,0))</f>
        <v>0</v>
      </c>
      <c r="J32" s="8">
        <f>IF(ISNA(VLOOKUP($B32,'Other Capital Needs'!$C$51:$P$95,J$2,0)),0,VLOOKUP($B32,'Other Capital Needs'!$C$51:$P$95,J$2,0))+IF(ISNA(VLOOKUP('Project Details by Yr - MASTER'!$B32,'Public Grounds'!$A$11:$N$49,J$2,0)),0,VLOOKUP('Project Details by Yr - MASTER'!$B32,'Public Grounds'!$A$11:$N$49,J$2,0))+IF(ISNA(VLOOKUP('Project Details by Yr - MASTER'!$B32,'Public Buildings'!$A$10:$N$96,J$2,0)),0,VLOOKUP('Project Details by Yr - MASTER'!$B32,'Public Buildings'!$A$10:$N$96,J$2,0))+IF(ISNA(VLOOKUP('Project Details by Yr - MASTER'!$B32,Bridges!$A$9:$N$24,J$2,0)),0,VLOOKUP('Project Details by Yr - MASTER'!$B32,Bridges!$A$9:$N$24,J$2,0))+IF(ISNA(VLOOKUP('Project Details by Yr - MASTER'!$B32,'Parking Lots &amp; Playgrounds'!$A$9:$N$33,J$2,0)),0,VLOOKUP('Project Details by Yr - MASTER'!$B32,'Parking Lots &amp; Playgrounds'!$A$9:$N$33,J$2,0))+IF(ISNA(VLOOKUP($B32,Vehicles!$B$9:$O$50,J$2,0)),0,VLOOKUP($B32,Vehicles!$B$9:$O$50,J$2,0))</f>
        <v>0</v>
      </c>
      <c r="K32" s="8">
        <f>IF(ISNA(VLOOKUP($B32,'Other Capital Needs'!$C$51:$P$95,K$2,0)),0,VLOOKUP($B32,'Other Capital Needs'!$C$51:$P$95,K$2,0))+IF(ISNA(VLOOKUP('Project Details by Yr - MASTER'!$B32,'Public Grounds'!$A$11:$N$49,K$2,0)),0,VLOOKUP('Project Details by Yr - MASTER'!$B32,'Public Grounds'!$A$11:$N$49,K$2,0))+IF(ISNA(VLOOKUP('Project Details by Yr - MASTER'!$B32,'Public Buildings'!$A$10:$N$96,K$2,0)),0,VLOOKUP('Project Details by Yr - MASTER'!$B32,'Public Buildings'!$A$10:$N$96,K$2,0))+IF(ISNA(VLOOKUP('Project Details by Yr - MASTER'!$B32,Bridges!$A$9:$N$24,K$2,0)),0,VLOOKUP('Project Details by Yr - MASTER'!$B32,Bridges!$A$9:$N$24,K$2,0))+IF(ISNA(VLOOKUP('Project Details by Yr - MASTER'!$B32,'Parking Lots &amp; Playgrounds'!$A$9:$N$33,K$2,0)),0,VLOOKUP('Project Details by Yr - MASTER'!$B32,'Parking Lots &amp; Playgrounds'!$A$9:$N$33,K$2,0))+IF(ISNA(VLOOKUP($B32,Vehicles!$B$9:$O$50,K$2,0)),0,VLOOKUP($B32,Vehicles!$B$9:$O$50,K$2,0))</f>
        <v>0</v>
      </c>
    </row>
    <row r="33" spans="1:11" x14ac:dyDescent="0.25">
      <c r="A33" s="31">
        <v>32</v>
      </c>
      <c r="B33" s="26" t="s">
        <v>168</v>
      </c>
      <c r="C33" t="s">
        <v>101</v>
      </c>
      <c r="D33" t="s">
        <v>272</v>
      </c>
      <c r="E33" s="31" t="s">
        <v>16</v>
      </c>
      <c r="G33" s="8">
        <f>IF(ISNA(VLOOKUP($B33,'Other Capital Needs'!$C$51:$P$95,G$2,0)),0,VLOOKUP($B33,'Other Capital Needs'!$C$51:$P$95,G$2,0))+IF(ISNA(VLOOKUP('Project Details by Yr - MASTER'!$B33,'Public Grounds'!$A$11:$N$49,G$2,0)),0,VLOOKUP('Project Details by Yr - MASTER'!$B33,'Public Grounds'!$A$11:$N$49,G$2,0))+IF(ISNA(VLOOKUP('Project Details by Yr - MASTER'!$B33,'Public Buildings'!$A$10:$N$96,G$2,0)),0,VLOOKUP('Project Details by Yr - MASTER'!$B33,'Public Buildings'!$A$10:$N$96,G$2,0))+IF(ISNA(VLOOKUP('Project Details by Yr - MASTER'!$B33,Bridges!$A$9:$N$24,G$2,0)),0,VLOOKUP('Project Details by Yr - MASTER'!$B33,Bridges!$A$9:$N$24,G$2,0))+IF(ISNA(VLOOKUP('Project Details by Yr - MASTER'!$B33,'Parking Lots &amp; Playgrounds'!$A$9:$N$33,G$2,0)),0,VLOOKUP('Project Details by Yr - MASTER'!$B33,'Parking Lots &amp; Playgrounds'!$A$9:$N$33,G$2,0))+IF(ISNA(VLOOKUP($B33,Vehicles!$B$9:$O$50,G$2,0)),0,VLOOKUP($B33,Vehicles!$B$9:$O$50,G$2,0))</f>
        <v>0</v>
      </c>
      <c r="H33" s="8">
        <f>IF(ISNA(VLOOKUP($B33,'Other Capital Needs'!$C$51:$P$95,H$2,0)),0,VLOOKUP($B33,'Other Capital Needs'!$C$51:$P$95,H$2,0))+IF(ISNA(VLOOKUP('Project Details by Yr - MASTER'!$B33,'Public Grounds'!$A$11:$N$49,H$2,0)),0,VLOOKUP('Project Details by Yr - MASTER'!$B33,'Public Grounds'!$A$11:$N$49,H$2,0))+IF(ISNA(VLOOKUP('Project Details by Yr - MASTER'!$B33,'Public Buildings'!$A$10:$N$96,H$2,0)),0,VLOOKUP('Project Details by Yr - MASTER'!$B33,'Public Buildings'!$A$10:$N$96,H$2,0))+IF(ISNA(VLOOKUP('Project Details by Yr - MASTER'!$B33,Bridges!$A$9:$N$24,H$2,0)),0,VLOOKUP('Project Details by Yr - MASTER'!$B33,Bridges!$A$9:$N$24,H$2,0))+IF(ISNA(VLOOKUP('Project Details by Yr - MASTER'!$B33,'Parking Lots &amp; Playgrounds'!$A$9:$N$33,H$2,0)),0,VLOOKUP('Project Details by Yr - MASTER'!$B33,'Parking Lots &amp; Playgrounds'!$A$9:$N$33,H$2,0))+IF(ISNA(VLOOKUP($B33,Vehicles!$B$9:$O$50,H$2,0)),0,VLOOKUP($B33,Vehicles!$B$9:$O$50,H$2,0))</f>
        <v>0</v>
      </c>
      <c r="I33" s="8">
        <f>IF(ISNA(VLOOKUP($B33,'Other Capital Needs'!$C$51:$P$95,I$2,0)),0,VLOOKUP($B33,'Other Capital Needs'!$C$51:$P$95,I$2,0))+IF(ISNA(VLOOKUP('Project Details by Yr - MASTER'!$B33,'Public Grounds'!$A$11:$N$49,I$2,0)),0,VLOOKUP('Project Details by Yr - MASTER'!$B33,'Public Grounds'!$A$11:$N$49,I$2,0))+IF(ISNA(VLOOKUP('Project Details by Yr - MASTER'!$B33,'Public Buildings'!$A$10:$N$96,I$2,0)),0,VLOOKUP('Project Details by Yr - MASTER'!$B33,'Public Buildings'!$A$10:$N$96,I$2,0))+IF(ISNA(VLOOKUP('Project Details by Yr - MASTER'!$B33,Bridges!$A$9:$N$24,I$2,0)),0,VLOOKUP('Project Details by Yr - MASTER'!$B33,Bridges!$A$9:$N$24,I$2,0))+IF(ISNA(VLOOKUP('Project Details by Yr - MASTER'!$B33,'Parking Lots &amp; Playgrounds'!$A$9:$N$33,I$2,0)),0,VLOOKUP('Project Details by Yr - MASTER'!$B33,'Parking Lots &amp; Playgrounds'!$A$9:$N$33,I$2,0))+IF(ISNA(VLOOKUP($B33,Vehicles!$B$9:$O$50,I$2,0)),0,VLOOKUP($B33,Vehicles!$B$9:$O$50,I$2,0))</f>
        <v>0</v>
      </c>
      <c r="J33" s="8">
        <f>IF(ISNA(VLOOKUP($B33,'Other Capital Needs'!$C$51:$P$95,J$2,0)),0,VLOOKUP($B33,'Other Capital Needs'!$C$51:$P$95,J$2,0))+IF(ISNA(VLOOKUP('Project Details by Yr - MASTER'!$B33,'Public Grounds'!$A$11:$N$49,J$2,0)),0,VLOOKUP('Project Details by Yr - MASTER'!$B33,'Public Grounds'!$A$11:$N$49,J$2,0))+IF(ISNA(VLOOKUP('Project Details by Yr - MASTER'!$B33,'Public Buildings'!$A$10:$N$96,J$2,0)),0,VLOOKUP('Project Details by Yr - MASTER'!$B33,'Public Buildings'!$A$10:$N$96,J$2,0))+IF(ISNA(VLOOKUP('Project Details by Yr - MASTER'!$B33,Bridges!$A$9:$N$24,J$2,0)),0,VLOOKUP('Project Details by Yr - MASTER'!$B33,Bridges!$A$9:$N$24,J$2,0))+IF(ISNA(VLOOKUP('Project Details by Yr - MASTER'!$B33,'Parking Lots &amp; Playgrounds'!$A$9:$N$33,J$2,0)),0,VLOOKUP('Project Details by Yr - MASTER'!$B33,'Parking Lots &amp; Playgrounds'!$A$9:$N$33,J$2,0))+IF(ISNA(VLOOKUP($B33,Vehicles!$B$9:$O$50,J$2,0)),0,VLOOKUP($B33,Vehicles!$B$9:$O$50,J$2,0))</f>
        <v>0</v>
      </c>
      <c r="K33" s="8">
        <f>IF(ISNA(VLOOKUP($B33,'Other Capital Needs'!$C$51:$P$95,K$2,0)),0,VLOOKUP($B33,'Other Capital Needs'!$C$51:$P$95,K$2,0))+IF(ISNA(VLOOKUP('Project Details by Yr - MASTER'!$B33,'Public Grounds'!$A$11:$N$49,K$2,0)),0,VLOOKUP('Project Details by Yr - MASTER'!$B33,'Public Grounds'!$A$11:$N$49,K$2,0))+IF(ISNA(VLOOKUP('Project Details by Yr - MASTER'!$B33,'Public Buildings'!$A$10:$N$96,K$2,0)),0,VLOOKUP('Project Details by Yr - MASTER'!$B33,'Public Buildings'!$A$10:$N$96,K$2,0))+IF(ISNA(VLOOKUP('Project Details by Yr - MASTER'!$B33,Bridges!$A$9:$N$24,K$2,0)),0,VLOOKUP('Project Details by Yr - MASTER'!$B33,Bridges!$A$9:$N$24,K$2,0))+IF(ISNA(VLOOKUP('Project Details by Yr - MASTER'!$B33,'Parking Lots &amp; Playgrounds'!$A$9:$N$33,K$2,0)),0,VLOOKUP('Project Details by Yr - MASTER'!$B33,'Parking Lots &amp; Playgrounds'!$A$9:$N$33,K$2,0))+IF(ISNA(VLOOKUP($B33,Vehicles!$B$9:$O$50,K$2,0)),0,VLOOKUP($B33,Vehicles!$B$9:$O$50,K$2,0))</f>
        <v>0</v>
      </c>
    </row>
    <row r="34" spans="1:11" x14ac:dyDescent="0.25">
      <c r="A34" s="31">
        <v>32</v>
      </c>
      <c r="B34" s="26" t="s">
        <v>169</v>
      </c>
      <c r="C34" t="s">
        <v>101</v>
      </c>
      <c r="D34" t="s">
        <v>272</v>
      </c>
      <c r="E34" s="31" t="s">
        <v>16</v>
      </c>
      <c r="G34" s="8">
        <f>IF(ISNA(VLOOKUP($B34,'Other Capital Needs'!$C$51:$P$95,G$2,0)),0,VLOOKUP($B34,'Other Capital Needs'!$C$51:$P$95,G$2,0))+IF(ISNA(VLOOKUP('Project Details by Yr - MASTER'!$B34,'Public Grounds'!$A$11:$N$49,G$2,0)),0,VLOOKUP('Project Details by Yr - MASTER'!$B34,'Public Grounds'!$A$11:$N$49,G$2,0))+IF(ISNA(VLOOKUP('Project Details by Yr - MASTER'!$B34,'Public Buildings'!$A$10:$N$96,G$2,0)),0,VLOOKUP('Project Details by Yr - MASTER'!$B34,'Public Buildings'!$A$10:$N$96,G$2,0))+IF(ISNA(VLOOKUP('Project Details by Yr - MASTER'!$B34,Bridges!$A$9:$N$24,G$2,0)),0,VLOOKUP('Project Details by Yr - MASTER'!$B34,Bridges!$A$9:$N$24,G$2,0))+IF(ISNA(VLOOKUP('Project Details by Yr - MASTER'!$B34,'Parking Lots &amp; Playgrounds'!$A$9:$N$33,G$2,0)),0,VLOOKUP('Project Details by Yr - MASTER'!$B34,'Parking Lots &amp; Playgrounds'!$A$9:$N$33,G$2,0))+IF(ISNA(VLOOKUP($B34,Vehicles!$B$9:$O$50,G$2,0)),0,VLOOKUP($B34,Vehicles!$B$9:$O$50,G$2,0))</f>
        <v>0</v>
      </c>
      <c r="H34" s="8">
        <f>IF(ISNA(VLOOKUP($B34,'Other Capital Needs'!$C$51:$P$95,H$2,0)),0,VLOOKUP($B34,'Other Capital Needs'!$C$51:$P$95,H$2,0))+IF(ISNA(VLOOKUP('Project Details by Yr - MASTER'!$B34,'Public Grounds'!$A$11:$N$49,H$2,0)),0,VLOOKUP('Project Details by Yr - MASTER'!$B34,'Public Grounds'!$A$11:$N$49,H$2,0))+IF(ISNA(VLOOKUP('Project Details by Yr - MASTER'!$B34,'Public Buildings'!$A$10:$N$96,H$2,0)),0,VLOOKUP('Project Details by Yr - MASTER'!$B34,'Public Buildings'!$A$10:$N$96,H$2,0))+IF(ISNA(VLOOKUP('Project Details by Yr - MASTER'!$B34,Bridges!$A$9:$N$24,H$2,0)),0,VLOOKUP('Project Details by Yr - MASTER'!$B34,Bridges!$A$9:$N$24,H$2,0))+IF(ISNA(VLOOKUP('Project Details by Yr - MASTER'!$B34,'Parking Lots &amp; Playgrounds'!$A$9:$N$33,H$2,0)),0,VLOOKUP('Project Details by Yr - MASTER'!$B34,'Parking Lots &amp; Playgrounds'!$A$9:$N$33,H$2,0))+IF(ISNA(VLOOKUP($B34,Vehicles!$B$9:$O$50,H$2,0)),0,VLOOKUP($B34,Vehicles!$B$9:$O$50,H$2,0))</f>
        <v>0</v>
      </c>
      <c r="I34" s="8">
        <f>IF(ISNA(VLOOKUP($B34,'Other Capital Needs'!$C$51:$P$95,I$2,0)),0,VLOOKUP($B34,'Other Capital Needs'!$C$51:$P$95,I$2,0))+IF(ISNA(VLOOKUP('Project Details by Yr - MASTER'!$B34,'Public Grounds'!$A$11:$N$49,I$2,0)),0,VLOOKUP('Project Details by Yr - MASTER'!$B34,'Public Grounds'!$A$11:$N$49,I$2,0))+IF(ISNA(VLOOKUP('Project Details by Yr - MASTER'!$B34,'Public Buildings'!$A$10:$N$96,I$2,0)),0,VLOOKUP('Project Details by Yr - MASTER'!$B34,'Public Buildings'!$A$10:$N$96,I$2,0))+IF(ISNA(VLOOKUP('Project Details by Yr - MASTER'!$B34,Bridges!$A$9:$N$24,I$2,0)),0,VLOOKUP('Project Details by Yr - MASTER'!$B34,Bridges!$A$9:$N$24,I$2,0))+IF(ISNA(VLOOKUP('Project Details by Yr - MASTER'!$B34,'Parking Lots &amp; Playgrounds'!$A$9:$N$33,I$2,0)),0,VLOOKUP('Project Details by Yr - MASTER'!$B34,'Parking Lots &amp; Playgrounds'!$A$9:$N$33,I$2,0))+IF(ISNA(VLOOKUP($B34,Vehicles!$B$9:$O$50,I$2,0)),0,VLOOKUP($B34,Vehicles!$B$9:$O$50,I$2,0))</f>
        <v>0</v>
      </c>
      <c r="J34" s="8">
        <f>IF(ISNA(VLOOKUP($B34,'Other Capital Needs'!$C$51:$P$95,J$2,0)),0,VLOOKUP($B34,'Other Capital Needs'!$C$51:$P$95,J$2,0))+IF(ISNA(VLOOKUP('Project Details by Yr - MASTER'!$B34,'Public Grounds'!$A$11:$N$49,J$2,0)),0,VLOOKUP('Project Details by Yr - MASTER'!$B34,'Public Grounds'!$A$11:$N$49,J$2,0))+IF(ISNA(VLOOKUP('Project Details by Yr - MASTER'!$B34,'Public Buildings'!$A$10:$N$96,J$2,0)),0,VLOOKUP('Project Details by Yr - MASTER'!$B34,'Public Buildings'!$A$10:$N$96,J$2,0))+IF(ISNA(VLOOKUP('Project Details by Yr - MASTER'!$B34,Bridges!$A$9:$N$24,J$2,0)),0,VLOOKUP('Project Details by Yr - MASTER'!$B34,Bridges!$A$9:$N$24,J$2,0))+IF(ISNA(VLOOKUP('Project Details by Yr - MASTER'!$B34,'Parking Lots &amp; Playgrounds'!$A$9:$N$33,J$2,0)),0,VLOOKUP('Project Details by Yr - MASTER'!$B34,'Parking Lots &amp; Playgrounds'!$A$9:$N$33,J$2,0))+IF(ISNA(VLOOKUP($B34,Vehicles!$B$9:$O$50,J$2,0)),0,VLOOKUP($B34,Vehicles!$B$9:$O$50,J$2,0))</f>
        <v>0</v>
      </c>
      <c r="K34" s="8">
        <f>IF(ISNA(VLOOKUP($B34,'Other Capital Needs'!$C$51:$P$95,K$2,0)),0,VLOOKUP($B34,'Other Capital Needs'!$C$51:$P$95,K$2,0))+IF(ISNA(VLOOKUP('Project Details by Yr - MASTER'!$B34,'Public Grounds'!$A$11:$N$49,K$2,0)),0,VLOOKUP('Project Details by Yr - MASTER'!$B34,'Public Grounds'!$A$11:$N$49,K$2,0))+IF(ISNA(VLOOKUP('Project Details by Yr - MASTER'!$B34,'Public Buildings'!$A$10:$N$96,K$2,0)),0,VLOOKUP('Project Details by Yr - MASTER'!$B34,'Public Buildings'!$A$10:$N$96,K$2,0))+IF(ISNA(VLOOKUP('Project Details by Yr - MASTER'!$B34,Bridges!$A$9:$N$24,K$2,0)),0,VLOOKUP('Project Details by Yr - MASTER'!$B34,Bridges!$A$9:$N$24,K$2,0))+IF(ISNA(VLOOKUP('Project Details by Yr - MASTER'!$B34,'Parking Lots &amp; Playgrounds'!$A$9:$N$33,K$2,0)),0,VLOOKUP('Project Details by Yr - MASTER'!$B34,'Parking Lots &amp; Playgrounds'!$A$9:$N$33,K$2,0))+IF(ISNA(VLOOKUP($B34,Vehicles!$B$9:$O$50,K$2,0)),0,VLOOKUP($B34,Vehicles!$B$9:$O$50,K$2,0))</f>
        <v>0</v>
      </c>
    </row>
    <row r="35" spans="1:11" x14ac:dyDescent="0.25">
      <c r="A35" s="31">
        <v>32</v>
      </c>
      <c r="B35" s="26" t="s">
        <v>170</v>
      </c>
      <c r="C35" t="s">
        <v>101</v>
      </c>
      <c r="D35" t="s">
        <v>272</v>
      </c>
      <c r="E35" s="31" t="s">
        <v>16</v>
      </c>
      <c r="G35" s="8">
        <f>IF(ISNA(VLOOKUP($B35,'Other Capital Needs'!$C$51:$P$95,G$2,0)),0,VLOOKUP($B35,'Other Capital Needs'!$C$51:$P$95,G$2,0))+IF(ISNA(VLOOKUP('Project Details by Yr - MASTER'!$B35,'Public Grounds'!$A$11:$N$49,G$2,0)),0,VLOOKUP('Project Details by Yr - MASTER'!$B35,'Public Grounds'!$A$11:$N$49,G$2,0))+IF(ISNA(VLOOKUP('Project Details by Yr - MASTER'!$B35,'Public Buildings'!$A$10:$N$96,G$2,0)),0,VLOOKUP('Project Details by Yr - MASTER'!$B35,'Public Buildings'!$A$10:$N$96,G$2,0))+IF(ISNA(VLOOKUP('Project Details by Yr - MASTER'!$B35,Bridges!$A$9:$N$24,G$2,0)),0,VLOOKUP('Project Details by Yr - MASTER'!$B35,Bridges!$A$9:$N$24,G$2,0))+IF(ISNA(VLOOKUP('Project Details by Yr - MASTER'!$B35,'Parking Lots &amp; Playgrounds'!$A$9:$N$33,G$2,0)),0,VLOOKUP('Project Details by Yr - MASTER'!$B35,'Parking Lots &amp; Playgrounds'!$A$9:$N$33,G$2,0))+IF(ISNA(VLOOKUP($B35,Vehicles!$B$9:$O$50,G$2,0)),0,VLOOKUP($B35,Vehicles!$B$9:$O$50,G$2,0))</f>
        <v>0</v>
      </c>
      <c r="H35" s="8">
        <f>IF(ISNA(VLOOKUP($B35,'Other Capital Needs'!$C$51:$P$95,H$2,0)),0,VLOOKUP($B35,'Other Capital Needs'!$C$51:$P$95,H$2,0))+IF(ISNA(VLOOKUP('Project Details by Yr - MASTER'!$B35,'Public Grounds'!$A$11:$N$49,H$2,0)),0,VLOOKUP('Project Details by Yr - MASTER'!$B35,'Public Grounds'!$A$11:$N$49,H$2,0))+IF(ISNA(VLOOKUP('Project Details by Yr - MASTER'!$B35,'Public Buildings'!$A$10:$N$96,H$2,0)),0,VLOOKUP('Project Details by Yr - MASTER'!$B35,'Public Buildings'!$A$10:$N$96,H$2,0))+IF(ISNA(VLOOKUP('Project Details by Yr - MASTER'!$B35,Bridges!$A$9:$N$24,H$2,0)),0,VLOOKUP('Project Details by Yr - MASTER'!$B35,Bridges!$A$9:$N$24,H$2,0))+IF(ISNA(VLOOKUP('Project Details by Yr - MASTER'!$B35,'Parking Lots &amp; Playgrounds'!$A$9:$N$33,H$2,0)),0,VLOOKUP('Project Details by Yr - MASTER'!$B35,'Parking Lots &amp; Playgrounds'!$A$9:$N$33,H$2,0))+IF(ISNA(VLOOKUP($B35,Vehicles!$B$9:$O$50,H$2,0)),0,VLOOKUP($B35,Vehicles!$B$9:$O$50,H$2,0))</f>
        <v>0</v>
      </c>
      <c r="I35" s="8">
        <f>IF(ISNA(VLOOKUP($B35,'Other Capital Needs'!$C$51:$P$95,I$2,0)),0,VLOOKUP($B35,'Other Capital Needs'!$C$51:$P$95,I$2,0))+IF(ISNA(VLOOKUP('Project Details by Yr - MASTER'!$B35,'Public Grounds'!$A$11:$N$49,I$2,0)),0,VLOOKUP('Project Details by Yr - MASTER'!$B35,'Public Grounds'!$A$11:$N$49,I$2,0))+IF(ISNA(VLOOKUP('Project Details by Yr - MASTER'!$B35,'Public Buildings'!$A$10:$N$96,I$2,0)),0,VLOOKUP('Project Details by Yr - MASTER'!$B35,'Public Buildings'!$A$10:$N$96,I$2,0))+IF(ISNA(VLOOKUP('Project Details by Yr - MASTER'!$B35,Bridges!$A$9:$N$24,I$2,0)),0,VLOOKUP('Project Details by Yr - MASTER'!$B35,Bridges!$A$9:$N$24,I$2,0))+IF(ISNA(VLOOKUP('Project Details by Yr - MASTER'!$B35,'Parking Lots &amp; Playgrounds'!$A$9:$N$33,I$2,0)),0,VLOOKUP('Project Details by Yr - MASTER'!$B35,'Parking Lots &amp; Playgrounds'!$A$9:$N$33,I$2,0))+IF(ISNA(VLOOKUP($B35,Vehicles!$B$9:$O$50,I$2,0)),0,VLOOKUP($B35,Vehicles!$B$9:$O$50,I$2,0))</f>
        <v>0</v>
      </c>
      <c r="J35" s="8">
        <f>IF(ISNA(VLOOKUP($B35,'Other Capital Needs'!$C$51:$P$95,J$2,0)),0,VLOOKUP($B35,'Other Capital Needs'!$C$51:$P$95,J$2,0))+IF(ISNA(VLOOKUP('Project Details by Yr - MASTER'!$B35,'Public Grounds'!$A$11:$N$49,J$2,0)),0,VLOOKUP('Project Details by Yr - MASTER'!$B35,'Public Grounds'!$A$11:$N$49,J$2,0))+IF(ISNA(VLOOKUP('Project Details by Yr - MASTER'!$B35,'Public Buildings'!$A$10:$N$96,J$2,0)),0,VLOOKUP('Project Details by Yr - MASTER'!$B35,'Public Buildings'!$A$10:$N$96,J$2,0))+IF(ISNA(VLOOKUP('Project Details by Yr - MASTER'!$B35,Bridges!$A$9:$N$24,J$2,0)),0,VLOOKUP('Project Details by Yr - MASTER'!$B35,Bridges!$A$9:$N$24,J$2,0))+IF(ISNA(VLOOKUP('Project Details by Yr - MASTER'!$B35,'Parking Lots &amp; Playgrounds'!$A$9:$N$33,J$2,0)),0,VLOOKUP('Project Details by Yr - MASTER'!$B35,'Parking Lots &amp; Playgrounds'!$A$9:$N$33,J$2,0))+IF(ISNA(VLOOKUP($B35,Vehicles!$B$9:$O$50,J$2,0)),0,VLOOKUP($B35,Vehicles!$B$9:$O$50,J$2,0))</f>
        <v>85000</v>
      </c>
      <c r="K35" s="8">
        <f>IF(ISNA(VLOOKUP($B35,'Other Capital Needs'!$C$51:$P$95,K$2,0)),0,VLOOKUP($B35,'Other Capital Needs'!$C$51:$P$95,K$2,0))+IF(ISNA(VLOOKUP('Project Details by Yr - MASTER'!$B35,'Public Grounds'!$A$11:$N$49,K$2,0)),0,VLOOKUP('Project Details by Yr - MASTER'!$B35,'Public Grounds'!$A$11:$N$49,K$2,0))+IF(ISNA(VLOOKUP('Project Details by Yr - MASTER'!$B35,'Public Buildings'!$A$10:$N$96,K$2,0)),0,VLOOKUP('Project Details by Yr - MASTER'!$B35,'Public Buildings'!$A$10:$N$96,K$2,0))+IF(ISNA(VLOOKUP('Project Details by Yr - MASTER'!$B35,Bridges!$A$9:$N$24,K$2,0)),0,VLOOKUP('Project Details by Yr - MASTER'!$B35,Bridges!$A$9:$N$24,K$2,0))+IF(ISNA(VLOOKUP('Project Details by Yr - MASTER'!$B35,'Parking Lots &amp; Playgrounds'!$A$9:$N$33,K$2,0)),0,VLOOKUP('Project Details by Yr - MASTER'!$B35,'Parking Lots &amp; Playgrounds'!$A$9:$N$33,K$2,0))+IF(ISNA(VLOOKUP($B35,Vehicles!$B$9:$O$50,K$2,0)),0,VLOOKUP($B35,Vehicles!$B$9:$O$50,K$2,0))</f>
        <v>0</v>
      </c>
    </row>
    <row r="36" spans="1:11" x14ac:dyDescent="0.25">
      <c r="A36" s="31">
        <v>32</v>
      </c>
      <c r="B36" s="26" t="s">
        <v>171</v>
      </c>
      <c r="C36" t="s">
        <v>101</v>
      </c>
      <c r="D36" t="s">
        <v>272</v>
      </c>
      <c r="E36" s="31" t="s">
        <v>16</v>
      </c>
      <c r="G36" s="8">
        <f>IF(ISNA(VLOOKUP($B36,'Other Capital Needs'!$C$51:$P$95,G$2,0)),0,VLOOKUP($B36,'Other Capital Needs'!$C$51:$P$95,G$2,0))+IF(ISNA(VLOOKUP('Project Details by Yr - MASTER'!$B36,'Public Grounds'!$A$11:$N$49,G$2,0)),0,VLOOKUP('Project Details by Yr - MASTER'!$B36,'Public Grounds'!$A$11:$N$49,G$2,0))+IF(ISNA(VLOOKUP('Project Details by Yr - MASTER'!$B36,'Public Buildings'!$A$10:$N$96,G$2,0)),0,VLOOKUP('Project Details by Yr - MASTER'!$B36,'Public Buildings'!$A$10:$N$96,G$2,0))+IF(ISNA(VLOOKUP('Project Details by Yr - MASTER'!$B36,Bridges!$A$9:$N$24,G$2,0)),0,VLOOKUP('Project Details by Yr - MASTER'!$B36,Bridges!$A$9:$N$24,G$2,0))+IF(ISNA(VLOOKUP('Project Details by Yr - MASTER'!$B36,'Parking Lots &amp; Playgrounds'!$A$9:$N$33,G$2,0)),0,VLOOKUP('Project Details by Yr - MASTER'!$B36,'Parking Lots &amp; Playgrounds'!$A$9:$N$33,G$2,0))+IF(ISNA(VLOOKUP($B36,Vehicles!$B$9:$O$50,G$2,0)),0,VLOOKUP($B36,Vehicles!$B$9:$O$50,G$2,0))</f>
        <v>0</v>
      </c>
      <c r="H36" s="8">
        <f>IF(ISNA(VLOOKUP($B36,'Other Capital Needs'!$C$51:$P$95,H$2,0)),0,VLOOKUP($B36,'Other Capital Needs'!$C$51:$P$95,H$2,0))+IF(ISNA(VLOOKUP('Project Details by Yr - MASTER'!$B36,'Public Grounds'!$A$11:$N$49,H$2,0)),0,VLOOKUP('Project Details by Yr - MASTER'!$B36,'Public Grounds'!$A$11:$N$49,H$2,0))+IF(ISNA(VLOOKUP('Project Details by Yr - MASTER'!$B36,'Public Buildings'!$A$10:$N$96,H$2,0)),0,VLOOKUP('Project Details by Yr - MASTER'!$B36,'Public Buildings'!$A$10:$N$96,H$2,0))+IF(ISNA(VLOOKUP('Project Details by Yr - MASTER'!$B36,Bridges!$A$9:$N$24,H$2,0)),0,VLOOKUP('Project Details by Yr - MASTER'!$B36,Bridges!$A$9:$N$24,H$2,0))+IF(ISNA(VLOOKUP('Project Details by Yr - MASTER'!$B36,'Parking Lots &amp; Playgrounds'!$A$9:$N$33,H$2,0)),0,VLOOKUP('Project Details by Yr - MASTER'!$B36,'Parking Lots &amp; Playgrounds'!$A$9:$N$33,H$2,0))+IF(ISNA(VLOOKUP($B36,Vehicles!$B$9:$O$50,H$2,0)),0,VLOOKUP($B36,Vehicles!$B$9:$O$50,H$2,0))</f>
        <v>0</v>
      </c>
      <c r="I36" s="8">
        <f>IF(ISNA(VLOOKUP($B36,'Other Capital Needs'!$C$51:$P$95,I$2,0)),0,VLOOKUP($B36,'Other Capital Needs'!$C$51:$P$95,I$2,0))+IF(ISNA(VLOOKUP('Project Details by Yr - MASTER'!$B36,'Public Grounds'!$A$11:$N$49,I$2,0)),0,VLOOKUP('Project Details by Yr - MASTER'!$B36,'Public Grounds'!$A$11:$N$49,I$2,0))+IF(ISNA(VLOOKUP('Project Details by Yr - MASTER'!$B36,'Public Buildings'!$A$10:$N$96,I$2,0)),0,VLOOKUP('Project Details by Yr - MASTER'!$B36,'Public Buildings'!$A$10:$N$96,I$2,0))+IF(ISNA(VLOOKUP('Project Details by Yr - MASTER'!$B36,Bridges!$A$9:$N$24,I$2,0)),0,VLOOKUP('Project Details by Yr - MASTER'!$B36,Bridges!$A$9:$N$24,I$2,0))+IF(ISNA(VLOOKUP('Project Details by Yr - MASTER'!$B36,'Parking Lots &amp; Playgrounds'!$A$9:$N$33,I$2,0)),0,VLOOKUP('Project Details by Yr - MASTER'!$B36,'Parking Lots &amp; Playgrounds'!$A$9:$N$33,I$2,0))+IF(ISNA(VLOOKUP($B36,Vehicles!$B$9:$O$50,I$2,0)),0,VLOOKUP($B36,Vehicles!$B$9:$O$50,I$2,0))</f>
        <v>0</v>
      </c>
      <c r="J36" s="8">
        <f>IF(ISNA(VLOOKUP($B36,'Other Capital Needs'!$C$51:$P$95,J$2,0)),0,VLOOKUP($B36,'Other Capital Needs'!$C$51:$P$95,J$2,0))+IF(ISNA(VLOOKUP('Project Details by Yr - MASTER'!$B36,'Public Grounds'!$A$11:$N$49,J$2,0)),0,VLOOKUP('Project Details by Yr - MASTER'!$B36,'Public Grounds'!$A$11:$N$49,J$2,0))+IF(ISNA(VLOOKUP('Project Details by Yr - MASTER'!$B36,'Public Buildings'!$A$10:$N$96,J$2,0)),0,VLOOKUP('Project Details by Yr - MASTER'!$B36,'Public Buildings'!$A$10:$N$96,J$2,0))+IF(ISNA(VLOOKUP('Project Details by Yr - MASTER'!$B36,Bridges!$A$9:$N$24,J$2,0)),0,VLOOKUP('Project Details by Yr - MASTER'!$B36,Bridges!$A$9:$N$24,J$2,0))+IF(ISNA(VLOOKUP('Project Details by Yr - MASTER'!$B36,'Parking Lots &amp; Playgrounds'!$A$9:$N$33,J$2,0)),0,VLOOKUP('Project Details by Yr - MASTER'!$B36,'Parking Lots &amp; Playgrounds'!$A$9:$N$33,J$2,0))+IF(ISNA(VLOOKUP($B36,Vehicles!$B$9:$O$50,J$2,0)),0,VLOOKUP($B36,Vehicles!$B$9:$O$50,J$2,0))</f>
        <v>0</v>
      </c>
      <c r="K36" s="8">
        <f>IF(ISNA(VLOOKUP($B36,'Other Capital Needs'!$C$51:$P$95,K$2,0)),0,VLOOKUP($B36,'Other Capital Needs'!$C$51:$P$95,K$2,0))+IF(ISNA(VLOOKUP('Project Details by Yr - MASTER'!$B36,'Public Grounds'!$A$11:$N$49,K$2,0)),0,VLOOKUP('Project Details by Yr - MASTER'!$B36,'Public Grounds'!$A$11:$N$49,K$2,0))+IF(ISNA(VLOOKUP('Project Details by Yr - MASTER'!$B36,'Public Buildings'!$A$10:$N$96,K$2,0)),0,VLOOKUP('Project Details by Yr - MASTER'!$B36,'Public Buildings'!$A$10:$N$96,K$2,0))+IF(ISNA(VLOOKUP('Project Details by Yr - MASTER'!$B36,Bridges!$A$9:$N$24,K$2,0)),0,VLOOKUP('Project Details by Yr - MASTER'!$B36,Bridges!$A$9:$N$24,K$2,0))+IF(ISNA(VLOOKUP('Project Details by Yr - MASTER'!$B36,'Parking Lots &amp; Playgrounds'!$A$9:$N$33,K$2,0)),0,VLOOKUP('Project Details by Yr - MASTER'!$B36,'Parking Lots &amp; Playgrounds'!$A$9:$N$33,K$2,0))+IF(ISNA(VLOOKUP($B36,Vehicles!$B$9:$O$50,K$2,0)),0,VLOOKUP($B36,Vehicles!$B$9:$O$50,K$2,0))</f>
        <v>0</v>
      </c>
    </row>
    <row r="37" spans="1:11" x14ac:dyDescent="0.25">
      <c r="A37" s="31">
        <v>32</v>
      </c>
      <c r="B37" s="26" t="s">
        <v>172</v>
      </c>
      <c r="C37" t="s">
        <v>101</v>
      </c>
      <c r="D37" t="s">
        <v>272</v>
      </c>
      <c r="E37" s="31" t="s">
        <v>16</v>
      </c>
      <c r="G37" s="8">
        <f>IF(ISNA(VLOOKUP($B37,'Other Capital Needs'!$C$51:$P$95,G$2,0)),0,VLOOKUP($B37,'Other Capital Needs'!$C$51:$P$95,G$2,0))+IF(ISNA(VLOOKUP('Project Details by Yr - MASTER'!$B37,'Public Grounds'!$A$11:$N$49,G$2,0)),0,VLOOKUP('Project Details by Yr - MASTER'!$B37,'Public Grounds'!$A$11:$N$49,G$2,0))+IF(ISNA(VLOOKUP('Project Details by Yr - MASTER'!$B37,'Public Buildings'!$A$10:$N$96,G$2,0)),0,VLOOKUP('Project Details by Yr - MASTER'!$B37,'Public Buildings'!$A$10:$N$96,G$2,0))+IF(ISNA(VLOOKUP('Project Details by Yr - MASTER'!$B37,Bridges!$A$9:$N$24,G$2,0)),0,VLOOKUP('Project Details by Yr - MASTER'!$B37,Bridges!$A$9:$N$24,G$2,0))+IF(ISNA(VLOOKUP('Project Details by Yr - MASTER'!$B37,'Parking Lots &amp; Playgrounds'!$A$9:$N$33,G$2,0)),0,VLOOKUP('Project Details by Yr - MASTER'!$B37,'Parking Lots &amp; Playgrounds'!$A$9:$N$33,G$2,0))+IF(ISNA(VLOOKUP($B37,Vehicles!$B$9:$O$50,G$2,0)),0,VLOOKUP($B37,Vehicles!$B$9:$O$50,G$2,0))</f>
        <v>0</v>
      </c>
      <c r="H37" s="8">
        <f>IF(ISNA(VLOOKUP($B37,'Other Capital Needs'!$C$51:$P$95,H$2,0)),0,VLOOKUP($B37,'Other Capital Needs'!$C$51:$P$95,H$2,0))+IF(ISNA(VLOOKUP('Project Details by Yr - MASTER'!$B37,'Public Grounds'!$A$11:$N$49,H$2,0)),0,VLOOKUP('Project Details by Yr - MASTER'!$B37,'Public Grounds'!$A$11:$N$49,H$2,0))+IF(ISNA(VLOOKUP('Project Details by Yr - MASTER'!$B37,'Public Buildings'!$A$10:$N$96,H$2,0)),0,VLOOKUP('Project Details by Yr - MASTER'!$B37,'Public Buildings'!$A$10:$N$96,H$2,0))+IF(ISNA(VLOOKUP('Project Details by Yr - MASTER'!$B37,Bridges!$A$9:$N$24,H$2,0)),0,VLOOKUP('Project Details by Yr - MASTER'!$B37,Bridges!$A$9:$N$24,H$2,0))+IF(ISNA(VLOOKUP('Project Details by Yr - MASTER'!$B37,'Parking Lots &amp; Playgrounds'!$A$9:$N$33,H$2,0)),0,VLOOKUP('Project Details by Yr - MASTER'!$B37,'Parking Lots &amp; Playgrounds'!$A$9:$N$33,H$2,0))+IF(ISNA(VLOOKUP($B37,Vehicles!$B$9:$O$50,H$2,0)),0,VLOOKUP($B37,Vehicles!$B$9:$O$50,H$2,0))</f>
        <v>0</v>
      </c>
      <c r="I37" s="8">
        <f>IF(ISNA(VLOOKUP($B37,'Other Capital Needs'!$C$51:$P$95,I$2,0)),0,VLOOKUP($B37,'Other Capital Needs'!$C$51:$P$95,I$2,0))+IF(ISNA(VLOOKUP('Project Details by Yr - MASTER'!$B37,'Public Grounds'!$A$11:$N$49,I$2,0)),0,VLOOKUP('Project Details by Yr - MASTER'!$B37,'Public Grounds'!$A$11:$N$49,I$2,0))+IF(ISNA(VLOOKUP('Project Details by Yr - MASTER'!$B37,'Public Buildings'!$A$10:$N$96,I$2,0)),0,VLOOKUP('Project Details by Yr - MASTER'!$B37,'Public Buildings'!$A$10:$N$96,I$2,0))+IF(ISNA(VLOOKUP('Project Details by Yr - MASTER'!$B37,Bridges!$A$9:$N$24,I$2,0)),0,VLOOKUP('Project Details by Yr - MASTER'!$B37,Bridges!$A$9:$N$24,I$2,0))+IF(ISNA(VLOOKUP('Project Details by Yr - MASTER'!$B37,'Parking Lots &amp; Playgrounds'!$A$9:$N$33,I$2,0)),0,VLOOKUP('Project Details by Yr - MASTER'!$B37,'Parking Lots &amp; Playgrounds'!$A$9:$N$33,I$2,0))+IF(ISNA(VLOOKUP($B37,Vehicles!$B$9:$O$50,I$2,0)),0,VLOOKUP($B37,Vehicles!$B$9:$O$50,I$2,0))</f>
        <v>0</v>
      </c>
      <c r="J37" s="8">
        <f>IF(ISNA(VLOOKUP($B37,'Other Capital Needs'!$C$51:$P$95,J$2,0)),0,VLOOKUP($B37,'Other Capital Needs'!$C$51:$P$95,J$2,0))+IF(ISNA(VLOOKUP('Project Details by Yr - MASTER'!$B37,'Public Grounds'!$A$11:$N$49,J$2,0)),0,VLOOKUP('Project Details by Yr - MASTER'!$B37,'Public Grounds'!$A$11:$N$49,J$2,0))+IF(ISNA(VLOOKUP('Project Details by Yr - MASTER'!$B37,'Public Buildings'!$A$10:$N$96,J$2,0)),0,VLOOKUP('Project Details by Yr - MASTER'!$B37,'Public Buildings'!$A$10:$N$96,J$2,0))+IF(ISNA(VLOOKUP('Project Details by Yr - MASTER'!$B37,Bridges!$A$9:$N$24,J$2,0)),0,VLOOKUP('Project Details by Yr - MASTER'!$B37,Bridges!$A$9:$N$24,J$2,0))+IF(ISNA(VLOOKUP('Project Details by Yr - MASTER'!$B37,'Parking Lots &amp; Playgrounds'!$A$9:$N$33,J$2,0)),0,VLOOKUP('Project Details by Yr - MASTER'!$B37,'Parking Lots &amp; Playgrounds'!$A$9:$N$33,J$2,0))+IF(ISNA(VLOOKUP($B37,Vehicles!$B$9:$O$50,J$2,0)),0,VLOOKUP($B37,Vehicles!$B$9:$O$50,J$2,0))</f>
        <v>0</v>
      </c>
      <c r="K37" s="8">
        <f>IF(ISNA(VLOOKUP($B37,'Other Capital Needs'!$C$51:$P$95,K$2,0)),0,VLOOKUP($B37,'Other Capital Needs'!$C$51:$P$95,K$2,0))+IF(ISNA(VLOOKUP('Project Details by Yr - MASTER'!$B37,'Public Grounds'!$A$11:$N$49,K$2,0)),0,VLOOKUP('Project Details by Yr - MASTER'!$B37,'Public Grounds'!$A$11:$N$49,K$2,0))+IF(ISNA(VLOOKUP('Project Details by Yr - MASTER'!$B37,'Public Buildings'!$A$10:$N$96,K$2,0)),0,VLOOKUP('Project Details by Yr - MASTER'!$B37,'Public Buildings'!$A$10:$N$96,K$2,0))+IF(ISNA(VLOOKUP('Project Details by Yr - MASTER'!$B37,Bridges!$A$9:$N$24,K$2,0)),0,VLOOKUP('Project Details by Yr - MASTER'!$B37,Bridges!$A$9:$N$24,K$2,0))+IF(ISNA(VLOOKUP('Project Details by Yr - MASTER'!$B37,'Parking Lots &amp; Playgrounds'!$A$9:$N$33,K$2,0)),0,VLOOKUP('Project Details by Yr - MASTER'!$B37,'Parking Lots &amp; Playgrounds'!$A$9:$N$33,K$2,0))+IF(ISNA(VLOOKUP($B37,Vehicles!$B$9:$O$50,K$2,0)),0,VLOOKUP($B37,Vehicles!$B$9:$O$50,K$2,0))</f>
        <v>0</v>
      </c>
    </row>
    <row r="38" spans="1:11" x14ac:dyDescent="0.25">
      <c r="A38" s="31">
        <v>32</v>
      </c>
      <c r="B38" s="26" t="s">
        <v>173</v>
      </c>
      <c r="C38" t="s">
        <v>101</v>
      </c>
      <c r="D38" t="s">
        <v>272</v>
      </c>
      <c r="E38" s="31" t="s">
        <v>16</v>
      </c>
      <c r="G38" s="8">
        <f>IF(ISNA(VLOOKUP($B38,'Other Capital Needs'!$C$51:$P$95,G$2,0)),0,VLOOKUP($B38,'Other Capital Needs'!$C$51:$P$95,G$2,0))+IF(ISNA(VLOOKUP('Project Details by Yr - MASTER'!$B38,'Public Grounds'!$A$11:$N$49,G$2,0)),0,VLOOKUP('Project Details by Yr - MASTER'!$B38,'Public Grounds'!$A$11:$N$49,G$2,0))+IF(ISNA(VLOOKUP('Project Details by Yr - MASTER'!$B38,'Public Buildings'!$A$10:$N$96,G$2,0)),0,VLOOKUP('Project Details by Yr - MASTER'!$B38,'Public Buildings'!$A$10:$N$96,G$2,0))+IF(ISNA(VLOOKUP('Project Details by Yr - MASTER'!$B38,Bridges!$A$9:$N$24,G$2,0)),0,VLOOKUP('Project Details by Yr - MASTER'!$B38,Bridges!$A$9:$N$24,G$2,0))+IF(ISNA(VLOOKUP('Project Details by Yr - MASTER'!$B38,'Parking Lots &amp; Playgrounds'!$A$9:$N$33,G$2,0)),0,VLOOKUP('Project Details by Yr - MASTER'!$B38,'Parking Lots &amp; Playgrounds'!$A$9:$N$33,G$2,0))+IF(ISNA(VLOOKUP($B38,Vehicles!$B$9:$O$50,G$2,0)),0,VLOOKUP($B38,Vehicles!$B$9:$O$50,G$2,0))</f>
        <v>138000</v>
      </c>
      <c r="H38" s="8">
        <f>IF(ISNA(VLOOKUP($B38,'Other Capital Needs'!$C$51:$P$95,H$2,0)),0,VLOOKUP($B38,'Other Capital Needs'!$C$51:$P$95,H$2,0))+IF(ISNA(VLOOKUP('Project Details by Yr - MASTER'!$B38,'Public Grounds'!$A$11:$N$49,H$2,0)),0,VLOOKUP('Project Details by Yr - MASTER'!$B38,'Public Grounds'!$A$11:$N$49,H$2,0))+IF(ISNA(VLOOKUP('Project Details by Yr - MASTER'!$B38,'Public Buildings'!$A$10:$N$96,H$2,0)),0,VLOOKUP('Project Details by Yr - MASTER'!$B38,'Public Buildings'!$A$10:$N$96,H$2,0))+IF(ISNA(VLOOKUP('Project Details by Yr - MASTER'!$B38,Bridges!$A$9:$N$24,H$2,0)),0,VLOOKUP('Project Details by Yr - MASTER'!$B38,Bridges!$A$9:$N$24,H$2,0))+IF(ISNA(VLOOKUP('Project Details by Yr - MASTER'!$B38,'Parking Lots &amp; Playgrounds'!$A$9:$N$33,H$2,0)),0,VLOOKUP('Project Details by Yr - MASTER'!$B38,'Parking Lots &amp; Playgrounds'!$A$9:$N$33,H$2,0))+IF(ISNA(VLOOKUP($B38,Vehicles!$B$9:$O$50,H$2,0)),0,VLOOKUP($B38,Vehicles!$B$9:$O$50,H$2,0))</f>
        <v>0</v>
      </c>
      <c r="I38" s="8">
        <f>IF(ISNA(VLOOKUP($B38,'Other Capital Needs'!$C$51:$P$95,I$2,0)),0,VLOOKUP($B38,'Other Capital Needs'!$C$51:$P$95,I$2,0))+IF(ISNA(VLOOKUP('Project Details by Yr - MASTER'!$B38,'Public Grounds'!$A$11:$N$49,I$2,0)),0,VLOOKUP('Project Details by Yr - MASTER'!$B38,'Public Grounds'!$A$11:$N$49,I$2,0))+IF(ISNA(VLOOKUP('Project Details by Yr - MASTER'!$B38,'Public Buildings'!$A$10:$N$96,I$2,0)),0,VLOOKUP('Project Details by Yr - MASTER'!$B38,'Public Buildings'!$A$10:$N$96,I$2,0))+IF(ISNA(VLOOKUP('Project Details by Yr - MASTER'!$B38,Bridges!$A$9:$N$24,I$2,0)),0,VLOOKUP('Project Details by Yr - MASTER'!$B38,Bridges!$A$9:$N$24,I$2,0))+IF(ISNA(VLOOKUP('Project Details by Yr - MASTER'!$B38,'Parking Lots &amp; Playgrounds'!$A$9:$N$33,I$2,0)),0,VLOOKUP('Project Details by Yr - MASTER'!$B38,'Parking Lots &amp; Playgrounds'!$A$9:$N$33,I$2,0))+IF(ISNA(VLOOKUP($B38,Vehicles!$B$9:$O$50,I$2,0)),0,VLOOKUP($B38,Vehicles!$B$9:$O$50,I$2,0))</f>
        <v>0</v>
      </c>
      <c r="J38" s="8">
        <f>IF(ISNA(VLOOKUP($B38,'Other Capital Needs'!$C$51:$P$95,J$2,0)),0,VLOOKUP($B38,'Other Capital Needs'!$C$51:$P$95,J$2,0))+IF(ISNA(VLOOKUP('Project Details by Yr - MASTER'!$B38,'Public Grounds'!$A$11:$N$49,J$2,0)),0,VLOOKUP('Project Details by Yr - MASTER'!$B38,'Public Grounds'!$A$11:$N$49,J$2,0))+IF(ISNA(VLOOKUP('Project Details by Yr - MASTER'!$B38,'Public Buildings'!$A$10:$N$96,J$2,0)),0,VLOOKUP('Project Details by Yr - MASTER'!$B38,'Public Buildings'!$A$10:$N$96,J$2,0))+IF(ISNA(VLOOKUP('Project Details by Yr - MASTER'!$B38,Bridges!$A$9:$N$24,J$2,0)),0,VLOOKUP('Project Details by Yr - MASTER'!$B38,Bridges!$A$9:$N$24,J$2,0))+IF(ISNA(VLOOKUP('Project Details by Yr - MASTER'!$B38,'Parking Lots &amp; Playgrounds'!$A$9:$N$33,J$2,0)),0,VLOOKUP('Project Details by Yr - MASTER'!$B38,'Parking Lots &amp; Playgrounds'!$A$9:$N$33,J$2,0))+IF(ISNA(VLOOKUP($B38,Vehicles!$B$9:$O$50,J$2,0)),0,VLOOKUP($B38,Vehicles!$B$9:$O$50,J$2,0))</f>
        <v>0</v>
      </c>
      <c r="K38" s="8">
        <f>IF(ISNA(VLOOKUP($B38,'Other Capital Needs'!$C$51:$P$95,K$2,0)),0,VLOOKUP($B38,'Other Capital Needs'!$C$51:$P$95,K$2,0))+IF(ISNA(VLOOKUP('Project Details by Yr - MASTER'!$B38,'Public Grounds'!$A$11:$N$49,K$2,0)),0,VLOOKUP('Project Details by Yr - MASTER'!$B38,'Public Grounds'!$A$11:$N$49,K$2,0))+IF(ISNA(VLOOKUP('Project Details by Yr - MASTER'!$B38,'Public Buildings'!$A$10:$N$96,K$2,0)),0,VLOOKUP('Project Details by Yr - MASTER'!$B38,'Public Buildings'!$A$10:$N$96,K$2,0))+IF(ISNA(VLOOKUP('Project Details by Yr - MASTER'!$B38,Bridges!$A$9:$N$24,K$2,0)),0,VLOOKUP('Project Details by Yr - MASTER'!$B38,Bridges!$A$9:$N$24,K$2,0))+IF(ISNA(VLOOKUP('Project Details by Yr - MASTER'!$B38,'Parking Lots &amp; Playgrounds'!$A$9:$N$33,K$2,0)),0,VLOOKUP('Project Details by Yr - MASTER'!$B38,'Parking Lots &amp; Playgrounds'!$A$9:$N$33,K$2,0))+IF(ISNA(VLOOKUP($B38,Vehicles!$B$9:$O$50,K$2,0)),0,VLOOKUP($B38,Vehicles!$B$9:$O$50,K$2,0))</f>
        <v>0</v>
      </c>
    </row>
    <row r="39" spans="1:11" x14ac:dyDescent="0.25">
      <c r="A39" s="31">
        <v>32</v>
      </c>
      <c r="B39" s="26" t="s">
        <v>174</v>
      </c>
      <c r="C39" t="s">
        <v>101</v>
      </c>
      <c r="D39" t="s">
        <v>272</v>
      </c>
      <c r="E39" s="31" t="s">
        <v>16</v>
      </c>
      <c r="G39" s="8">
        <f>IF(ISNA(VLOOKUP($B39,'Other Capital Needs'!$C$51:$P$95,G$2,0)),0,VLOOKUP($B39,'Other Capital Needs'!$C$51:$P$95,G$2,0))+IF(ISNA(VLOOKUP('Project Details by Yr - MASTER'!$B39,'Public Grounds'!$A$11:$N$49,G$2,0)),0,VLOOKUP('Project Details by Yr - MASTER'!$B39,'Public Grounds'!$A$11:$N$49,G$2,0))+IF(ISNA(VLOOKUP('Project Details by Yr - MASTER'!$B39,'Public Buildings'!$A$10:$N$96,G$2,0)),0,VLOOKUP('Project Details by Yr - MASTER'!$B39,'Public Buildings'!$A$10:$N$96,G$2,0))+IF(ISNA(VLOOKUP('Project Details by Yr - MASTER'!$B39,Bridges!$A$9:$N$24,G$2,0)),0,VLOOKUP('Project Details by Yr - MASTER'!$B39,Bridges!$A$9:$N$24,G$2,0))+IF(ISNA(VLOOKUP('Project Details by Yr - MASTER'!$B39,'Parking Lots &amp; Playgrounds'!$A$9:$N$33,G$2,0)),0,VLOOKUP('Project Details by Yr - MASTER'!$B39,'Parking Lots &amp; Playgrounds'!$A$9:$N$33,G$2,0))+IF(ISNA(VLOOKUP($B39,Vehicles!$B$9:$O$50,G$2,0)),0,VLOOKUP($B39,Vehicles!$B$9:$O$50,G$2,0))</f>
        <v>0</v>
      </c>
      <c r="H39" s="8">
        <f>IF(ISNA(VLOOKUP($B39,'Other Capital Needs'!$C$51:$P$95,H$2,0)),0,VLOOKUP($B39,'Other Capital Needs'!$C$51:$P$95,H$2,0))+IF(ISNA(VLOOKUP('Project Details by Yr - MASTER'!$B39,'Public Grounds'!$A$11:$N$49,H$2,0)),0,VLOOKUP('Project Details by Yr - MASTER'!$B39,'Public Grounds'!$A$11:$N$49,H$2,0))+IF(ISNA(VLOOKUP('Project Details by Yr - MASTER'!$B39,'Public Buildings'!$A$10:$N$96,H$2,0)),0,VLOOKUP('Project Details by Yr - MASTER'!$B39,'Public Buildings'!$A$10:$N$96,H$2,0))+IF(ISNA(VLOOKUP('Project Details by Yr - MASTER'!$B39,Bridges!$A$9:$N$24,H$2,0)),0,VLOOKUP('Project Details by Yr - MASTER'!$B39,Bridges!$A$9:$N$24,H$2,0))+IF(ISNA(VLOOKUP('Project Details by Yr - MASTER'!$B39,'Parking Lots &amp; Playgrounds'!$A$9:$N$33,H$2,0)),0,VLOOKUP('Project Details by Yr - MASTER'!$B39,'Parking Lots &amp; Playgrounds'!$A$9:$N$33,H$2,0))+IF(ISNA(VLOOKUP($B39,Vehicles!$B$9:$O$50,H$2,0)),0,VLOOKUP($B39,Vehicles!$B$9:$O$50,H$2,0))</f>
        <v>0</v>
      </c>
      <c r="I39" s="8">
        <f>IF(ISNA(VLOOKUP($B39,'Other Capital Needs'!$C$51:$P$95,I$2,0)),0,VLOOKUP($B39,'Other Capital Needs'!$C$51:$P$95,I$2,0))+IF(ISNA(VLOOKUP('Project Details by Yr - MASTER'!$B39,'Public Grounds'!$A$11:$N$49,I$2,0)),0,VLOOKUP('Project Details by Yr - MASTER'!$B39,'Public Grounds'!$A$11:$N$49,I$2,0))+IF(ISNA(VLOOKUP('Project Details by Yr - MASTER'!$B39,'Public Buildings'!$A$10:$N$96,I$2,0)),0,VLOOKUP('Project Details by Yr - MASTER'!$B39,'Public Buildings'!$A$10:$N$96,I$2,0))+IF(ISNA(VLOOKUP('Project Details by Yr - MASTER'!$B39,Bridges!$A$9:$N$24,I$2,0)),0,VLOOKUP('Project Details by Yr - MASTER'!$B39,Bridges!$A$9:$N$24,I$2,0))+IF(ISNA(VLOOKUP('Project Details by Yr - MASTER'!$B39,'Parking Lots &amp; Playgrounds'!$A$9:$N$33,I$2,0)),0,VLOOKUP('Project Details by Yr - MASTER'!$B39,'Parking Lots &amp; Playgrounds'!$A$9:$N$33,I$2,0))+IF(ISNA(VLOOKUP($B39,Vehicles!$B$9:$O$50,I$2,0)),0,VLOOKUP($B39,Vehicles!$B$9:$O$50,I$2,0))</f>
        <v>0</v>
      </c>
      <c r="J39" s="8">
        <f>IF(ISNA(VLOOKUP($B39,'Other Capital Needs'!$C$51:$P$95,J$2,0)),0,VLOOKUP($B39,'Other Capital Needs'!$C$51:$P$95,J$2,0))+IF(ISNA(VLOOKUP('Project Details by Yr - MASTER'!$B39,'Public Grounds'!$A$11:$N$49,J$2,0)),0,VLOOKUP('Project Details by Yr - MASTER'!$B39,'Public Grounds'!$A$11:$N$49,J$2,0))+IF(ISNA(VLOOKUP('Project Details by Yr - MASTER'!$B39,'Public Buildings'!$A$10:$N$96,J$2,0)),0,VLOOKUP('Project Details by Yr - MASTER'!$B39,'Public Buildings'!$A$10:$N$96,J$2,0))+IF(ISNA(VLOOKUP('Project Details by Yr - MASTER'!$B39,Bridges!$A$9:$N$24,J$2,0)),0,VLOOKUP('Project Details by Yr - MASTER'!$B39,Bridges!$A$9:$N$24,J$2,0))+IF(ISNA(VLOOKUP('Project Details by Yr - MASTER'!$B39,'Parking Lots &amp; Playgrounds'!$A$9:$N$33,J$2,0)),0,VLOOKUP('Project Details by Yr - MASTER'!$B39,'Parking Lots &amp; Playgrounds'!$A$9:$N$33,J$2,0))+IF(ISNA(VLOOKUP($B39,Vehicles!$B$9:$O$50,J$2,0)),0,VLOOKUP($B39,Vehicles!$B$9:$O$50,J$2,0))</f>
        <v>0</v>
      </c>
      <c r="K39" s="8">
        <f>IF(ISNA(VLOOKUP($B39,'Other Capital Needs'!$C$51:$P$95,K$2,0)),0,VLOOKUP($B39,'Other Capital Needs'!$C$51:$P$95,K$2,0))+IF(ISNA(VLOOKUP('Project Details by Yr - MASTER'!$B39,'Public Grounds'!$A$11:$N$49,K$2,0)),0,VLOOKUP('Project Details by Yr - MASTER'!$B39,'Public Grounds'!$A$11:$N$49,K$2,0))+IF(ISNA(VLOOKUP('Project Details by Yr - MASTER'!$B39,'Public Buildings'!$A$10:$N$96,K$2,0)),0,VLOOKUP('Project Details by Yr - MASTER'!$B39,'Public Buildings'!$A$10:$N$96,K$2,0))+IF(ISNA(VLOOKUP('Project Details by Yr - MASTER'!$B39,Bridges!$A$9:$N$24,K$2,0)),0,VLOOKUP('Project Details by Yr - MASTER'!$B39,Bridges!$A$9:$N$24,K$2,0))+IF(ISNA(VLOOKUP('Project Details by Yr - MASTER'!$B39,'Parking Lots &amp; Playgrounds'!$A$9:$N$33,K$2,0)),0,VLOOKUP('Project Details by Yr - MASTER'!$B39,'Parking Lots &amp; Playgrounds'!$A$9:$N$33,K$2,0))+IF(ISNA(VLOOKUP($B39,Vehicles!$B$9:$O$50,K$2,0)),0,VLOOKUP($B39,Vehicles!$B$9:$O$50,K$2,0))</f>
        <v>0</v>
      </c>
    </row>
    <row r="40" spans="1:11" x14ac:dyDescent="0.25">
      <c r="A40" s="31">
        <v>32</v>
      </c>
      <c r="B40" s="26" t="s">
        <v>175</v>
      </c>
      <c r="C40" s="26" t="s">
        <v>101</v>
      </c>
      <c r="D40" s="26" t="s">
        <v>272</v>
      </c>
      <c r="E40" s="31" t="s">
        <v>16</v>
      </c>
      <c r="F40" s="26"/>
      <c r="G40" s="8">
        <f>IF(ISNA(VLOOKUP($B40,'Other Capital Needs'!$C$51:$P$95,G$2,0)),0,VLOOKUP($B40,'Other Capital Needs'!$C$51:$P$95,G$2,0))+IF(ISNA(VLOOKUP('Project Details by Yr - MASTER'!$B40,'Public Grounds'!$A$11:$N$49,G$2,0)),0,VLOOKUP('Project Details by Yr - MASTER'!$B40,'Public Grounds'!$A$11:$N$49,G$2,0))+IF(ISNA(VLOOKUP('Project Details by Yr - MASTER'!$B40,'Public Buildings'!$A$10:$N$96,G$2,0)),0,VLOOKUP('Project Details by Yr - MASTER'!$B40,'Public Buildings'!$A$10:$N$96,G$2,0))+IF(ISNA(VLOOKUP('Project Details by Yr - MASTER'!$B40,Bridges!$A$9:$N$24,G$2,0)),0,VLOOKUP('Project Details by Yr - MASTER'!$B40,Bridges!$A$9:$N$24,G$2,0))+IF(ISNA(VLOOKUP('Project Details by Yr - MASTER'!$B40,'Parking Lots &amp; Playgrounds'!$A$9:$N$33,G$2,0)),0,VLOOKUP('Project Details by Yr - MASTER'!$B40,'Parking Lots &amp; Playgrounds'!$A$9:$N$33,G$2,0))+IF(ISNA(VLOOKUP($B40,Vehicles!$B$9:$O$50,G$2,0)),0,VLOOKUP($B40,Vehicles!$B$9:$O$50,G$2,0))</f>
        <v>0</v>
      </c>
      <c r="H40" s="8">
        <f>IF(ISNA(VLOOKUP($B40,'Other Capital Needs'!$C$51:$P$95,H$2,0)),0,VLOOKUP($B40,'Other Capital Needs'!$C$51:$P$95,H$2,0))+IF(ISNA(VLOOKUP('Project Details by Yr - MASTER'!$B40,'Public Grounds'!$A$11:$N$49,H$2,0)),0,VLOOKUP('Project Details by Yr - MASTER'!$B40,'Public Grounds'!$A$11:$N$49,H$2,0))+IF(ISNA(VLOOKUP('Project Details by Yr - MASTER'!$B40,'Public Buildings'!$A$10:$N$96,H$2,0)),0,VLOOKUP('Project Details by Yr - MASTER'!$B40,'Public Buildings'!$A$10:$N$96,H$2,0))+IF(ISNA(VLOOKUP('Project Details by Yr - MASTER'!$B40,Bridges!$A$9:$N$24,H$2,0)),0,VLOOKUP('Project Details by Yr - MASTER'!$B40,Bridges!$A$9:$N$24,H$2,0))+IF(ISNA(VLOOKUP('Project Details by Yr - MASTER'!$B40,'Parking Lots &amp; Playgrounds'!$A$9:$N$33,H$2,0)),0,VLOOKUP('Project Details by Yr - MASTER'!$B40,'Parking Lots &amp; Playgrounds'!$A$9:$N$33,H$2,0))+IF(ISNA(VLOOKUP($B40,Vehicles!$B$9:$O$50,H$2,0)),0,VLOOKUP($B40,Vehicles!$B$9:$O$50,H$2,0))</f>
        <v>0</v>
      </c>
      <c r="I40" s="8">
        <f>IF(ISNA(VLOOKUP($B40,'Other Capital Needs'!$C$51:$P$95,I$2,0)),0,VLOOKUP($B40,'Other Capital Needs'!$C$51:$P$95,I$2,0))+IF(ISNA(VLOOKUP('Project Details by Yr - MASTER'!$B40,'Public Grounds'!$A$11:$N$49,I$2,0)),0,VLOOKUP('Project Details by Yr - MASTER'!$B40,'Public Grounds'!$A$11:$N$49,I$2,0))+IF(ISNA(VLOOKUP('Project Details by Yr - MASTER'!$B40,'Public Buildings'!$A$10:$N$96,I$2,0)),0,VLOOKUP('Project Details by Yr - MASTER'!$B40,'Public Buildings'!$A$10:$N$96,I$2,0))+IF(ISNA(VLOOKUP('Project Details by Yr - MASTER'!$B40,Bridges!$A$9:$N$24,I$2,0)),0,VLOOKUP('Project Details by Yr - MASTER'!$B40,Bridges!$A$9:$N$24,I$2,0))+IF(ISNA(VLOOKUP('Project Details by Yr - MASTER'!$B40,'Parking Lots &amp; Playgrounds'!$A$9:$N$33,I$2,0)),0,VLOOKUP('Project Details by Yr - MASTER'!$B40,'Parking Lots &amp; Playgrounds'!$A$9:$N$33,I$2,0))+IF(ISNA(VLOOKUP($B40,Vehicles!$B$9:$O$50,I$2,0)),0,VLOOKUP($B40,Vehicles!$B$9:$O$50,I$2,0))</f>
        <v>0</v>
      </c>
      <c r="J40" s="8">
        <f>IF(ISNA(VLOOKUP($B40,'Other Capital Needs'!$C$51:$P$95,J$2,0)),0,VLOOKUP($B40,'Other Capital Needs'!$C$51:$P$95,J$2,0))+IF(ISNA(VLOOKUP('Project Details by Yr - MASTER'!$B40,'Public Grounds'!$A$11:$N$49,J$2,0)),0,VLOOKUP('Project Details by Yr - MASTER'!$B40,'Public Grounds'!$A$11:$N$49,J$2,0))+IF(ISNA(VLOOKUP('Project Details by Yr - MASTER'!$B40,'Public Buildings'!$A$10:$N$96,J$2,0)),0,VLOOKUP('Project Details by Yr - MASTER'!$B40,'Public Buildings'!$A$10:$N$96,J$2,0))+IF(ISNA(VLOOKUP('Project Details by Yr - MASTER'!$B40,Bridges!$A$9:$N$24,J$2,0)),0,VLOOKUP('Project Details by Yr - MASTER'!$B40,Bridges!$A$9:$N$24,J$2,0))+IF(ISNA(VLOOKUP('Project Details by Yr - MASTER'!$B40,'Parking Lots &amp; Playgrounds'!$A$9:$N$33,J$2,0)),0,VLOOKUP('Project Details by Yr - MASTER'!$B40,'Parking Lots &amp; Playgrounds'!$A$9:$N$33,J$2,0))+IF(ISNA(VLOOKUP($B40,Vehicles!$B$9:$O$50,J$2,0)),0,VLOOKUP($B40,Vehicles!$B$9:$O$50,J$2,0))</f>
        <v>0</v>
      </c>
      <c r="K40" s="8">
        <f>IF(ISNA(VLOOKUP($B40,'Other Capital Needs'!$C$51:$P$95,K$2,0)),0,VLOOKUP($B40,'Other Capital Needs'!$C$51:$P$95,K$2,0))+IF(ISNA(VLOOKUP('Project Details by Yr - MASTER'!$B40,'Public Grounds'!$A$11:$N$49,K$2,0)),0,VLOOKUP('Project Details by Yr - MASTER'!$B40,'Public Grounds'!$A$11:$N$49,K$2,0))+IF(ISNA(VLOOKUP('Project Details by Yr - MASTER'!$B40,'Public Buildings'!$A$10:$N$96,K$2,0)),0,VLOOKUP('Project Details by Yr - MASTER'!$B40,'Public Buildings'!$A$10:$N$96,K$2,0))+IF(ISNA(VLOOKUP('Project Details by Yr - MASTER'!$B40,Bridges!$A$9:$N$24,K$2,0)),0,VLOOKUP('Project Details by Yr - MASTER'!$B40,Bridges!$A$9:$N$24,K$2,0))+IF(ISNA(VLOOKUP('Project Details by Yr - MASTER'!$B40,'Parking Lots &amp; Playgrounds'!$A$9:$N$33,K$2,0)),0,VLOOKUP('Project Details by Yr - MASTER'!$B40,'Parking Lots &amp; Playgrounds'!$A$9:$N$33,K$2,0))+IF(ISNA(VLOOKUP($B40,Vehicles!$B$9:$O$50,K$2,0)),0,VLOOKUP($B40,Vehicles!$B$9:$O$50,K$2,0))</f>
        <v>0</v>
      </c>
    </row>
    <row r="41" spans="1:11" x14ac:dyDescent="0.25">
      <c r="A41" s="31">
        <v>32</v>
      </c>
      <c r="B41" s="26" t="s">
        <v>176</v>
      </c>
      <c r="C41" s="26" t="s">
        <v>101</v>
      </c>
      <c r="D41" s="26" t="s">
        <v>272</v>
      </c>
      <c r="E41" s="31" t="s">
        <v>16</v>
      </c>
      <c r="F41" s="26"/>
      <c r="G41" s="8">
        <f>IF(ISNA(VLOOKUP($B41,'Other Capital Needs'!$C$51:$P$95,G$2,0)),0,VLOOKUP($B41,'Other Capital Needs'!$C$51:$P$95,G$2,0))+IF(ISNA(VLOOKUP('Project Details by Yr - MASTER'!$B41,'Public Grounds'!$A$11:$N$49,G$2,0)),0,VLOOKUP('Project Details by Yr - MASTER'!$B41,'Public Grounds'!$A$11:$N$49,G$2,0))+IF(ISNA(VLOOKUP('Project Details by Yr - MASTER'!$B41,'Public Buildings'!$A$10:$N$96,G$2,0)),0,VLOOKUP('Project Details by Yr - MASTER'!$B41,'Public Buildings'!$A$10:$N$96,G$2,0))+IF(ISNA(VLOOKUP('Project Details by Yr - MASTER'!$B41,Bridges!$A$9:$N$24,G$2,0)),0,VLOOKUP('Project Details by Yr - MASTER'!$B41,Bridges!$A$9:$N$24,G$2,0))+IF(ISNA(VLOOKUP('Project Details by Yr - MASTER'!$B41,'Parking Lots &amp; Playgrounds'!$A$9:$N$33,G$2,0)),0,VLOOKUP('Project Details by Yr - MASTER'!$B41,'Parking Lots &amp; Playgrounds'!$A$9:$N$33,G$2,0))+IF(ISNA(VLOOKUP($B41,Vehicles!$B$9:$O$50,G$2,0)),0,VLOOKUP($B41,Vehicles!$B$9:$O$50,G$2,0))</f>
        <v>0</v>
      </c>
      <c r="H41" s="8">
        <f>IF(ISNA(VLOOKUP($B41,'Other Capital Needs'!$C$51:$P$95,H$2,0)),0,VLOOKUP($B41,'Other Capital Needs'!$C$51:$P$95,H$2,0))+IF(ISNA(VLOOKUP('Project Details by Yr - MASTER'!$B41,'Public Grounds'!$A$11:$N$49,H$2,0)),0,VLOOKUP('Project Details by Yr - MASTER'!$B41,'Public Grounds'!$A$11:$N$49,H$2,0))+IF(ISNA(VLOOKUP('Project Details by Yr - MASTER'!$B41,'Public Buildings'!$A$10:$N$96,H$2,0)),0,VLOOKUP('Project Details by Yr - MASTER'!$B41,'Public Buildings'!$A$10:$N$96,H$2,0))+IF(ISNA(VLOOKUP('Project Details by Yr - MASTER'!$B41,Bridges!$A$9:$N$24,H$2,0)),0,VLOOKUP('Project Details by Yr - MASTER'!$B41,Bridges!$A$9:$N$24,H$2,0))+IF(ISNA(VLOOKUP('Project Details by Yr - MASTER'!$B41,'Parking Lots &amp; Playgrounds'!$A$9:$N$33,H$2,0)),0,VLOOKUP('Project Details by Yr - MASTER'!$B41,'Parking Lots &amp; Playgrounds'!$A$9:$N$33,H$2,0))+IF(ISNA(VLOOKUP($B41,Vehicles!$B$9:$O$50,H$2,0)),0,VLOOKUP($B41,Vehicles!$B$9:$O$50,H$2,0))</f>
        <v>0</v>
      </c>
      <c r="I41" s="8">
        <f>IF(ISNA(VLOOKUP($B41,'Other Capital Needs'!$C$51:$P$95,I$2,0)),0,VLOOKUP($B41,'Other Capital Needs'!$C$51:$P$95,I$2,0))+IF(ISNA(VLOOKUP('Project Details by Yr - MASTER'!$B41,'Public Grounds'!$A$11:$N$49,I$2,0)),0,VLOOKUP('Project Details by Yr - MASTER'!$B41,'Public Grounds'!$A$11:$N$49,I$2,0))+IF(ISNA(VLOOKUP('Project Details by Yr - MASTER'!$B41,'Public Buildings'!$A$10:$N$96,I$2,0)),0,VLOOKUP('Project Details by Yr - MASTER'!$B41,'Public Buildings'!$A$10:$N$96,I$2,0))+IF(ISNA(VLOOKUP('Project Details by Yr - MASTER'!$B41,Bridges!$A$9:$N$24,I$2,0)),0,VLOOKUP('Project Details by Yr - MASTER'!$B41,Bridges!$A$9:$N$24,I$2,0))+IF(ISNA(VLOOKUP('Project Details by Yr - MASTER'!$B41,'Parking Lots &amp; Playgrounds'!$A$9:$N$33,I$2,0)),0,VLOOKUP('Project Details by Yr - MASTER'!$B41,'Parking Lots &amp; Playgrounds'!$A$9:$N$33,I$2,0))+IF(ISNA(VLOOKUP($B41,Vehicles!$B$9:$O$50,I$2,0)),0,VLOOKUP($B41,Vehicles!$B$9:$O$50,I$2,0))</f>
        <v>0</v>
      </c>
      <c r="J41" s="8">
        <f>IF(ISNA(VLOOKUP($B41,'Other Capital Needs'!$C$51:$P$95,J$2,0)),0,VLOOKUP($B41,'Other Capital Needs'!$C$51:$P$95,J$2,0))+IF(ISNA(VLOOKUP('Project Details by Yr - MASTER'!$B41,'Public Grounds'!$A$11:$N$49,J$2,0)),0,VLOOKUP('Project Details by Yr - MASTER'!$B41,'Public Grounds'!$A$11:$N$49,J$2,0))+IF(ISNA(VLOOKUP('Project Details by Yr - MASTER'!$B41,'Public Buildings'!$A$10:$N$96,J$2,0)),0,VLOOKUP('Project Details by Yr - MASTER'!$B41,'Public Buildings'!$A$10:$N$96,J$2,0))+IF(ISNA(VLOOKUP('Project Details by Yr - MASTER'!$B41,Bridges!$A$9:$N$24,J$2,0)),0,VLOOKUP('Project Details by Yr - MASTER'!$B41,Bridges!$A$9:$N$24,J$2,0))+IF(ISNA(VLOOKUP('Project Details by Yr - MASTER'!$B41,'Parking Lots &amp; Playgrounds'!$A$9:$N$33,J$2,0)),0,VLOOKUP('Project Details by Yr - MASTER'!$B41,'Parking Lots &amp; Playgrounds'!$A$9:$N$33,J$2,0))+IF(ISNA(VLOOKUP($B41,Vehicles!$B$9:$O$50,J$2,0)),0,VLOOKUP($B41,Vehicles!$B$9:$O$50,J$2,0))</f>
        <v>0</v>
      </c>
      <c r="K41" s="8">
        <f>IF(ISNA(VLOOKUP($B41,'Other Capital Needs'!$C$51:$P$95,K$2,0)),0,VLOOKUP($B41,'Other Capital Needs'!$C$51:$P$95,K$2,0))+IF(ISNA(VLOOKUP('Project Details by Yr - MASTER'!$B41,'Public Grounds'!$A$11:$N$49,K$2,0)),0,VLOOKUP('Project Details by Yr - MASTER'!$B41,'Public Grounds'!$A$11:$N$49,K$2,0))+IF(ISNA(VLOOKUP('Project Details by Yr - MASTER'!$B41,'Public Buildings'!$A$10:$N$96,K$2,0)),0,VLOOKUP('Project Details by Yr - MASTER'!$B41,'Public Buildings'!$A$10:$N$96,K$2,0))+IF(ISNA(VLOOKUP('Project Details by Yr - MASTER'!$B41,Bridges!$A$9:$N$24,K$2,0)),0,VLOOKUP('Project Details by Yr - MASTER'!$B41,Bridges!$A$9:$N$24,K$2,0))+IF(ISNA(VLOOKUP('Project Details by Yr - MASTER'!$B41,'Parking Lots &amp; Playgrounds'!$A$9:$N$33,K$2,0)),0,VLOOKUP('Project Details by Yr - MASTER'!$B41,'Parking Lots &amp; Playgrounds'!$A$9:$N$33,K$2,0))+IF(ISNA(VLOOKUP($B41,Vehicles!$B$9:$O$50,K$2,0)),0,VLOOKUP($B41,Vehicles!$B$9:$O$50,K$2,0))</f>
        <v>0</v>
      </c>
    </row>
    <row r="42" spans="1:11" x14ac:dyDescent="0.25">
      <c r="A42" s="31">
        <v>36</v>
      </c>
      <c r="B42" s="26" t="s">
        <v>177</v>
      </c>
      <c r="C42" s="26" t="s">
        <v>101</v>
      </c>
      <c r="D42" s="26" t="s">
        <v>272</v>
      </c>
      <c r="E42" s="31" t="s">
        <v>16</v>
      </c>
      <c r="F42" s="26"/>
      <c r="G42" s="8">
        <f>IF(ISNA(VLOOKUP($B42,'Other Capital Needs'!$C$51:$P$95,G$2,0)),0,VLOOKUP($B42,'Other Capital Needs'!$C$51:$P$95,G$2,0))+IF(ISNA(VLOOKUP('Project Details by Yr - MASTER'!$B42,'Public Grounds'!$A$11:$N$49,G$2,0)),0,VLOOKUP('Project Details by Yr - MASTER'!$B42,'Public Grounds'!$A$11:$N$49,G$2,0))+IF(ISNA(VLOOKUP('Project Details by Yr - MASTER'!$B42,'Public Buildings'!$A$10:$N$96,G$2,0)),0,VLOOKUP('Project Details by Yr - MASTER'!$B42,'Public Buildings'!$A$10:$N$96,G$2,0))+IF(ISNA(VLOOKUP('Project Details by Yr - MASTER'!$B42,Bridges!$A$9:$N$24,G$2,0)),0,VLOOKUP('Project Details by Yr - MASTER'!$B42,Bridges!$A$9:$N$24,G$2,0))+IF(ISNA(VLOOKUP('Project Details by Yr - MASTER'!$B42,'Parking Lots &amp; Playgrounds'!$A$9:$N$33,G$2,0)),0,VLOOKUP('Project Details by Yr - MASTER'!$B42,'Parking Lots &amp; Playgrounds'!$A$9:$N$33,G$2,0))+IF(ISNA(VLOOKUP($B42,Vehicles!$B$9:$O$50,G$2,0)),0,VLOOKUP($B42,Vehicles!$B$9:$O$50,G$2,0))</f>
        <v>0</v>
      </c>
      <c r="H42" s="8">
        <f>IF(ISNA(VLOOKUP($B42,'Other Capital Needs'!$C$51:$P$95,H$2,0)),0,VLOOKUP($B42,'Other Capital Needs'!$C$51:$P$95,H$2,0))+IF(ISNA(VLOOKUP('Project Details by Yr - MASTER'!$B42,'Public Grounds'!$A$11:$N$49,H$2,0)),0,VLOOKUP('Project Details by Yr - MASTER'!$B42,'Public Grounds'!$A$11:$N$49,H$2,0))+IF(ISNA(VLOOKUP('Project Details by Yr - MASTER'!$B42,'Public Buildings'!$A$10:$N$96,H$2,0)),0,VLOOKUP('Project Details by Yr - MASTER'!$B42,'Public Buildings'!$A$10:$N$96,H$2,0))+IF(ISNA(VLOOKUP('Project Details by Yr - MASTER'!$B42,Bridges!$A$9:$N$24,H$2,0)),0,VLOOKUP('Project Details by Yr - MASTER'!$B42,Bridges!$A$9:$N$24,H$2,0))+IF(ISNA(VLOOKUP('Project Details by Yr - MASTER'!$B42,'Parking Lots &amp; Playgrounds'!$A$9:$N$33,H$2,0)),0,VLOOKUP('Project Details by Yr - MASTER'!$B42,'Parking Lots &amp; Playgrounds'!$A$9:$N$33,H$2,0))+IF(ISNA(VLOOKUP($B42,Vehicles!$B$9:$O$50,H$2,0)),0,VLOOKUP($B42,Vehicles!$B$9:$O$50,H$2,0))</f>
        <v>0</v>
      </c>
      <c r="I42" s="8">
        <f>IF(ISNA(VLOOKUP($B42,'Other Capital Needs'!$C$51:$P$95,I$2,0)),0,VLOOKUP($B42,'Other Capital Needs'!$C$51:$P$95,I$2,0))+IF(ISNA(VLOOKUP('Project Details by Yr - MASTER'!$B42,'Public Grounds'!$A$11:$N$49,I$2,0)),0,VLOOKUP('Project Details by Yr - MASTER'!$B42,'Public Grounds'!$A$11:$N$49,I$2,0))+IF(ISNA(VLOOKUP('Project Details by Yr - MASTER'!$B42,'Public Buildings'!$A$10:$N$96,I$2,0)),0,VLOOKUP('Project Details by Yr - MASTER'!$B42,'Public Buildings'!$A$10:$N$96,I$2,0))+IF(ISNA(VLOOKUP('Project Details by Yr - MASTER'!$B42,Bridges!$A$9:$N$24,I$2,0)),0,VLOOKUP('Project Details by Yr - MASTER'!$B42,Bridges!$A$9:$N$24,I$2,0))+IF(ISNA(VLOOKUP('Project Details by Yr - MASTER'!$B42,'Parking Lots &amp; Playgrounds'!$A$9:$N$33,I$2,0)),0,VLOOKUP('Project Details by Yr - MASTER'!$B42,'Parking Lots &amp; Playgrounds'!$A$9:$N$33,I$2,0))+IF(ISNA(VLOOKUP($B42,Vehicles!$B$9:$O$50,I$2,0)),0,VLOOKUP($B42,Vehicles!$B$9:$O$50,I$2,0))</f>
        <v>0</v>
      </c>
      <c r="J42" s="8">
        <f>IF(ISNA(VLOOKUP($B42,'Other Capital Needs'!$C$51:$P$95,J$2,0)),0,VLOOKUP($B42,'Other Capital Needs'!$C$51:$P$95,J$2,0))+IF(ISNA(VLOOKUP('Project Details by Yr - MASTER'!$B42,'Public Grounds'!$A$11:$N$49,J$2,0)),0,VLOOKUP('Project Details by Yr - MASTER'!$B42,'Public Grounds'!$A$11:$N$49,J$2,0))+IF(ISNA(VLOOKUP('Project Details by Yr - MASTER'!$B42,'Public Buildings'!$A$10:$N$96,J$2,0)),0,VLOOKUP('Project Details by Yr - MASTER'!$B42,'Public Buildings'!$A$10:$N$96,J$2,0))+IF(ISNA(VLOOKUP('Project Details by Yr - MASTER'!$B42,Bridges!$A$9:$N$24,J$2,0)),0,VLOOKUP('Project Details by Yr - MASTER'!$B42,Bridges!$A$9:$N$24,J$2,0))+IF(ISNA(VLOOKUP('Project Details by Yr - MASTER'!$B42,'Parking Lots &amp; Playgrounds'!$A$9:$N$33,J$2,0)),0,VLOOKUP('Project Details by Yr - MASTER'!$B42,'Parking Lots &amp; Playgrounds'!$A$9:$N$33,J$2,0))+IF(ISNA(VLOOKUP($B42,Vehicles!$B$9:$O$50,J$2,0)),0,VLOOKUP($B42,Vehicles!$B$9:$O$50,J$2,0))</f>
        <v>0</v>
      </c>
      <c r="K42" s="8">
        <f>IF(ISNA(VLOOKUP($B42,'Other Capital Needs'!$C$51:$P$95,K$2,0)),0,VLOOKUP($B42,'Other Capital Needs'!$C$51:$P$95,K$2,0))+IF(ISNA(VLOOKUP('Project Details by Yr - MASTER'!$B42,'Public Grounds'!$A$11:$N$49,K$2,0)),0,VLOOKUP('Project Details by Yr - MASTER'!$B42,'Public Grounds'!$A$11:$N$49,K$2,0))+IF(ISNA(VLOOKUP('Project Details by Yr - MASTER'!$B42,'Public Buildings'!$A$10:$N$96,K$2,0)),0,VLOOKUP('Project Details by Yr - MASTER'!$B42,'Public Buildings'!$A$10:$N$96,K$2,0))+IF(ISNA(VLOOKUP('Project Details by Yr - MASTER'!$B42,Bridges!$A$9:$N$24,K$2,0)),0,VLOOKUP('Project Details by Yr - MASTER'!$B42,Bridges!$A$9:$N$24,K$2,0))+IF(ISNA(VLOOKUP('Project Details by Yr - MASTER'!$B42,'Parking Lots &amp; Playgrounds'!$A$9:$N$33,K$2,0)),0,VLOOKUP('Project Details by Yr - MASTER'!$B42,'Parking Lots &amp; Playgrounds'!$A$9:$N$33,K$2,0))+IF(ISNA(VLOOKUP($B42,Vehicles!$B$9:$O$50,K$2,0)),0,VLOOKUP($B42,Vehicles!$B$9:$O$50,K$2,0))</f>
        <v>0</v>
      </c>
    </row>
    <row r="43" spans="1:11" x14ac:dyDescent="0.25">
      <c r="A43" s="31">
        <v>36</v>
      </c>
      <c r="B43" s="26" t="s">
        <v>178</v>
      </c>
      <c r="C43" s="26" t="s">
        <v>101</v>
      </c>
      <c r="D43" s="26" t="s">
        <v>272</v>
      </c>
      <c r="E43" s="31" t="s">
        <v>16</v>
      </c>
      <c r="F43" s="26"/>
      <c r="G43" s="8">
        <f>IF(ISNA(VLOOKUP($B43,'Other Capital Needs'!$C$51:$P$95,G$2,0)),0,VLOOKUP($B43,'Other Capital Needs'!$C$51:$P$95,G$2,0))+IF(ISNA(VLOOKUP('Project Details by Yr - MASTER'!$B43,'Public Grounds'!$A$11:$N$49,G$2,0)),0,VLOOKUP('Project Details by Yr - MASTER'!$B43,'Public Grounds'!$A$11:$N$49,G$2,0))+IF(ISNA(VLOOKUP('Project Details by Yr - MASTER'!$B43,'Public Buildings'!$A$10:$N$96,G$2,0)),0,VLOOKUP('Project Details by Yr - MASTER'!$B43,'Public Buildings'!$A$10:$N$96,G$2,0))+IF(ISNA(VLOOKUP('Project Details by Yr - MASTER'!$B43,Bridges!$A$9:$N$24,G$2,0)),0,VLOOKUP('Project Details by Yr - MASTER'!$B43,Bridges!$A$9:$N$24,G$2,0))+IF(ISNA(VLOOKUP('Project Details by Yr - MASTER'!$B43,'Parking Lots &amp; Playgrounds'!$A$9:$N$33,G$2,0)),0,VLOOKUP('Project Details by Yr - MASTER'!$B43,'Parking Lots &amp; Playgrounds'!$A$9:$N$33,G$2,0))+IF(ISNA(VLOOKUP($B43,Vehicles!$B$9:$O$50,G$2,0)),0,VLOOKUP($B43,Vehicles!$B$9:$O$50,G$2,0))</f>
        <v>50000</v>
      </c>
      <c r="H43" s="8">
        <f>IF(ISNA(VLOOKUP($B43,'Other Capital Needs'!$C$51:$P$95,H$2,0)),0,VLOOKUP($B43,'Other Capital Needs'!$C$51:$P$95,H$2,0))+IF(ISNA(VLOOKUP('Project Details by Yr - MASTER'!$B43,'Public Grounds'!$A$11:$N$49,H$2,0)),0,VLOOKUP('Project Details by Yr - MASTER'!$B43,'Public Grounds'!$A$11:$N$49,H$2,0))+IF(ISNA(VLOOKUP('Project Details by Yr - MASTER'!$B43,'Public Buildings'!$A$10:$N$96,H$2,0)),0,VLOOKUP('Project Details by Yr - MASTER'!$B43,'Public Buildings'!$A$10:$N$96,H$2,0))+IF(ISNA(VLOOKUP('Project Details by Yr - MASTER'!$B43,Bridges!$A$9:$N$24,H$2,0)),0,VLOOKUP('Project Details by Yr - MASTER'!$B43,Bridges!$A$9:$N$24,H$2,0))+IF(ISNA(VLOOKUP('Project Details by Yr - MASTER'!$B43,'Parking Lots &amp; Playgrounds'!$A$9:$N$33,H$2,0)),0,VLOOKUP('Project Details by Yr - MASTER'!$B43,'Parking Lots &amp; Playgrounds'!$A$9:$N$33,H$2,0))+IF(ISNA(VLOOKUP($B43,Vehicles!$B$9:$O$50,H$2,0)),0,VLOOKUP($B43,Vehicles!$B$9:$O$50,H$2,0))</f>
        <v>0</v>
      </c>
      <c r="I43" s="8">
        <f>IF(ISNA(VLOOKUP($B43,'Other Capital Needs'!$C$51:$P$95,I$2,0)),0,VLOOKUP($B43,'Other Capital Needs'!$C$51:$P$95,I$2,0))+IF(ISNA(VLOOKUP('Project Details by Yr - MASTER'!$B43,'Public Grounds'!$A$11:$N$49,I$2,0)),0,VLOOKUP('Project Details by Yr - MASTER'!$B43,'Public Grounds'!$A$11:$N$49,I$2,0))+IF(ISNA(VLOOKUP('Project Details by Yr - MASTER'!$B43,'Public Buildings'!$A$10:$N$96,I$2,0)),0,VLOOKUP('Project Details by Yr - MASTER'!$B43,'Public Buildings'!$A$10:$N$96,I$2,0))+IF(ISNA(VLOOKUP('Project Details by Yr - MASTER'!$B43,Bridges!$A$9:$N$24,I$2,0)),0,VLOOKUP('Project Details by Yr - MASTER'!$B43,Bridges!$A$9:$N$24,I$2,0))+IF(ISNA(VLOOKUP('Project Details by Yr - MASTER'!$B43,'Parking Lots &amp; Playgrounds'!$A$9:$N$33,I$2,0)),0,VLOOKUP('Project Details by Yr - MASTER'!$B43,'Parking Lots &amp; Playgrounds'!$A$9:$N$33,I$2,0))+IF(ISNA(VLOOKUP($B43,Vehicles!$B$9:$O$50,I$2,0)),0,VLOOKUP($B43,Vehicles!$B$9:$O$50,I$2,0))</f>
        <v>0</v>
      </c>
      <c r="J43" s="8">
        <f>IF(ISNA(VLOOKUP($B43,'Other Capital Needs'!$C$51:$P$95,J$2,0)),0,VLOOKUP($B43,'Other Capital Needs'!$C$51:$P$95,J$2,0))+IF(ISNA(VLOOKUP('Project Details by Yr - MASTER'!$B43,'Public Grounds'!$A$11:$N$49,J$2,0)),0,VLOOKUP('Project Details by Yr - MASTER'!$B43,'Public Grounds'!$A$11:$N$49,J$2,0))+IF(ISNA(VLOOKUP('Project Details by Yr - MASTER'!$B43,'Public Buildings'!$A$10:$N$96,J$2,0)),0,VLOOKUP('Project Details by Yr - MASTER'!$B43,'Public Buildings'!$A$10:$N$96,J$2,0))+IF(ISNA(VLOOKUP('Project Details by Yr - MASTER'!$B43,Bridges!$A$9:$N$24,J$2,0)),0,VLOOKUP('Project Details by Yr - MASTER'!$B43,Bridges!$A$9:$N$24,J$2,0))+IF(ISNA(VLOOKUP('Project Details by Yr - MASTER'!$B43,'Parking Lots &amp; Playgrounds'!$A$9:$N$33,J$2,0)),0,VLOOKUP('Project Details by Yr - MASTER'!$B43,'Parking Lots &amp; Playgrounds'!$A$9:$N$33,J$2,0))+IF(ISNA(VLOOKUP($B43,Vehicles!$B$9:$O$50,J$2,0)),0,VLOOKUP($B43,Vehicles!$B$9:$O$50,J$2,0))</f>
        <v>0</v>
      </c>
      <c r="K43" s="8">
        <f>IF(ISNA(VLOOKUP($B43,'Other Capital Needs'!$C$51:$P$95,K$2,0)),0,VLOOKUP($B43,'Other Capital Needs'!$C$51:$P$95,K$2,0))+IF(ISNA(VLOOKUP('Project Details by Yr - MASTER'!$B43,'Public Grounds'!$A$11:$N$49,K$2,0)),0,VLOOKUP('Project Details by Yr - MASTER'!$B43,'Public Grounds'!$A$11:$N$49,K$2,0))+IF(ISNA(VLOOKUP('Project Details by Yr - MASTER'!$B43,'Public Buildings'!$A$10:$N$96,K$2,0)),0,VLOOKUP('Project Details by Yr - MASTER'!$B43,'Public Buildings'!$A$10:$N$96,K$2,0))+IF(ISNA(VLOOKUP('Project Details by Yr - MASTER'!$B43,Bridges!$A$9:$N$24,K$2,0)),0,VLOOKUP('Project Details by Yr - MASTER'!$B43,Bridges!$A$9:$N$24,K$2,0))+IF(ISNA(VLOOKUP('Project Details by Yr - MASTER'!$B43,'Parking Lots &amp; Playgrounds'!$A$9:$N$33,K$2,0)),0,VLOOKUP('Project Details by Yr - MASTER'!$B43,'Parking Lots &amp; Playgrounds'!$A$9:$N$33,K$2,0))+IF(ISNA(VLOOKUP($B43,Vehicles!$B$9:$O$50,K$2,0)),0,VLOOKUP($B43,Vehicles!$B$9:$O$50,K$2,0))</f>
        <v>0</v>
      </c>
    </row>
    <row r="44" spans="1:11" x14ac:dyDescent="0.25">
      <c r="A44" s="31">
        <v>36</v>
      </c>
      <c r="B44" s="26" t="s">
        <v>179</v>
      </c>
      <c r="C44" s="26" t="s">
        <v>101</v>
      </c>
      <c r="D44" s="26" t="s">
        <v>272</v>
      </c>
      <c r="E44" s="31" t="s">
        <v>38</v>
      </c>
      <c r="F44" s="26"/>
      <c r="G44" s="8">
        <f>IF(ISNA(VLOOKUP($B44,'Other Capital Needs'!$C$51:$P$95,G$2,0)),0,VLOOKUP($B44,'Other Capital Needs'!$C$51:$P$95,G$2,0))+IF(ISNA(VLOOKUP('Project Details by Yr - MASTER'!$B44,'Public Grounds'!$A$11:$N$49,G$2,0)),0,VLOOKUP('Project Details by Yr - MASTER'!$B44,'Public Grounds'!$A$11:$N$49,G$2,0))+IF(ISNA(VLOOKUP('Project Details by Yr - MASTER'!$B44,'Public Buildings'!$A$10:$N$96,G$2,0)),0,VLOOKUP('Project Details by Yr - MASTER'!$B44,'Public Buildings'!$A$10:$N$96,G$2,0))+IF(ISNA(VLOOKUP('Project Details by Yr - MASTER'!$B44,Bridges!$A$9:$N$24,G$2,0)),0,VLOOKUP('Project Details by Yr - MASTER'!$B44,Bridges!$A$9:$N$24,G$2,0))+IF(ISNA(VLOOKUP('Project Details by Yr - MASTER'!$B44,'Parking Lots &amp; Playgrounds'!$A$9:$N$33,G$2,0)),0,VLOOKUP('Project Details by Yr - MASTER'!$B44,'Parking Lots &amp; Playgrounds'!$A$9:$N$33,G$2,0))+IF(ISNA(VLOOKUP($B44,Vehicles!$B$9:$O$50,G$2,0)),0,VLOOKUP($B44,Vehicles!$B$9:$O$50,G$2,0))</f>
        <v>120000</v>
      </c>
      <c r="H44" s="8">
        <f>IF(ISNA(VLOOKUP($B44,'Other Capital Needs'!$C$51:$P$95,H$2,0)),0,VLOOKUP($B44,'Other Capital Needs'!$C$51:$P$95,H$2,0))+IF(ISNA(VLOOKUP('Project Details by Yr - MASTER'!$B44,'Public Grounds'!$A$11:$N$49,H$2,0)),0,VLOOKUP('Project Details by Yr - MASTER'!$B44,'Public Grounds'!$A$11:$N$49,H$2,0))+IF(ISNA(VLOOKUP('Project Details by Yr - MASTER'!$B44,'Public Buildings'!$A$10:$N$96,H$2,0)),0,VLOOKUP('Project Details by Yr - MASTER'!$B44,'Public Buildings'!$A$10:$N$96,H$2,0))+IF(ISNA(VLOOKUP('Project Details by Yr - MASTER'!$B44,Bridges!$A$9:$N$24,H$2,0)),0,VLOOKUP('Project Details by Yr - MASTER'!$B44,Bridges!$A$9:$N$24,H$2,0))+IF(ISNA(VLOOKUP('Project Details by Yr - MASTER'!$B44,'Parking Lots &amp; Playgrounds'!$A$9:$N$33,H$2,0)),0,VLOOKUP('Project Details by Yr - MASTER'!$B44,'Parking Lots &amp; Playgrounds'!$A$9:$N$33,H$2,0))+IF(ISNA(VLOOKUP($B44,Vehicles!$B$9:$O$50,H$2,0)),0,VLOOKUP($B44,Vehicles!$B$9:$O$50,H$2,0))</f>
        <v>120000</v>
      </c>
      <c r="I44" s="8">
        <f>IF(ISNA(VLOOKUP($B44,'Other Capital Needs'!$C$51:$P$95,I$2,0)),0,VLOOKUP($B44,'Other Capital Needs'!$C$51:$P$95,I$2,0))+IF(ISNA(VLOOKUP('Project Details by Yr - MASTER'!$B44,'Public Grounds'!$A$11:$N$49,I$2,0)),0,VLOOKUP('Project Details by Yr - MASTER'!$B44,'Public Grounds'!$A$11:$N$49,I$2,0))+IF(ISNA(VLOOKUP('Project Details by Yr - MASTER'!$B44,'Public Buildings'!$A$10:$N$96,I$2,0)),0,VLOOKUP('Project Details by Yr - MASTER'!$B44,'Public Buildings'!$A$10:$N$96,I$2,0))+IF(ISNA(VLOOKUP('Project Details by Yr - MASTER'!$B44,Bridges!$A$9:$N$24,I$2,0)),0,VLOOKUP('Project Details by Yr - MASTER'!$B44,Bridges!$A$9:$N$24,I$2,0))+IF(ISNA(VLOOKUP('Project Details by Yr - MASTER'!$B44,'Parking Lots &amp; Playgrounds'!$A$9:$N$33,I$2,0)),0,VLOOKUP('Project Details by Yr - MASTER'!$B44,'Parking Lots &amp; Playgrounds'!$A$9:$N$33,I$2,0))+IF(ISNA(VLOOKUP($B44,Vehicles!$B$9:$O$50,I$2,0)),0,VLOOKUP($B44,Vehicles!$B$9:$O$50,I$2,0))</f>
        <v>120000</v>
      </c>
      <c r="J44" s="8">
        <f>IF(ISNA(VLOOKUP($B44,'Other Capital Needs'!$C$51:$P$95,J$2,0)),0,VLOOKUP($B44,'Other Capital Needs'!$C$51:$P$95,J$2,0))+IF(ISNA(VLOOKUP('Project Details by Yr - MASTER'!$B44,'Public Grounds'!$A$11:$N$49,J$2,0)),0,VLOOKUP('Project Details by Yr - MASTER'!$B44,'Public Grounds'!$A$11:$N$49,J$2,0))+IF(ISNA(VLOOKUP('Project Details by Yr - MASTER'!$B44,'Public Buildings'!$A$10:$N$96,J$2,0)),0,VLOOKUP('Project Details by Yr - MASTER'!$B44,'Public Buildings'!$A$10:$N$96,J$2,0))+IF(ISNA(VLOOKUP('Project Details by Yr - MASTER'!$B44,Bridges!$A$9:$N$24,J$2,0)),0,VLOOKUP('Project Details by Yr - MASTER'!$B44,Bridges!$A$9:$N$24,J$2,0))+IF(ISNA(VLOOKUP('Project Details by Yr - MASTER'!$B44,'Parking Lots &amp; Playgrounds'!$A$9:$N$33,J$2,0)),0,VLOOKUP('Project Details by Yr - MASTER'!$B44,'Parking Lots &amp; Playgrounds'!$A$9:$N$33,J$2,0))+IF(ISNA(VLOOKUP($B44,Vehicles!$B$9:$O$50,J$2,0)),0,VLOOKUP($B44,Vehicles!$B$9:$O$50,J$2,0))</f>
        <v>120000</v>
      </c>
      <c r="K44" s="8">
        <f>IF(ISNA(VLOOKUP($B44,'Other Capital Needs'!$C$51:$P$95,K$2,0)),0,VLOOKUP($B44,'Other Capital Needs'!$C$51:$P$95,K$2,0))+IF(ISNA(VLOOKUP('Project Details by Yr - MASTER'!$B44,'Public Grounds'!$A$11:$N$49,K$2,0)),0,VLOOKUP('Project Details by Yr - MASTER'!$B44,'Public Grounds'!$A$11:$N$49,K$2,0))+IF(ISNA(VLOOKUP('Project Details by Yr - MASTER'!$B44,'Public Buildings'!$A$10:$N$96,K$2,0)),0,VLOOKUP('Project Details by Yr - MASTER'!$B44,'Public Buildings'!$A$10:$N$96,K$2,0))+IF(ISNA(VLOOKUP('Project Details by Yr - MASTER'!$B44,Bridges!$A$9:$N$24,K$2,0)),0,VLOOKUP('Project Details by Yr - MASTER'!$B44,Bridges!$A$9:$N$24,K$2,0))+IF(ISNA(VLOOKUP('Project Details by Yr - MASTER'!$B44,'Parking Lots &amp; Playgrounds'!$A$9:$N$33,K$2,0)),0,VLOOKUP('Project Details by Yr - MASTER'!$B44,'Parking Lots &amp; Playgrounds'!$A$9:$N$33,K$2,0))+IF(ISNA(VLOOKUP($B44,Vehicles!$B$9:$O$50,K$2,0)),0,VLOOKUP($B44,Vehicles!$B$9:$O$50,K$2,0))</f>
        <v>120000</v>
      </c>
    </row>
    <row r="45" spans="1:11" x14ac:dyDescent="0.25">
      <c r="A45" s="31">
        <v>36</v>
      </c>
      <c r="B45" s="26" t="s">
        <v>180</v>
      </c>
      <c r="C45" s="26" t="s">
        <v>101</v>
      </c>
      <c r="D45" s="26" t="s">
        <v>272</v>
      </c>
      <c r="E45" s="31" t="s">
        <v>16</v>
      </c>
      <c r="F45" s="26"/>
      <c r="G45" s="8">
        <f>IF(ISNA(VLOOKUP($B45,'Other Capital Needs'!$C$51:$P$95,G$2,0)),0,VLOOKUP($B45,'Other Capital Needs'!$C$51:$P$95,G$2,0))+IF(ISNA(VLOOKUP('Project Details by Yr - MASTER'!$B45,'Public Grounds'!$A$11:$N$49,G$2,0)),0,VLOOKUP('Project Details by Yr - MASTER'!$B45,'Public Grounds'!$A$11:$N$49,G$2,0))+IF(ISNA(VLOOKUP('Project Details by Yr - MASTER'!$B45,'Public Buildings'!$A$10:$N$96,G$2,0)),0,VLOOKUP('Project Details by Yr - MASTER'!$B45,'Public Buildings'!$A$10:$N$96,G$2,0))+IF(ISNA(VLOOKUP('Project Details by Yr - MASTER'!$B45,Bridges!$A$9:$N$24,G$2,0)),0,VLOOKUP('Project Details by Yr - MASTER'!$B45,Bridges!$A$9:$N$24,G$2,0))+IF(ISNA(VLOOKUP('Project Details by Yr - MASTER'!$B45,'Parking Lots &amp; Playgrounds'!$A$9:$N$33,G$2,0)),0,VLOOKUP('Project Details by Yr - MASTER'!$B45,'Parking Lots &amp; Playgrounds'!$A$9:$N$33,G$2,0))+IF(ISNA(VLOOKUP($B45,Vehicles!$B$9:$O$50,G$2,0)),0,VLOOKUP($B45,Vehicles!$B$9:$O$50,G$2,0))</f>
        <v>0</v>
      </c>
      <c r="H45" s="8">
        <f>IF(ISNA(VLOOKUP($B45,'Other Capital Needs'!$C$51:$P$95,H$2,0)),0,VLOOKUP($B45,'Other Capital Needs'!$C$51:$P$95,H$2,0))+IF(ISNA(VLOOKUP('Project Details by Yr - MASTER'!$B45,'Public Grounds'!$A$11:$N$49,H$2,0)),0,VLOOKUP('Project Details by Yr - MASTER'!$B45,'Public Grounds'!$A$11:$N$49,H$2,0))+IF(ISNA(VLOOKUP('Project Details by Yr - MASTER'!$B45,'Public Buildings'!$A$10:$N$96,H$2,0)),0,VLOOKUP('Project Details by Yr - MASTER'!$B45,'Public Buildings'!$A$10:$N$96,H$2,0))+IF(ISNA(VLOOKUP('Project Details by Yr - MASTER'!$B45,Bridges!$A$9:$N$24,H$2,0)),0,VLOOKUP('Project Details by Yr - MASTER'!$B45,Bridges!$A$9:$N$24,H$2,0))+IF(ISNA(VLOOKUP('Project Details by Yr - MASTER'!$B45,'Parking Lots &amp; Playgrounds'!$A$9:$N$33,H$2,0)),0,VLOOKUP('Project Details by Yr - MASTER'!$B45,'Parking Lots &amp; Playgrounds'!$A$9:$N$33,H$2,0))+IF(ISNA(VLOOKUP($B45,Vehicles!$B$9:$O$50,H$2,0)),0,VLOOKUP($B45,Vehicles!$B$9:$O$50,H$2,0))</f>
        <v>0</v>
      </c>
      <c r="I45" s="8">
        <f>IF(ISNA(VLOOKUP($B45,'Other Capital Needs'!$C$51:$P$95,I$2,0)),0,VLOOKUP($B45,'Other Capital Needs'!$C$51:$P$95,I$2,0))+IF(ISNA(VLOOKUP('Project Details by Yr - MASTER'!$B45,'Public Grounds'!$A$11:$N$49,I$2,0)),0,VLOOKUP('Project Details by Yr - MASTER'!$B45,'Public Grounds'!$A$11:$N$49,I$2,0))+IF(ISNA(VLOOKUP('Project Details by Yr - MASTER'!$B45,'Public Buildings'!$A$10:$N$96,I$2,0)),0,VLOOKUP('Project Details by Yr - MASTER'!$B45,'Public Buildings'!$A$10:$N$96,I$2,0))+IF(ISNA(VLOOKUP('Project Details by Yr - MASTER'!$B45,Bridges!$A$9:$N$24,I$2,0)),0,VLOOKUP('Project Details by Yr - MASTER'!$B45,Bridges!$A$9:$N$24,I$2,0))+IF(ISNA(VLOOKUP('Project Details by Yr - MASTER'!$B45,'Parking Lots &amp; Playgrounds'!$A$9:$N$33,I$2,0)),0,VLOOKUP('Project Details by Yr - MASTER'!$B45,'Parking Lots &amp; Playgrounds'!$A$9:$N$33,I$2,0))+IF(ISNA(VLOOKUP($B45,Vehicles!$B$9:$O$50,I$2,0)),0,VLOOKUP($B45,Vehicles!$B$9:$O$50,I$2,0))</f>
        <v>0</v>
      </c>
      <c r="J45" s="8">
        <f>IF(ISNA(VLOOKUP($B45,'Other Capital Needs'!$C$51:$P$95,J$2,0)),0,VLOOKUP($B45,'Other Capital Needs'!$C$51:$P$95,J$2,0))+IF(ISNA(VLOOKUP('Project Details by Yr - MASTER'!$B45,'Public Grounds'!$A$11:$N$49,J$2,0)),0,VLOOKUP('Project Details by Yr - MASTER'!$B45,'Public Grounds'!$A$11:$N$49,J$2,0))+IF(ISNA(VLOOKUP('Project Details by Yr - MASTER'!$B45,'Public Buildings'!$A$10:$N$96,J$2,0)),0,VLOOKUP('Project Details by Yr - MASTER'!$B45,'Public Buildings'!$A$10:$N$96,J$2,0))+IF(ISNA(VLOOKUP('Project Details by Yr - MASTER'!$B45,Bridges!$A$9:$N$24,J$2,0)),0,VLOOKUP('Project Details by Yr - MASTER'!$B45,Bridges!$A$9:$N$24,J$2,0))+IF(ISNA(VLOOKUP('Project Details by Yr - MASTER'!$B45,'Parking Lots &amp; Playgrounds'!$A$9:$N$33,J$2,0)),0,VLOOKUP('Project Details by Yr - MASTER'!$B45,'Parking Lots &amp; Playgrounds'!$A$9:$N$33,J$2,0))+IF(ISNA(VLOOKUP($B45,Vehicles!$B$9:$O$50,J$2,0)),0,VLOOKUP($B45,Vehicles!$B$9:$O$50,J$2,0))</f>
        <v>0</v>
      </c>
      <c r="K45" s="8">
        <f>IF(ISNA(VLOOKUP($B45,'Other Capital Needs'!$C$51:$P$95,K$2,0)),0,VLOOKUP($B45,'Other Capital Needs'!$C$51:$P$95,K$2,0))+IF(ISNA(VLOOKUP('Project Details by Yr - MASTER'!$B45,'Public Grounds'!$A$11:$N$49,K$2,0)),0,VLOOKUP('Project Details by Yr - MASTER'!$B45,'Public Grounds'!$A$11:$N$49,K$2,0))+IF(ISNA(VLOOKUP('Project Details by Yr - MASTER'!$B45,'Public Buildings'!$A$10:$N$96,K$2,0)),0,VLOOKUP('Project Details by Yr - MASTER'!$B45,'Public Buildings'!$A$10:$N$96,K$2,0))+IF(ISNA(VLOOKUP('Project Details by Yr - MASTER'!$B45,Bridges!$A$9:$N$24,K$2,0)),0,VLOOKUP('Project Details by Yr - MASTER'!$B45,Bridges!$A$9:$N$24,K$2,0))+IF(ISNA(VLOOKUP('Project Details by Yr - MASTER'!$B45,'Parking Lots &amp; Playgrounds'!$A$9:$N$33,K$2,0)),0,VLOOKUP('Project Details by Yr - MASTER'!$B45,'Parking Lots &amp; Playgrounds'!$A$9:$N$33,K$2,0))+IF(ISNA(VLOOKUP($B45,Vehicles!$B$9:$O$50,K$2,0)),0,VLOOKUP($B45,Vehicles!$B$9:$O$50,K$2,0))</f>
        <v>0</v>
      </c>
    </row>
    <row r="46" spans="1:11" x14ac:dyDescent="0.25">
      <c r="A46" s="31">
        <v>36</v>
      </c>
      <c r="B46" s="26" t="s">
        <v>110</v>
      </c>
      <c r="C46" s="26" t="s">
        <v>101</v>
      </c>
      <c r="D46" s="26" t="s">
        <v>272</v>
      </c>
      <c r="E46" s="31" t="s">
        <v>19</v>
      </c>
      <c r="F46" s="26"/>
      <c r="G46" s="8">
        <f>IF(ISNA(VLOOKUP($B46,'Other Capital Needs'!$C$51:$P$95,G$2,0)),0,VLOOKUP($B46,'Other Capital Needs'!$C$51:$P$95,G$2,0))+IF(ISNA(VLOOKUP('Project Details by Yr - MASTER'!$B46,'Public Grounds'!$A$11:$N$49,G$2,0)),0,VLOOKUP('Project Details by Yr - MASTER'!$B46,'Public Grounds'!$A$11:$N$49,G$2,0))+IF(ISNA(VLOOKUP('Project Details by Yr - MASTER'!$B46,'Public Buildings'!$A$10:$N$96,G$2,0)),0,VLOOKUP('Project Details by Yr - MASTER'!$B46,'Public Buildings'!$A$10:$N$96,G$2,0))+IF(ISNA(VLOOKUP('Project Details by Yr - MASTER'!$B46,Bridges!$A$9:$N$24,G$2,0)),0,VLOOKUP('Project Details by Yr - MASTER'!$B46,Bridges!$A$9:$N$24,G$2,0))+IF(ISNA(VLOOKUP('Project Details by Yr - MASTER'!$B46,'Parking Lots &amp; Playgrounds'!$A$9:$N$33,G$2,0)),0,VLOOKUP('Project Details by Yr - MASTER'!$B46,'Parking Lots &amp; Playgrounds'!$A$9:$N$33,G$2,0))+IF(ISNA(VLOOKUP($B46,Vehicles!$B$9:$O$50,G$2,0)),0,VLOOKUP($B46,Vehicles!$B$9:$O$50,G$2,0))</f>
        <v>1400000</v>
      </c>
      <c r="H46" s="8">
        <f>IF(ISNA(VLOOKUP($B46,'Other Capital Needs'!$C$51:$P$95,H$2,0)),0,VLOOKUP($B46,'Other Capital Needs'!$C$51:$P$95,H$2,0))+IF(ISNA(VLOOKUP('Project Details by Yr - MASTER'!$B46,'Public Grounds'!$A$11:$N$49,H$2,0)),0,VLOOKUP('Project Details by Yr - MASTER'!$B46,'Public Grounds'!$A$11:$N$49,H$2,0))+IF(ISNA(VLOOKUP('Project Details by Yr - MASTER'!$B46,'Public Buildings'!$A$10:$N$96,H$2,0)),0,VLOOKUP('Project Details by Yr - MASTER'!$B46,'Public Buildings'!$A$10:$N$96,H$2,0))+IF(ISNA(VLOOKUP('Project Details by Yr - MASTER'!$B46,Bridges!$A$9:$N$24,H$2,0)),0,VLOOKUP('Project Details by Yr - MASTER'!$B46,Bridges!$A$9:$N$24,H$2,0))+IF(ISNA(VLOOKUP('Project Details by Yr - MASTER'!$B46,'Parking Lots &amp; Playgrounds'!$A$9:$N$33,H$2,0)),0,VLOOKUP('Project Details by Yr - MASTER'!$B46,'Parking Lots &amp; Playgrounds'!$A$9:$N$33,H$2,0))+IF(ISNA(VLOOKUP($B46,Vehicles!$B$9:$O$50,H$2,0)),0,VLOOKUP($B46,Vehicles!$B$9:$O$50,H$2,0))</f>
        <v>0</v>
      </c>
      <c r="I46" s="8">
        <f>IF(ISNA(VLOOKUP($B46,'Other Capital Needs'!$C$51:$P$95,I$2,0)),0,VLOOKUP($B46,'Other Capital Needs'!$C$51:$P$95,I$2,0))+IF(ISNA(VLOOKUP('Project Details by Yr - MASTER'!$B46,'Public Grounds'!$A$11:$N$49,I$2,0)),0,VLOOKUP('Project Details by Yr - MASTER'!$B46,'Public Grounds'!$A$11:$N$49,I$2,0))+IF(ISNA(VLOOKUP('Project Details by Yr - MASTER'!$B46,'Public Buildings'!$A$10:$N$96,I$2,0)),0,VLOOKUP('Project Details by Yr - MASTER'!$B46,'Public Buildings'!$A$10:$N$96,I$2,0))+IF(ISNA(VLOOKUP('Project Details by Yr - MASTER'!$B46,Bridges!$A$9:$N$24,I$2,0)),0,VLOOKUP('Project Details by Yr - MASTER'!$B46,Bridges!$A$9:$N$24,I$2,0))+IF(ISNA(VLOOKUP('Project Details by Yr - MASTER'!$B46,'Parking Lots &amp; Playgrounds'!$A$9:$N$33,I$2,0)),0,VLOOKUP('Project Details by Yr - MASTER'!$B46,'Parking Lots &amp; Playgrounds'!$A$9:$N$33,I$2,0))+IF(ISNA(VLOOKUP($B46,Vehicles!$B$9:$O$50,I$2,0)),0,VLOOKUP($B46,Vehicles!$B$9:$O$50,I$2,0))</f>
        <v>0</v>
      </c>
      <c r="J46" s="8">
        <f>IF(ISNA(VLOOKUP($B46,'Other Capital Needs'!$C$51:$P$95,J$2,0)),0,VLOOKUP($B46,'Other Capital Needs'!$C$51:$P$95,J$2,0))+IF(ISNA(VLOOKUP('Project Details by Yr - MASTER'!$B46,'Public Grounds'!$A$11:$N$49,J$2,0)),0,VLOOKUP('Project Details by Yr - MASTER'!$B46,'Public Grounds'!$A$11:$N$49,J$2,0))+IF(ISNA(VLOOKUP('Project Details by Yr - MASTER'!$B46,'Public Buildings'!$A$10:$N$96,J$2,0)),0,VLOOKUP('Project Details by Yr - MASTER'!$B46,'Public Buildings'!$A$10:$N$96,J$2,0))+IF(ISNA(VLOOKUP('Project Details by Yr - MASTER'!$B46,Bridges!$A$9:$N$24,J$2,0)),0,VLOOKUP('Project Details by Yr - MASTER'!$B46,Bridges!$A$9:$N$24,J$2,0))+IF(ISNA(VLOOKUP('Project Details by Yr - MASTER'!$B46,'Parking Lots &amp; Playgrounds'!$A$9:$N$33,J$2,0)),0,VLOOKUP('Project Details by Yr - MASTER'!$B46,'Parking Lots &amp; Playgrounds'!$A$9:$N$33,J$2,0))+IF(ISNA(VLOOKUP($B46,Vehicles!$B$9:$O$50,J$2,0)),0,VLOOKUP($B46,Vehicles!$B$9:$O$50,J$2,0))</f>
        <v>0</v>
      </c>
      <c r="K46" s="8">
        <f>IF(ISNA(VLOOKUP($B46,'Other Capital Needs'!$C$51:$P$95,K$2,0)),0,VLOOKUP($B46,'Other Capital Needs'!$C$51:$P$95,K$2,0))+IF(ISNA(VLOOKUP('Project Details by Yr - MASTER'!$B46,'Public Grounds'!$A$11:$N$49,K$2,0)),0,VLOOKUP('Project Details by Yr - MASTER'!$B46,'Public Grounds'!$A$11:$N$49,K$2,0))+IF(ISNA(VLOOKUP('Project Details by Yr - MASTER'!$B46,'Public Buildings'!$A$10:$N$96,K$2,0)),0,VLOOKUP('Project Details by Yr - MASTER'!$B46,'Public Buildings'!$A$10:$N$96,K$2,0))+IF(ISNA(VLOOKUP('Project Details by Yr - MASTER'!$B46,Bridges!$A$9:$N$24,K$2,0)),0,VLOOKUP('Project Details by Yr - MASTER'!$B46,Bridges!$A$9:$N$24,K$2,0))+IF(ISNA(VLOOKUP('Project Details by Yr - MASTER'!$B46,'Parking Lots &amp; Playgrounds'!$A$9:$N$33,K$2,0)),0,VLOOKUP('Project Details by Yr - MASTER'!$B46,'Parking Lots &amp; Playgrounds'!$A$9:$N$33,K$2,0))+IF(ISNA(VLOOKUP($B46,Vehicles!$B$9:$O$50,K$2,0)),0,VLOOKUP($B46,Vehicles!$B$9:$O$50,K$2,0))</f>
        <v>0</v>
      </c>
    </row>
    <row r="47" spans="1:11" x14ac:dyDescent="0.25">
      <c r="A47" s="31">
        <v>42</v>
      </c>
      <c r="B47" s="26" t="s">
        <v>182</v>
      </c>
      <c r="C47" s="26" t="s">
        <v>101</v>
      </c>
      <c r="D47" s="26" t="s">
        <v>272</v>
      </c>
      <c r="E47" s="31" t="s">
        <v>16</v>
      </c>
      <c r="F47" s="26"/>
      <c r="G47" s="8">
        <f>IF(ISNA(VLOOKUP($B47,'Other Capital Needs'!$C$51:$P$95,G$2,0)),0,VLOOKUP($B47,'Other Capital Needs'!$C$51:$P$95,G$2,0))+IF(ISNA(VLOOKUP('Project Details by Yr - MASTER'!$B47,'Public Grounds'!$A$11:$N$49,G$2,0)),0,VLOOKUP('Project Details by Yr - MASTER'!$B47,'Public Grounds'!$A$11:$N$49,G$2,0))+IF(ISNA(VLOOKUP('Project Details by Yr - MASTER'!$B47,'Public Buildings'!$A$10:$N$96,G$2,0)),0,VLOOKUP('Project Details by Yr - MASTER'!$B47,'Public Buildings'!$A$10:$N$96,G$2,0))+IF(ISNA(VLOOKUP('Project Details by Yr - MASTER'!$B47,Bridges!$A$9:$N$24,G$2,0)),0,VLOOKUP('Project Details by Yr - MASTER'!$B47,Bridges!$A$9:$N$24,G$2,0))+IF(ISNA(VLOOKUP('Project Details by Yr - MASTER'!$B47,'Parking Lots &amp; Playgrounds'!$A$9:$N$33,G$2,0)),0,VLOOKUP('Project Details by Yr - MASTER'!$B47,'Parking Lots &amp; Playgrounds'!$A$9:$N$33,G$2,0))+IF(ISNA(VLOOKUP($B47,Vehicles!$B$9:$O$50,G$2,0)),0,VLOOKUP($B47,Vehicles!$B$9:$O$50,G$2,0))</f>
        <v>0</v>
      </c>
      <c r="H47" s="8">
        <f>IF(ISNA(VLOOKUP($B47,'Other Capital Needs'!$C$51:$P$95,H$2,0)),0,VLOOKUP($B47,'Other Capital Needs'!$C$51:$P$95,H$2,0))+IF(ISNA(VLOOKUP('Project Details by Yr - MASTER'!$B47,'Public Grounds'!$A$11:$N$49,H$2,0)),0,VLOOKUP('Project Details by Yr - MASTER'!$B47,'Public Grounds'!$A$11:$N$49,H$2,0))+IF(ISNA(VLOOKUP('Project Details by Yr - MASTER'!$B47,'Public Buildings'!$A$10:$N$96,H$2,0)),0,VLOOKUP('Project Details by Yr - MASTER'!$B47,'Public Buildings'!$A$10:$N$96,H$2,0))+IF(ISNA(VLOOKUP('Project Details by Yr - MASTER'!$B47,Bridges!$A$9:$N$24,H$2,0)),0,VLOOKUP('Project Details by Yr - MASTER'!$B47,Bridges!$A$9:$N$24,H$2,0))+IF(ISNA(VLOOKUP('Project Details by Yr - MASTER'!$B47,'Parking Lots &amp; Playgrounds'!$A$9:$N$33,H$2,0)),0,VLOOKUP('Project Details by Yr - MASTER'!$B47,'Parking Lots &amp; Playgrounds'!$A$9:$N$33,H$2,0))+IF(ISNA(VLOOKUP($B47,Vehicles!$B$9:$O$50,H$2,0)),0,VLOOKUP($B47,Vehicles!$B$9:$O$50,H$2,0))</f>
        <v>0</v>
      </c>
      <c r="I47" s="8">
        <f>IF(ISNA(VLOOKUP($B47,'Other Capital Needs'!$C$51:$P$95,I$2,0)),0,VLOOKUP($B47,'Other Capital Needs'!$C$51:$P$95,I$2,0))+IF(ISNA(VLOOKUP('Project Details by Yr - MASTER'!$B47,'Public Grounds'!$A$11:$N$49,I$2,0)),0,VLOOKUP('Project Details by Yr - MASTER'!$B47,'Public Grounds'!$A$11:$N$49,I$2,0))+IF(ISNA(VLOOKUP('Project Details by Yr - MASTER'!$B47,'Public Buildings'!$A$10:$N$96,I$2,0)),0,VLOOKUP('Project Details by Yr - MASTER'!$B47,'Public Buildings'!$A$10:$N$96,I$2,0))+IF(ISNA(VLOOKUP('Project Details by Yr - MASTER'!$B47,Bridges!$A$9:$N$24,I$2,0)),0,VLOOKUP('Project Details by Yr - MASTER'!$B47,Bridges!$A$9:$N$24,I$2,0))+IF(ISNA(VLOOKUP('Project Details by Yr - MASTER'!$B47,'Parking Lots &amp; Playgrounds'!$A$9:$N$33,I$2,0)),0,VLOOKUP('Project Details by Yr - MASTER'!$B47,'Parking Lots &amp; Playgrounds'!$A$9:$N$33,I$2,0))+IF(ISNA(VLOOKUP($B47,Vehicles!$B$9:$O$50,I$2,0)),0,VLOOKUP($B47,Vehicles!$B$9:$O$50,I$2,0))</f>
        <v>0</v>
      </c>
      <c r="J47" s="8">
        <f>IF(ISNA(VLOOKUP($B47,'Other Capital Needs'!$C$51:$P$95,J$2,0)),0,VLOOKUP($B47,'Other Capital Needs'!$C$51:$P$95,J$2,0))+IF(ISNA(VLOOKUP('Project Details by Yr - MASTER'!$B47,'Public Grounds'!$A$11:$N$49,J$2,0)),0,VLOOKUP('Project Details by Yr - MASTER'!$B47,'Public Grounds'!$A$11:$N$49,J$2,0))+IF(ISNA(VLOOKUP('Project Details by Yr - MASTER'!$B47,'Public Buildings'!$A$10:$N$96,J$2,0)),0,VLOOKUP('Project Details by Yr - MASTER'!$B47,'Public Buildings'!$A$10:$N$96,J$2,0))+IF(ISNA(VLOOKUP('Project Details by Yr - MASTER'!$B47,Bridges!$A$9:$N$24,J$2,0)),0,VLOOKUP('Project Details by Yr - MASTER'!$B47,Bridges!$A$9:$N$24,J$2,0))+IF(ISNA(VLOOKUP('Project Details by Yr - MASTER'!$B47,'Parking Lots &amp; Playgrounds'!$A$9:$N$33,J$2,0)),0,VLOOKUP('Project Details by Yr - MASTER'!$B47,'Parking Lots &amp; Playgrounds'!$A$9:$N$33,J$2,0))+IF(ISNA(VLOOKUP($B47,Vehicles!$B$9:$O$50,J$2,0)),0,VLOOKUP($B47,Vehicles!$B$9:$O$50,J$2,0))</f>
        <v>0</v>
      </c>
      <c r="K47" s="8">
        <f>IF(ISNA(VLOOKUP($B47,'Other Capital Needs'!$C$51:$P$95,K$2,0)),0,VLOOKUP($B47,'Other Capital Needs'!$C$51:$P$95,K$2,0))+IF(ISNA(VLOOKUP('Project Details by Yr - MASTER'!$B47,'Public Grounds'!$A$11:$N$49,K$2,0)),0,VLOOKUP('Project Details by Yr - MASTER'!$B47,'Public Grounds'!$A$11:$N$49,K$2,0))+IF(ISNA(VLOOKUP('Project Details by Yr - MASTER'!$B47,'Public Buildings'!$A$10:$N$96,K$2,0)),0,VLOOKUP('Project Details by Yr - MASTER'!$B47,'Public Buildings'!$A$10:$N$96,K$2,0))+IF(ISNA(VLOOKUP('Project Details by Yr - MASTER'!$B47,Bridges!$A$9:$N$24,K$2,0)),0,VLOOKUP('Project Details by Yr - MASTER'!$B47,Bridges!$A$9:$N$24,K$2,0))+IF(ISNA(VLOOKUP('Project Details by Yr - MASTER'!$B47,'Parking Lots &amp; Playgrounds'!$A$9:$N$33,K$2,0)),0,VLOOKUP('Project Details by Yr - MASTER'!$B47,'Parking Lots &amp; Playgrounds'!$A$9:$N$33,K$2,0))+IF(ISNA(VLOOKUP($B47,Vehicles!$B$9:$O$50,K$2,0)),0,VLOOKUP($B47,Vehicles!$B$9:$O$50,K$2,0))</f>
        <v>0</v>
      </c>
    </row>
    <row r="48" spans="1:11" x14ac:dyDescent="0.25">
      <c r="A48" s="31">
        <v>42</v>
      </c>
      <c r="B48" s="26" t="s">
        <v>183</v>
      </c>
      <c r="C48" s="26" t="s">
        <v>101</v>
      </c>
      <c r="D48" s="26" t="s">
        <v>272</v>
      </c>
      <c r="E48" s="31" t="s">
        <v>16</v>
      </c>
      <c r="F48" s="26"/>
      <c r="G48" s="8">
        <f>IF(ISNA(VLOOKUP($B48,'Other Capital Needs'!$C$51:$P$95,G$2,0)),0,VLOOKUP($B48,'Other Capital Needs'!$C$51:$P$95,G$2,0))+IF(ISNA(VLOOKUP('Project Details by Yr - MASTER'!$B48,'Public Grounds'!$A$11:$N$49,G$2,0)),0,VLOOKUP('Project Details by Yr - MASTER'!$B48,'Public Grounds'!$A$11:$N$49,G$2,0))+IF(ISNA(VLOOKUP('Project Details by Yr - MASTER'!$B48,'Public Buildings'!$A$10:$N$96,G$2,0)),0,VLOOKUP('Project Details by Yr - MASTER'!$B48,'Public Buildings'!$A$10:$N$96,G$2,0))+IF(ISNA(VLOOKUP('Project Details by Yr - MASTER'!$B48,Bridges!$A$9:$N$24,G$2,0)),0,VLOOKUP('Project Details by Yr - MASTER'!$B48,Bridges!$A$9:$N$24,G$2,0))+IF(ISNA(VLOOKUP('Project Details by Yr - MASTER'!$B48,'Parking Lots &amp; Playgrounds'!$A$9:$N$33,G$2,0)),0,VLOOKUP('Project Details by Yr - MASTER'!$B48,'Parking Lots &amp; Playgrounds'!$A$9:$N$33,G$2,0))+IF(ISNA(VLOOKUP($B48,Vehicles!$B$9:$O$50,G$2,0)),0,VLOOKUP($B48,Vehicles!$B$9:$O$50,G$2,0))</f>
        <v>0</v>
      </c>
      <c r="H48" s="8">
        <f>IF(ISNA(VLOOKUP($B48,'Other Capital Needs'!$C$51:$P$95,H$2,0)),0,VLOOKUP($B48,'Other Capital Needs'!$C$51:$P$95,H$2,0))+IF(ISNA(VLOOKUP('Project Details by Yr - MASTER'!$B48,'Public Grounds'!$A$11:$N$49,H$2,0)),0,VLOOKUP('Project Details by Yr - MASTER'!$B48,'Public Grounds'!$A$11:$N$49,H$2,0))+IF(ISNA(VLOOKUP('Project Details by Yr - MASTER'!$B48,'Public Buildings'!$A$10:$N$96,H$2,0)),0,VLOOKUP('Project Details by Yr - MASTER'!$B48,'Public Buildings'!$A$10:$N$96,H$2,0))+IF(ISNA(VLOOKUP('Project Details by Yr - MASTER'!$B48,Bridges!$A$9:$N$24,H$2,0)),0,VLOOKUP('Project Details by Yr - MASTER'!$B48,Bridges!$A$9:$N$24,H$2,0))+IF(ISNA(VLOOKUP('Project Details by Yr - MASTER'!$B48,'Parking Lots &amp; Playgrounds'!$A$9:$N$33,H$2,0)),0,VLOOKUP('Project Details by Yr - MASTER'!$B48,'Parking Lots &amp; Playgrounds'!$A$9:$N$33,H$2,0))+IF(ISNA(VLOOKUP($B48,Vehicles!$B$9:$O$50,H$2,0)),0,VLOOKUP($B48,Vehicles!$B$9:$O$50,H$2,0))</f>
        <v>0</v>
      </c>
      <c r="I48" s="8">
        <f>IF(ISNA(VLOOKUP($B48,'Other Capital Needs'!$C$51:$P$95,I$2,0)),0,VLOOKUP($B48,'Other Capital Needs'!$C$51:$P$95,I$2,0))+IF(ISNA(VLOOKUP('Project Details by Yr - MASTER'!$B48,'Public Grounds'!$A$11:$N$49,I$2,0)),0,VLOOKUP('Project Details by Yr - MASTER'!$B48,'Public Grounds'!$A$11:$N$49,I$2,0))+IF(ISNA(VLOOKUP('Project Details by Yr - MASTER'!$B48,'Public Buildings'!$A$10:$N$96,I$2,0)),0,VLOOKUP('Project Details by Yr - MASTER'!$B48,'Public Buildings'!$A$10:$N$96,I$2,0))+IF(ISNA(VLOOKUP('Project Details by Yr - MASTER'!$B48,Bridges!$A$9:$N$24,I$2,0)),0,VLOOKUP('Project Details by Yr - MASTER'!$B48,Bridges!$A$9:$N$24,I$2,0))+IF(ISNA(VLOOKUP('Project Details by Yr - MASTER'!$B48,'Parking Lots &amp; Playgrounds'!$A$9:$N$33,I$2,0)),0,VLOOKUP('Project Details by Yr - MASTER'!$B48,'Parking Lots &amp; Playgrounds'!$A$9:$N$33,I$2,0))+IF(ISNA(VLOOKUP($B48,Vehicles!$B$9:$O$50,I$2,0)),0,VLOOKUP($B48,Vehicles!$B$9:$O$50,I$2,0))</f>
        <v>0</v>
      </c>
      <c r="J48" s="8">
        <f>IF(ISNA(VLOOKUP($B48,'Other Capital Needs'!$C$51:$P$95,J$2,0)),0,VLOOKUP($B48,'Other Capital Needs'!$C$51:$P$95,J$2,0))+IF(ISNA(VLOOKUP('Project Details by Yr - MASTER'!$B48,'Public Grounds'!$A$11:$N$49,J$2,0)),0,VLOOKUP('Project Details by Yr - MASTER'!$B48,'Public Grounds'!$A$11:$N$49,J$2,0))+IF(ISNA(VLOOKUP('Project Details by Yr - MASTER'!$B48,'Public Buildings'!$A$10:$N$96,J$2,0)),0,VLOOKUP('Project Details by Yr - MASTER'!$B48,'Public Buildings'!$A$10:$N$96,J$2,0))+IF(ISNA(VLOOKUP('Project Details by Yr - MASTER'!$B48,Bridges!$A$9:$N$24,J$2,0)),0,VLOOKUP('Project Details by Yr - MASTER'!$B48,Bridges!$A$9:$N$24,J$2,0))+IF(ISNA(VLOOKUP('Project Details by Yr - MASTER'!$B48,'Parking Lots &amp; Playgrounds'!$A$9:$N$33,J$2,0)),0,VLOOKUP('Project Details by Yr - MASTER'!$B48,'Parking Lots &amp; Playgrounds'!$A$9:$N$33,J$2,0))+IF(ISNA(VLOOKUP($B48,Vehicles!$B$9:$O$50,J$2,0)),0,VLOOKUP($B48,Vehicles!$B$9:$O$50,J$2,0))</f>
        <v>0</v>
      </c>
      <c r="K48" s="8">
        <f>IF(ISNA(VLOOKUP($B48,'Other Capital Needs'!$C$51:$P$95,K$2,0)),0,VLOOKUP($B48,'Other Capital Needs'!$C$51:$P$95,K$2,0))+IF(ISNA(VLOOKUP('Project Details by Yr - MASTER'!$B48,'Public Grounds'!$A$11:$N$49,K$2,0)),0,VLOOKUP('Project Details by Yr - MASTER'!$B48,'Public Grounds'!$A$11:$N$49,K$2,0))+IF(ISNA(VLOOKUP('Project Details by Yr - MASTER'!$B48,'Public Buildings'!$A$10:$N$96,K$2,0)),0,VLOOKUP('Project Details by Yr - MASTER'!$B48,'Public Buildings'!$A$10:$N$96,K$2,0))+IF(ISNA(VLOOKUP('Project Details by Yr - MASTER'!$B48,Bridges!$A$9:$N$24,K$2,0)),0,VLOOKUP('Project Details by Yr - MASTER'!$B48,Bridges!$A$9:$N$24,K$2,0))+IF(ISNA(VLOOKUP('Project Details by Yr - MASTER'!$B48,'Parking Lots &amp; Playgrounds'!$A$9:$N$33,K$2,0)),0,VLOOKUP('Project Details by Yr - MASTER'!$B48,'Parking Lots &amp; Playgrounds'!$A$9:$N$33,K$2,0))+IF(ISNA(VLOOKUP($B48,Vehicles!$B$9:$O$50,K$2,0)),0,VLOOKUP($B48,Vehicles!$B$9:$O$50,K$2,0))</f>
        <v>0</v>
      </c>
    </row>
    <row r="49" spans="1:11" x14ac:dyDescent="0.25">
      <c r="A49" s="1">
        <v>42</v>
      </c>
      <c r="B49" t="s">
        <v>184</v>
      </c>
      <c r="C49" t="s">
        <v>101</v>
      </c>
      <c r="D49" t="s">
        <v>272</v>
      </c>
      <c r="E49" s="1" t="s">
        <v>16</v>
      </c>
      <c r="G49" s="8">
        <f>IF(ISNA(VLOOKUP($B49,'Other Capital Needs'!$C$51:$P$95,G$2,0)),0,VLOOKUP($B49,'Other Capital Needs'!$C$51:$P$95,G$2,0))+IF(ISNA(VLOOKUP('Project Details by Yr - MASTER'!$B49,'Public Grounds'!$A$11:$N$49,G$2,0)),0,VLOOKUP('Project Details by Yr - MASTER'!$B49,'Public Grounds'!$A$11:$N$49,G$2,0))+IF(ISNA(VLOOKUP('Project Details by Yr - MASTER'!$B49,'Public Buildings'!$A$10:$N$96,G$2,0)),0,VLOOKUP('Project Details by Yr - MASTER'!$B49,'Public Buildings'!$A$10:$N$96,G$2,0))+IF(ISNA(VLOOKUP('Project Details by Yr - MASTER'!$B49,Bridges!$A$9:$N$24,G$2,0)),0,VLOOKUP('Project Details by Yr - MASTER'!$B49,Bridges!$A$9:$N$24,G$2,0))+IF(ISNA(VLOOKUP('Project Details by Yr - MASTER'!$B49,'Parking Lots &amp; Playgrounds'!$A$9:$N$33,G$2,0)),0,VLOOKUP('Project Details by Yr - MASTER'!$B49,'Parking Lots &amp; Playgrounds'!$A$9:$N$33,G$2,0))+IF(ISNA(VLOOKUP($B49,Vehicles!$B$9:$O$50,G$2,0)),0,VLOOKUP($B49,Vehicles!$B$9:$O$50,G$2,0))</f>
        <v>0</v>
      </c>
      <c r="H49" s="8">
        <f>IF(ISNA(VLOOKUP($B49,'Other Capital Needs'!$C$51:$P$95,H$2,0)),0,VLOOKUP($B49,'Other Capital Needs'!$C$51:$P$95,H$2,0))+IF(ISNA(VLOOKUP('Project Details by Yr - MASTER'!$B49,'Public Grounds'!$A$11:$N$49,H$2,0)),0,VLOOKUP('Project Details by Yr - MASTER'!$B49,'Public Grounds'!$A$11:$N$49,H$2,0))+IF(ISNA(VLOOKUP('Project Details by Yr - MASTER'!$B49,'Public Buildings'!$A$10:$N$96,H$2,0)),0,VLOOKUP('Project Details by Yr - MASTER'!$B49,'Public Buildings'!$A$10:$N$96,H$2,0))+IF(ISNA(VLOOKUP('Project Details by Yr - MASTER'!$B49,Bridges!$A$9:$N$24,H$2,0)),0,VLOOKUP('Project Details by Yr - MASTER'!$B49,Bridges!$A$9:$N$24,H$2,0))+IF(ISNA(VLOOKUP('Project Details by Yr - MASTER'!$B49,'Parking Lots &amp; Playgrounds'!$A$9:$N$33,H$2,0)),0,VLOOKUP('Project Details by Yr - MASTER'!$B49,'Parking Lots &amp; Playgrounds'!$A$9:$N$33,H$2,0))+IF(ISNA(VLOOKUP($B49,Vehicles!$B$9:$O$50,H$2,0)),0,VLOOKUP($B49,Vehicles!$B$9:$O$50,H$2,0))</f>
        <v>78000</v>
      </c>
      <c r="I49" s="8">
        <f>IF(ISNA(VLOOKUP($B49,'Other Capital Needs'!$C$51:$P$95,I$2,0)),0,VLOOKUP($B49,'Other Capital Needs'!$C$51:$P$95,I$2,0))+IF(ISNA(VLOOKUP('Project Details by Yr - MASTER'!$B49,'Public Grounds'!$A$11:$N$49,I$2,0)),0,VLOOKUP('Project Details by Yr - MASTER'!$B49,'Public Grounds'!$A$11:$N$49,I$2,0))+IF(ISNA(VLOOKUP('Project Details by Yr - MASTER'!$B49,'Public Buildings'!$A$10:$N$96,I$2,0)),0,VLOOKUP('Project Details by Yr - MASTER'!$B49,'Public Buildings'!$A$10:$N$96,I$2,0))+IF(ISNA(VLOOKUP('Project Details by Yr - MASTER'!$B49,Bridges!$A$9:$N$24,I$2,0)),0,VLOOKUP('Project Details by Yr - MASTER'!$B49,Bridges!$A$9:$N$24,I$2,0))+IF(ISNA(VLOOKUP('Project Details by Yr - MASTER'!$B49,'Parking Lots &amp; Playgrounds'!$A$9:$N$33,I$2,0)),0,VLOOKUP('Project Details by Yr - MASTER'!$B49,'Parking Lots &amp; Playgrounds'!$A$9:$N$33,I$2,0))+IF(ISNA(VLOOKUP($B49,Vehicles!$B$9:$O$50,I$2,0)),0,VLOOKUP($B49,Vehicles!$B$9:$O$50,I$2,0))</f>
        <v>0</v>
      </c>
      <c r="J49" s="8">
        <f>IF(ISNA(VLOOKUP($B49,'Other Capital Needs'!$C$51:$P$95,J$2,0)),0,VLOOKUP($B49,'Other Capital Needs'!$C$51:$P$95,J$2,0))+IF(ISNA(VLOOKUP('Project Details by Yr - MASTER'!$B49,'Public Grounds'!$A$11:$N$49,J$2,0)),0,VLOOKUP('Project Details by Yr - MASTER'!$B49,'Public Grounds'!$A$11:$N$49,J$2,0))+IF(ISNA(VLOOKUP('Project Details by Yr - MASTER'!$B49,'Public Buildings'!$A$10:$N$96,J$2,0)),0,VLOOKUP('Project Details by Yr - MASTER'!$B49,'Public Buildings'!$A$10:$N$96,J$2,0))+IF(ISNA(VLOOKUP('Project Details by Yr - MASTER'!$B49,Bridges!$A$9:$N$24,J$2,0)),0,VLOOKUP('Project Details by Yr - MASTER'!$B49,Bridges!$A$9:$N$24,J$2,0))+IF(ISNA(VLOOKUP('Project Details by Yr - MASTER'!$B49,'Parking Lots &amp; Playgrounds'!$A$9:$N$33,J$2,0)),0,VLOOKUP('Project Details by Yr - MASTER'!$B49,'Parking Lots &amp; Playgrounds'!$A$9:$N$33,J$2,0))+IF(ISNA(VLOOKUP($B49,Vehicles!$B$9:$O$50,J$2,0)),0,VLOOKUP($B49,Vehicles!$B$9:$O$50,J$2,0))</f>
        <v>0</v>
      </c>
      <c r="K49" s="8">
        <f>IF(ISNA(VLOOKUP($B49,'Other Capital Needs'!$C$51:$P$95,K$2,0)),0,VLOOKUP($B49,'Other Capital Needs'!$C$51:$P$95,K$2,0))+IF(ISNA(VLOOKUP('Project Details by Yr - MASTER'!$B49,'Public Grounds'!$A$11:$N$49,K$2,0)),0,VLOOKUP('Project Details by Yr - MASTER'!$B49,'Public Grounds'!$A$11:$N$49,K$2,0))+IF(ISNA(VLOOKUP('Project Details by Yr - MASTER'!$B49,'Public Buildings'!$A$10:$N$96,K$2,0)),0,VLOOKUP('Project Details by Yr - MASTER'!$B49,'Public Buildings'!$A$10:$N$96,K$2,0))+IF(ISNA(VLOOKUP('Project Details by Yr - MASTER'!$B49,Bridges!$A$9:$N$24,K$2,0)),0,VLOOKUP('Project Details by Yr - MASTER'!$B49,Bridges!$A$9:$N$24,K$2,0))+IF(ISNA(VLOOKUP('Project Details by Yr - MASTER'!$B49,'Parking Lots &amp; Playgrounds'!$A$9:$N$33,K$2,0)),0,VLOOKUP('Project Details by Yr - MASTER'!$B49,'Parking Lots &amp; Playgrounds'!$A$9:$N$33,K$2,0))+IF(ISNA(VLOOKUP($B49,Vehicles!$B$9:$O$50,K$2,0)),0,VLOOKUP($B49,Vehicles!$B$9:$O$50,K$2,0))</f>
        <v>0</v>
      </c>
    </row>
    <row r="50" spans="1:11" x14ac:dyDescent="0.25">
      <c r="A50" s="1">
        <v>43</v>
      </c>
      <c r="B50" t="s">
        <v>185</v>
      </c>
      <c r="C50" t="s">
        <v>101</v>
      </c>
      <c r="D50" t="s">
        <v>272</v>
      </c>
      <c r="E50" s="1" t="s">
        <v>16</v>
      </c>
      <c r="G50" s="8">
        <f>IF(ISNA(VLOOKUP($B50,'Other Capital Needs'!$C$51:$P$95,G$2,0)),0,VLOOKUP($B50,'Other Capital Needs'!$C$51:$P$95,G$2,0))+IF(ISNA(VLOOKUP('Project Details by Yr - MASTER'!$B50,'Public Grounds'!$A$11:$N$49,G$2,0)),0,VLOOKUP('Project Details by Yr - MASTER'!$B50,'Public Grounds'!$A$11:$N$49,G$2,0))+IF(ISNA(VLOOKUP('Project Details by Yr - MASTER'!$B50,'Public Buildings'!$A$10:$N$96,G$2,0)),0,VLOOKUP('Project Details by Yr - MASTER'!$B50,'Public Buildings'!$A$10:$N$96,G$2,0))+IF(ISNA(VLOOKUP('Project Details by Yr - MASTER'!$B50,Bridges!$A$9:$N$24,G$2,0)),0,VLOOKUP('Project Details by Yr - MASTER'!$B50,Bridges!$A$9:$N$24,G$2,0))+IF(ISNA(VLOOKUP('Project Details by Yr - MASTER'!$B50,'Parking Lots &amp; Playgrounds'!$A$9:$N$33,G$2,0)),0,VLOOKUP('Project Details by Yr - MASTER'!$B50,'Parking Lots &amp; Playgrounds'!$A$9:$N$33,G$2,0))+IF(ISNA(VLOOKUP($B50,Vehicles!$B$9:$O$50,G$2,0)),0,VLOOKUP($B50,Vehicles!$B$9:$O$50,G$2,0))</f>
        <v>0</v>
      </c>
      <c r="H50" s="8">
        <f>IF(ISNA(VLOOKUP($B50,'Other Capital Needs'!$C$51:$P$95,H$2,0)),0,VLOOKUP($B50,'Other Capital Needs'!$C$51:$P$95,H$2,0))+IF(ISNA(VLOOKUP('Project Details by Yr - MASTER'!$B50,'Public Grounds'!$A$11:$N$49,H$2,0)),0,VLOOKUP('Project Details by Yr - MASTER'!$B50,'Public Grounds'!$A$11:$N$49,H$2,0))+IF(ISNA(VLOOKUP('Project Details by Yr - MASTER'!$B50,'Public Buildings'!$A$10:$N$96,H$2,0)),0,VLOOKUP('Project Details by Yr - MASTER'!$B50,'Public Buildings'!$A$10:$N$96,H$2,0))+IF(ISNA(VLOOKUP('Project Details by Yr - MASTER'!$B50,Bridges!$A$9:$N$24,H$2,0)),0,VLOOKUP('Project Details by Yr - MASTER'!$B50,Bridges!$A$9:$N$24,H$2,0))+IF(ISNA(VLOOKUP('Project Details by Yr - MASTER'!$B50,'Parking Lots &amp; Playgrounds'!$A$9:$N$33,H$2,0)),0,VLOOKUP('Project Details by Yr - MASTER'!$B50,'Parking Lots &amp; Playgrounds'!$A$9:$N$33,H$2,0))+IF(ISNA(VLOOKUP($B50,Vehicles!$B$9:$O$50,H$2,0)),0,VLOOKUP($B50,Vehicles!$B$9:$O$50,H$2,0))</f>
        <v>0</v>
      </c>
      <c r="I50" s="8">
        <f>IF(ISNA(VLOOKUP($B50,'Other Capital Needs'!$C$51:$P$95,I$2,0)),0,VLOOKUP($B50,'Other Capital Needs'!$C$51:$P$95,I$2,0))+IF(ISNA(VLOOKUP('Project Details by Yr - MASTER'!$B50,'Public Grounds'!$A$11:$N$49,I$2,0)),0,VLOOKUP('Project Details by Yr - MASTER'!$B50,'Public Grounds'!$A$11:$N$49,I$2,0))+IF(ISNA(VLOOKUP('Project Details by Yr - MASTER'!$B50,'Public Buildings'!$A$10:$N$96,I$2,0)),0,VLOOKUP('Project Details by Yr - MASTER'!$B50,'Public Buildings'!$A$10:$N$96,I$2,0))+IF(ISNA(VLOOKUP('Project Details by Yr - MASTER'!$B50,Bridges!$A$9:$N$24,I$2,0)),0,VLOOKUP('Project Details by Yr - MASTER'!$B50,Bridges!$A$9:$N$24,I$2,0))+IF(ISNA(VLOOKUP('Project Details by Yr - MASTER'!$B50,'Parking Lots &amp; Playgrounds'!$A$9:$N$33,I$2,0)),0,VLOOKUP('Project Details by Yr - MASTER'!$B50,'Parking Lots &amp; Playgrounds'!$A$9:$N$33,I$2,0))+IF(ISNA(VLOOKUP($B50,Vehicles!$B$9:$O$50,I$2,0)),0,VLOOKUP($B50,Vehicles!$B$9:$O$50,I$2,0))</f>
        <v>0</v>
      </c>
      <c r="J50" s="8">
        <f>IF(ISNA(VLOOKUP($B50,'Other Capital Needs'!$C$51:$P$95,J$2,0)),0,VLOOKUP($B50,'Other Capital Needs'!$C$51:$P$95,J$2,0))+IF(ISNA(VLOOKUP('Project Details by Yr - MASTER'!$B50,'Public Grounds'!$A$11:$N$49,J$2,0)),0,VLOOKUP('Project Details by Yr - MASTER'!$B50,'Public Grounds'!$A$11:$N$49,J$2,0))+IF(ISNA(VLOOKUP('Project Details by Yr - MASTER'!$B50,'Public Buildings'!$A$10:$N$96,J$2,0)),0,VLOOKUP('Project Details by Yr - MASTER'!$B50,'Public Buildings'!$A$10:$N$96,J$2,0))+IF(ISNA(VLOOKUP('Project Details by Yr - MASTER'!$B50,Bridges!$A$9:$N$24,J$2,0)),0,VLOOKUP('Project Details by Yr - MASTER'!$B50,Bridges!$A$9:$N$24,J$2,0))+IF(ISNA(VLOOKUP('Project Details by Yr - MASTER'!$B50,'Parking Lots &amp; Playgrounds'!$A$9:$N$33,J$2,0)),0,VLOOKUP('Project Details by Yr - MASTER'!$B50,'Parking Lots &amp; Playgrounds'!$A$9:$N$33,J$2,0))+IF(ISNA(VLOOKUP($B50,Vehicles!$B$9:$O$50,J$2,0)),0,VLOOKUP($B50,Vehicles!$B$9:$O$50,J$2,0))</f>
        <v>0</v>
      </c>
      <c r="K50" s="8">
        <f>IF(ISNA(VLOOKUP($B50,'Other Capital Needs'!$C$51:$P$95,K$2,0)),0,VLOOKUP($B50,'Other Capital Needs'!$C$51:$P$95,K$2,0))+IF(ISNA(VLOOKUP('Project Details by Yr - MASTER'!$B50,'Public Grounds'!$A$11:$N$49,K$2,0)),0,VLOOKUP('Project Details by Yr - MASTER'!$B50,'Public Grounds'!$A$11:$N$49,K$2,0))+IF(ISNA(VLOOKUP('Project Details by Yr - MASTER'!$B50,'Public Buildings'!$A$10:$N$96,K$2,0)),0,VLOOKUP('Project Details by Yr - MASTER'!$B50,'Public Buildings'!$A$10:$N$96,K$2,0))+IF(ISNA(VLOOKUP('Project Details by Yr - MASTER'!$B50,Bridges!$A$9:$N$24,K$2,0)),0,VLOOKUP('Project Details by Yr - MASTER'!$B50,Bridges!$A$9:$N$24,K$2,0))+IF(ISNA(VLOOKUP('Project Details by Yr - MASTER'!$B50,'Parking Lots &amp; Playgrounds'!$A$9:$N$33,K$2,0)),0,VLOOKUP('Project Details by Yr - MASTER'!$B50,'Parking Lots &amp; Playgrounds'!$A$9:$N$33,K$2,0))+IF(ISNA(VLOOKUP($B50,Vehicles!$B$9:$O$50,K$2,0)),0,VLOOKUP($B50,Vehicles!$B$9:$O$50,K$2,0))</f>
        <v>0</v>
      </c>
    </row>
    <row r="51" spans="1:11" x14ac:dyDescent="0.25">
      <c r="A51" s="1">
        <v>43</v>
      </c>
      <c r="B51" t="s">
        <v>186</v>
      </c>
      <c r="C51" t="s">
        <v>101</v>
      </c>
      <c r="D51" t="s">
        <v>272</v>
      </c>
      <c r="E51" s="1" t="s">
        <v>16</v>
      </c>
      <c r="G51" s="8">
        <f>IF(ISNA(VLOOKUP($B51,'Other Capital Needs'!$C$51:$P$95,G$2,0)),0,VLOOKUP($B51,'Other Capital Needs'!$C$51:$P$95,G$2,0))+IF(ISNA(VLOOKUP('Project Details by Yr - MASTER'!$B51,'Public Grounds'!$A$11:$N$49,G$2,0)),0,VLOOKUP('Project Details by Yr - MASTER'!$B51,'Public Grounds'!$A$11:$N$49,G$2,0))+IF(ISNA(VLOOKUP('Project Details by Yr - MASTER'!$B51,'Public Buildings'!$A$10:$N$96,G$2,0)),0,VLOOKUP('Project Details by Yr - MASTER'!$B51,'Public Buildings'!$A$10:$N$96,G$2,0))+IF(ISNA(VLOOKUP('Project Details by Yr - MASTER'!$B51,Bridges!$A$9:$N$24,G$2,0)),0,VLOOKUP('Project Details by Yr - MASTER'!$B51,Bridges!$A$9:$N$24,G$2,0))+IF(ISNA(VLOOKUP('Project Details by Yr - MASTER'!$B51,'Parking Lots &amp; Playgrounds'!$A$9:$N$33,G$2,0)),0,VLOOKUP('Project Details by Yr - MASTER'!$B51,'Parking Lots &amp; Playgrounds'!$A$9:$N$33,G$2,0))+IF(ISNA(VLOOKUP($B51,Vehicles!$B$9:$O$50,G$2,0)),0,VLOOKUP($B51,Vehicles!$B$9:$O$50,G$2,0))</f>
        <v>0</v>
      </c>
      <c r="H51" s="8">
        <f>IF(ISNA(VLOOKUP($B51,'Other Capital Needs'!$C$51:$P$95,H$2,0)),0,VLOOKUP($B51,'Other Capital Needs'!$C$51:$P$95,H$2,0))+IF(ISNA(VLOOKUP('Project Details by Yr - MASTER'!$B51,'Public Grounds'!$A$11:$N$49,H$2,0)),0,VLOOKUP('Project Details by Yr - MASTER'!$B51,'Public Grounds'!$A$11:$N$49,H$2,0))+IF(ISNA(VLOOKUP('Project Details by Yr - MASTER'!$B51,'Public Buildings'!$A$10:$N$96,H$2,0)),0,VLOOKUP('Project Details by Yr - MASTER'!$B51,'Public Buildings'!$A$10:$N$96,H$2,0))+IF(ISNA(VLOOKUP('Project Details by Yr - MASTER'!$B51,Bridges!$A$9:$N$24,H$2,0)),0,VLOOKUP('Project Details by Yr - MASTER'!$B51,Bridges!$A$9:$N$24,H$2,0))+IF(ISNA(VLOOKUP('Project Details by Yr - MASTER'!$B51,'Parking Lots &amp; Playgrounds'!$A$9:$N$33,H$2,0)),0,VLOOKUP('Project Details by Yr - MASTER'!$B51,'Parking Lots &amp; Playgrounds'!$A$9:$N$33,H$2,0))+IF(ISNA(VLOOKUP($B51,Vehicles!$B$9:$O$50,H$2,0)),0,VLOOKUP($B51,Vehicles!$B$9:$O$50,H$2,0))</f>
        <v>0</v>
      </c>
      <c r="I51" s="8">
        <f>IF(ISNA(VLOOKUP($B51,'Other Capital Needs'!$C$51:$P$95,I$2,0)),0,VLOOKUP($B51,'Other Capital Needs'!$C$51:$P$95,I$2,0))+IF(ISNA(VLOOKUP('Project Details by Yr - MASTER'!$B51,'Public Grounds'!$A$11:$N$49,I$2,0)),0,VLOOKUP('Project Details by Yr - MASTER'!$B51,'Public Grounds'!$A$11:$N$49,I$2,0))+IF(ISNA(VLOOKUP('Project Details by Yr - MASTER'!$B51,'Public Buildings'!$A$10:$N$96,I$2,0)),0,VLOOKUP('Project Details by Yr - MASTER'!$B51,'Public Buildings'!$A$10:$N$96,I$2,0))+IF(ISNA(VLOOKUP('Project Details by Yr - MASTER'!$B51,Bridges!$A$9:$N$24,I$2,0)),0,VLOOKUP('Project Details by Yr - MASTER'!$B51,Bridges!$A$9:$N$24,I$2,0))+IF(ISNA(VLOOKUP('Project Details by Yr - MASTER'!$B51,'Parking Lots &amp; Playgrounds'!$A$9:$N$33,I$2,0)),0,VLOOKUP('Project Details by Yr - MASTER'!$B51,'Parking Lots &amp; Playgrounds'!$A$9:$N$33,I$2,0))+IF(ISNA(VLOOKUP($B51,Vehicles!$B$9:$O$50,I$2,0)),0,VLOOKUP($B51,Vehicles!$B$9:$O$50,I$2,0))</f>
        <v>0</v>
      </c>
      <c r="J51" s="8">
        <f>IF(ISNA(VLOOKUP($B51,'Other Capital Needs'!$C$51:$P$95,J$2,0)),0,VLOOKUP($B51,'Other Capital Needs'!$C$51:$P$95,J$2,0))+IF(ISNA(VLOOKUP('Project Details by Yr - MASTER'!$B51,'Public Grounds'!$A$11:$N$49,J$2,0)),0,VLOOKUP('Project Details by Yr - MASTER'!$B51,'Public Grounds'!$A$11:$N$49,J$2,0))+IF(ISNA(VLOOKUP('Project Details by Yr - MASTER'!$B51,'Public Buildings'!$A$10:$N$96,J$2,0)),0,VLOOKUP('Project Details by Yr - MASTER'!$B51,'Public Buildings'!$A$10:$N$96,J$2,0))+IF(ISNA(VLOOKUP('Project Details by Yr - MASTER'!$B51,Bridges!$A$9:$N$24,J$2,0)),0,VLOOKUP('Project Details by Yr - MASTER'!$B51,Bridges!$A$9:$N$24,J$2,0))+IF(ISNA(VLOOKUP('Project Details by Yr - MASTER'!$B51,'Parking Lots &amp; Playgrounds'!$A$9:$N$33,J$2,0)),0,VLOOKUP('Project Details by Yr - MASTER'!$B51,'Parking Lots &amp; Playgrounds'!$A$9:$N$33,J$2,0))+IF(ISNA(VLOOKUP($B51,Vehicles!$B$9:$O$50,J$2,0)),0,VLOOKUP($B51,Vehicles!$B$9:$O$50,J$2,0))</f>
        <v>0</v>
      </c>
      <c r="K51" s="8">
        <f>IF(ISNA(VLOOKUP($B51,'Other Capital Needs'!$C$51:$P$95,K$2,0)),0,VLOOKUP($B51,'Other Capital Needs'!$C$51:$P$95,K$2,0))+IF(ISNA(VLOOKUP('Project Details by Yr - MASTER'!$B51,'Public Grounds'!$A$11:$N$49,K$2,0)),0,VLOOKUP('Project Details by Yr - MASTER'!$B51,'Public Grounds'!$A$11:$N$49,K$2,0))+IF(ISNA(VLOOKUP('Project Details by Yr - MASTER'!$B51,'Public Buildings'!$A$10:$N$96,K$2,0)),0,VLOOKUP('Project Details by Yr - MASTER'!$B51,'Public Buildings'!$A$10:$N$96,K$2,0))+IF(ISNA(VLOOKUP('Project Details by Yr - MASTER'!$B51,Bridges!$A$9:$N$24,K$2,0)),0,VLOOKUP('Project Details by Yr - MASTER'!$B51,Bridges!$A$9:$N$24,K$2,0))+IF(ISNA(VLOOKUP('Project Details by Yr - MASTER'!$B51,'Parking Lots &amp; Playgrounds'!$A$9:$N$33,K$2,0)),0,VLOOKUP('Project Details by Yr - MASTER'!$B51,'Parking Lots &amp; Playgrounds'!$A$9:$N$33,K$2,0))+IF(ISNA(VLOOKUP($B51,Vehicles!$B$9:$O$50,K$2,0)),0,VLOOKUP($B51,Vehicles!$B$9:$O$50,K$2,0))</f>
        <v>0</v>
      </c>
    </row>
    <row r="52" spans="1:11" x14ac:dyDescent="0.25">
      <c r="A52" s="1">
        <v>43</v>
      </c>
      <c r="B52" t="s">
        <v>187</v>
      </c>
      <c r="C52" t="s">
        <v>101</v>
      </c>
      <c r="D52" t="s">
        <v>272</v>
      </c>
      <c r="E52" s="1" t="s">
        <v>16</v>
      </c>
      <c r="G52" s="8">
        <f>IF(ISNA(VLOOKUP($B52,'Other Capital Needs'!$C$51:$P$95,G$2,0)),0,VLOOKUP($B52,'Other Capital Needs'!$C$51:$P$95,G$2,0))+IF(ISNA(VLOOKUP('Project Details by Yr - MASTER'!$B52,'Public Grounds'!$A$11:$N$49,G$2,0)),0,VLOOKUP('Project Details by Yr - MASTER'!$B52,'Public Grounds'!$A$11:$N$49,G$2,0))+IF(ISNA(VLOOKUP('Project Details by Yr - MASTER'!$B52,'Public Buildings'!$A$10:$N$96,G$2,0)),0,VLOOKUP('Project Details by Yr - MASTER'!$B52,'Public Buildings'!$A$10:$N$96,G$2,0))+IF(ISNA(VLOOKUP('Project Details by Yr - MASTER'!$B52,Bridges!$A$9:$N$24,G$2,0)),0,VLOOKUP('Project Details by Yr - MASTER'!$B52,Bridges!$A$9:$N$24,G$2,0))+IF(ISNA(VLOOKUP('Project Details by Yr - MASTER'!$B52,'Parking Lots &amp; Playgrounds'!$A$9:$N$33,G$2,0)),0,VLOOKUP('Project Details by Yr - MASTER'!$B52,'Parking Lots &amp; Playgrounds'!$A$9:$N$33,G$2,0))+IF(ISNA(VLOOKUP($B52,Vehicles!$B$9:$O$50,G$2,0)),0,VLOOKUP($B52,Vehicles!$B$9:$O$50,G$2,0))</f>
        <v>0</v>
      </c>
      <c r="H52" s="8">
        <f>IF(ISNA(VLOOKUP($B52,'Other Capital Needs'!$C$51:$P$95,H$2,0)),0,VLOOKUP($B52,'Other Capital Needs'!$C$51:$P$95,H$2,0))+IF(ISNA(VLOOKUP('Project Details by Yr - MASTER'!$B52,'Public Grounds'!$A$11:$N$49,H$2,0)),0,VLOOKUP('Project Details by Yr - MASTER'!$B52,'Public Grounds'!$A$11:$N$49,H$2,0))+IF(ISNA(VLOOKUP('Project Details by Yr - MASTER'!$B52,'Public Buildings'!$A$10:$N$96,H$2,0)),0,VLOOKUP('Project Details by Yr - MASTER'!$B52,'Public Buildings'!$A$10:$N$96,H$2,0))+IF(ISNA(VLOOKUP('Project Details by Yr - MASTER'!$B52,Bridges!$A$9:$N$24,H$2,0)),0,VLOOKUP('Project Details by Yr - MASTER'!$B52,Bridges!$A$9:$N$24,H$2,0))+IF(ISNA(VLOOKUP('Project Details by Yr - MASTER'!$B52,'Parking Lots &amp; Playgrounds'!$A$9:$N$33,H$2,0)),0,VLOOKUP('Project Details by Yr - MASTER'!$B52,'Parking Lots &amp; Playgrounds'!$A$9:$N$33,H$2,0))+IF(ISNA(VLOOKUP($B52,Vehicles!$B$9:$O$50,H$2,0)),0,VLOOKUP($B52,Vehicles!$B$9:$O$50,H$2,0))</f>
        <v>0</v>
      </c>
      <c r="I52" s="8">
        <f>IF(ISNA(VLOOKUP($B52,'Other Capital Needs'!$C$51:$P$95,I$2,0)),0,VLOOKUP($B52,'Other Capital Needs'!$C$51:$P$95,I$2,0))+IF(ISNA(VLOOKUP('Project Details by Yr - MASTER'!$B52,'Public Grounds'!$A$11:$N$49,I$2,0)),0,VLOOKUP('Project Details by Yr - MASTER'!$B52,'Public Grounds'!$A$11:$N$49,I$2,0))+IF(ISNA(VLOOKUP('Project Details by Yr - MASTER'!$B52,'Public Buildings'!$A$10:$N$96,I$2,0)),0,VLOOKUP('Project Details by Yr - MASTER'!$B52,'Public Buildings'!$A$10:$N$96,I$2,0))+IF(ISNA(VLOOKUP('Project Details by Yr - MASTER'!$B52,Bridges!$A$9:$N$24,I$2,0)),0,VLOOKUP('Project Details by Yr - MASTER'!$B52,Bridges!$A$9:$N$24,I$2,0))+IF(ISNA(VLOOKUP('Project Details by Yr - MASTER'!$B52,'Parking Lots &amp; Playgrounds'!$A$9:$N$33,I$2,0)),0,VLOOKUP('Project Details by Yr - MASTER'!$B52,'Parking Lots &amp; Playgrounds'!$A$9:$N$33,I$2,0))+IF(ISNA(VLOOKUP($B52,Vehicles!$B$9:$O$50,I$2,0)),0,VLOOKUP($B52,Vehicles!$B$9:$O$50,I$2,0))</f>
        <v>0</v>
      </c>
      <c r="J52" s="8">
        <f>IF(ISNA(VLOOKUP($B52,'Other Capital Needs'!$C$51:$P$95,J$2,0)),0,VLOOKUP($B52,'Other Capital Needs'!$C$51:$P$95,J$2,0))+IF(ISNA(VLOOKUP('Project Details by Yr - MASTER'!$B52,'Public Grounds'!$A$11:$N$49,J$2,0)),0,VLOOKUP('Project Details by Yr - MASTER'!$B52,'Public Grounds'!$A$11:$N$49,J$2,0))+IF(ISNA(VLOOKUP('Project Details by Yr - MASTER'!$B52,'Public Buildings'!$A$10:$N$96,J$2,0)),0,VLOOKUP('Project Details by Yr - MASTER'!$B52,'Public Buildings'!$A$10:$N$96,J$2,0))+IF(ISNA(VLOOKUP('Project Details by Yr - MASTER'!$B52,Bridges!$A$9:$N$24,J$2,0)),0,VLOOKUP('Project Details by Yr - MASTER'!$B52,Bridges!$A$9:$N$24,J$2,0))+IF(ISNA(VLOOKUP('Project Details by Yr - MASTER'!$B52,'Parking Lots &amp; Playgrounds'!$A$9:$N$33,J$2,0)),0,VLOOKUP('Project Details by Yr - MASTER'!$B52,'Parking Lots &amp; Playgrounds'!$A$9:$N$33,J$2,0))+IF(ISNA(VLOOKUP($B52,Vehicles!$B$9:$O$50,J$2,0)),0,VLOOKUP($B52,Vehicles!$B$9:$O$50,J$2,0))</f>
        <v>0</v>
      </c>
      <c r="K52" s="8">
        <f>IF(ISNA(VLOOKUP($B52,'Other Capital Needs'!$C$51:$P$95,K$2,0)),0,VLOOKUP($B52,'Other Capital Needs'!$C$51:$P$95,K$2,0))+IF(ISNA(VLOOKUP('Project Details by Yr - MASTER'!$B52,'Public Grounds'!$A$11:$N$49,K$2,0)),0,VLOOKUP('Project Details by Yr - MASTER'!$B52,'Public Grounds'!$A$11:$N$49,K$2,0))+IF(ISNA(VLOOKUP('Project Details by Yr - MASTER'!$B52,'Public Buildings'!$A$10:$N$96,K$2,0)),0,VLOOKUP('Project Details by Yr - MASTER'!$B52,'Public Buildings'!$A$10:$N$96,K$2,0))+IF(ISNA(VLOOKUP('Project Details by Yr - MASTER'!$B52,Bridges!$A$9:$N$24,K$2,0)),0,VLOOKUP('Project Details by Yr - MASTER'!$B52,Bridges!$A$9:$N$24,K$2,0))+IF(ISNA(VLOOKUP('Project Details by Yr - MASTER'!$B52,'Parking Lots &amp; Playgrounds'!$A$9:$N$33,K$2,0)),0,VLOOKUP('Project Details by Yr - MASTER'!$B52,'Parking Lots &amp; Playgrounds'!$A$9:$N$33,K$2,0))+IF(ISNA(VLOOKUP($B52,Vehicles!$B$9:$O$50,K$2,0)),0,VLOOKUP($B52,Vehicles!$B$9:$O$50,K$2,0))</f>
        <v>0</v>
      </c>
    </row>
    <row r="53" spans="1:11" x14ac:dyDescent="0.25">
      <c r="A53" s="1">
        <v>44</v>
      </c>
      <c r="B53" t="s">
        <v>188</v>
      </c>
      <c r="C53" t="s">
        <v>101</v>
      </c>
      <c r="D53" t="s">
        <v>272</v>
      </c>
      <c r="E53" s="1" t="s">
        <v>16</v>
      </c>
      <c r="G53" s="8">
        <f>IF(ISNA(VLOOKUP($B53,'Other Capital Needs'!$C$51:$P$95,G$2,0)),0,VLOOKUP($B53,'Other Capital Needs'!$C$51:$P$95,G$2,0))+IF(ISNA(VLOOKUP('Project Details by Yr - MASTER'!$B53,'Public Grounds'!$A$11:$N$49,G$2,0)),0,VLOOKUP('Project Details by Yr - MASTER'!$B53,'Public Grounds'!$A$11:$N$49,G$2,0))+IF(ISNA(VLOOKUP('Project Details by Yr - MASTER'!$B53,'Public Buildings'!$A$10:$N$96,G$2,0)),0,VLOOKUP('Project Details by Yr - MASTER'!$B53,'Public Buildings'!$A$10:$N$96,G$2,0))+IF(ISNA(VLOOKUP('Project Details by Yr - MASTER'!$B53,Bridges!$A$9:$N$24,G$2,0)),0,VLOOKUP('Project Details by Yr - MASTER'!$B53,Bridges!$A$9:$N$24,G$2,0))+IF(ISNA(VLOOKUP('Project Details by Yr - MASTER'!$B53,'Parking Lots &amp; Playgrounds'!$A$9:$N$33,G$2,0)),0,VLOOKUP('Project Details by Yr - MASTER'!$B53,'Parking Lots &amp; Playgrounds'!$A$9:$N$33,G$2,0))+IF(ISNA(VLOOKUP($B53,Vehicles!$B$9:$O$50,G$2,0)),0,VLOOKUP($B53,Vehicles!$B$9:$O$50,G$2,0))</f>
        <v>0</v>
      </c>
      <c r="H53" s="8">
        <f>IF(ISNA(VLOOKUP($B53,'Other Capital Needs'!$C$51:$P$95,H$2,0)),0,VLOOKUP($B53,'Other Capital Needs'!$C$51:$P$95,H$2,0))+IF(ISNA(VLOOKUP('Project Details by Yr - MASTER'!$B53,'Public Grounds'!$A$11:$N$49,H$2,0)),0,VLOOKUP('Project Details by Yr - MASTER'!$B53,'Public Grounds'!$A$11:$N$49,H$2,0))+IF(ISNA(VLOOKUP('Project Details by Yr - MASTER'!$B53,'Public Buildings'!$A$10:$N$96,H$2,0)),0,VLOOKUP('Project Details by Yr - MASTER'!$B53,'Public Buildings'!$A$10:$N$96,H$2,0))+IF(ISNA(VLOOKUP('Project Details by Yr - MASTER'!$B53,Bridges!$A$9:$N$24,H$2,0)),0,VLOOKUP('Project Details by Yr - MASTER'!$B53,Bridges!$A$9:$N$24,H$2,0))+IF(ISNA(VLOOKUP('Project Details by Yr - MASTER'!$B53,'Parking Lots &amp; Playgrounds'!$A$9:$N$33,H$2,0)),0,VLOOKUP('Project Details by Yr - MASTER'!$B53,'Parking Lots &amp; Playgrounds'!$A$9:$N$33,H$2,0))+IF(ISNA(VLOOKUP($B53,Vehicles!$B$9:$O$50,H$2,0)),0,VLOOKUP($B53,Vehicles!$B$9:$O$50,H$2,0))</f>
        <v>0</v>
      </c>
      <c r="I53" s="8">
        <f>IF(ISNA(VLOOKUP($B53,'Other Capital Needs'!$C$51:$P$95,I$2,0)),0,VLOOKUP($B53,'Other Capital Needs'!$C$51:$P$95,I$2,0))+IF(ISNA(VLOOKUP('Project Details by Yr - MASTER'!$B53,'Public Grounds'!$A$11:$N$49,I$2,0)),0,VLOOKUP('Project Details by Yr - MASTER'!$B53,'Public Grounds'!$A$11:$N$49,I$2,0))+IF(ISNA(VLOOKUP('Project Details by Yr - MASTER'!$B53,'Public Buildings'!$A$10:$N$96,I$2,0)),0,VLOOKUP('Project Details by Yr - MASTER'!$B53,'Public Buildings'!$A$10:$N$96,I$2,0))+IF(ISNA(VLOOKUP('Project Details by Yr - MASTER'!$B53,Bridges!$A$9:$N$24,I$2,0)),0,VLOOKUP('Project Details by Yr - MASTER'!$B53,Bridges!$A$9:$N$24,I$2,0))+IF(ISNA(VLOOKUP('Project Details by Yr - MASTER'!$B53,'Parking Lots &amp; Playgrounds'!$A$9:$N$33,I$2,0)),0,VLOOKUP('Project Details by Yr - MASTER'!$B53,'Parking Lots &amp; Playgrounds'!$A$9:$N$33,I$2,0))+IF(ISNA(VLOOKUP($B53,Vehicles!$B$9:$O$50,I$2,0)),0,VLOOKUP($B53,Vehicles!$B$9:$O$50,I$2,0))</f>
        <v>0</v>
      </c>
      <c r="J53" s="8">
        <f>IF(ISNA(VLOOKUP($B53,'Other Capital Needs'!$C$51:$P$95,J$2,0)),0,VLOOKUP($B53,'Other Capital Needs'!$C$51:$P$95,J$2,0))+IF(ISNA(VLOOKUP('Project Details by Yr - MASTER'!$B53,'Public Grounds'!$A$11:$N$49,J$2,0)),0,VLOOKUP('Project Details by Yr - MASTER'!$B53,'Public Grounds'!$A$11:$N$49,J$2,0))+IF(ISNA(VLOOKUP('Project Details by Yr - MASTER'!$B53,'Public Buildings'!$A$10:$N$96,J$2,0)),0,VLOOKUP('Project Details by Yr - MASTER'!$B53,'Public Buildings'!$A$10:$N$96,J$2,0))+IF(ISNA(VLOOKUP('Project Details by Yr - MASTER'!$B53,Bridges!$A$9:$N$24,J$2,0)),0,VLOOKUP('Project Details by Yr - MASTER'!$B53,Bridges!$A$9:$N$24,J$2,0))+IF(ISNA(VLOOKUP('Project Details by Yr - MASTER'!$B53,'Parking Lots &amp; Playgrounds'!$A$9:$N$33,J$2,0)),0,VLOOKUP('Project Details by Yr - MASTER'!$B53,'Parking Lots &amp; Playgrounds'!$A$9:$N$33,J$2,0))+IF(ISNA(VLOOKUP($B53,Vehicles!$B$9:$O$50,J$2,0)),0,VLOOKUP($B53,Vehicles!$B$9:$O$50,J$2,0))</f>
        <v>0</v>
      </c>
      <c r="K53" s="8">
        <f>IF(ISNA(VLOOKUP($B53,'Other Capital Needs'!$C$51:$P$95,K$2,0)),0,VLOOKUP($B53,'Other Capital Needs'!$C$51:$P$95,K$2,0))+IF(ISNA(VLOOKUP('Project Details by Yr - MASTER'!$B53,'Public Grounds'!$A$11:$N$49,K$2,0)),0,VLOOKUP('Project Details by Yr - MASTER'!$B53,'Public Grounds'!$A$11:$N$49,K$2,0))+IF(ISNA(VLOOKUP('Project Details by Yr - MASTER'!$B53,'Public Buildings'!$A$10:$N$96,K$2,0)),0,VLOOKUP('Project Details by Yr - MASTER'!$B53,'Public Buildings'!$A$10:$N$96,K$2,0))+IF(ISNA(VLOOKUP('Project Details by Yr - MASTER'!$B53,Bridges!$A$9:$N$24,K$2,0)),0,VLOOKUP('Project Details by Yr - MASTER'!$B53,Bridges!$A$9:$N$24,K$2,0))+IF(ISNA(VLOOKUP('Project Details by Yr - MASTER'!$B53,'Parking Lots &amp; Playgrounds'!$A$9:$N$33,K$2,0)),0,VLOOKUP('Project Details by Yr - MASTER'!$B53,'Parking Lots &amp; Playgrounds'!$A$9:$N$33,K$2,0))+IF(ISNA(VLOOKUP($B53,Vehicles!$B$9:$O$50,K$2,0)),0,VLOOKUP($B53,Vehicles!$B$9:$O$50,K$2,0))</f>
        <v>0</v>
      </c>
    </row>
    <row r="54" spans="1:11" x14ac:dyDescent="0.25">
      <c r="A54" s="1">
        <v>53</v>
      </c>
      <c r="B54" t="s">
        <v>189</v>
      </c>
      <c r="C54" t="s">
        <v>101</v>
      </c>
      <c r="D54" t="s">
        <v>272</v>
      </c>
      <c r="E54" s="1" t="s">
        <v>16</v>
      </c>
      <c r="G54" s="8">
        <f>IF(ISNA(VLOOKUP($B54,'Other Capital Needs'!$C$51:$P$95,G$2,0)),0,VLOOKUP($B54,'Other Capital Needs'!$C$51:$P$95,G$2,0))+IF(ISNA(VLOOKUP('Project Details by Yr - MASTER'!$B54,'Public Grounds'!$A$11:$N$49,G$2,0)),0,VLOOKUP('Project Details by Yr - MASTER'!$B54,'Public Grounds'!$A$11:$N$49,G$2,0))+IF(ISNA(VLOOKUP('Project Details by Yr - MASTER'!$B54,'Public Buildings'!$A$10:$N$96,G$2,0)),0,VLOOKUP('Project Details by Yr - MASTER'!$B54,'Public Buildings'!$A$10:$N$96,G$2,0))+IF(ISNA(VLOOKUP('Project Details by Yr - MASTER'!$B54,Bridges!$A$9:$N$24,G$2,0)),0,VLOOKUP('Project Details by Yr - MASTER'!$B54,Bridges!$A$9:$N$24,G$2,0))+IF(ISNA(VLOOKUP('Project Details by Yr - MASTER'!$B54,'Parking Lots &amp; Playgrounds'!$A$9:$N$33,G$2,0)),0,VLOOKUP('Project Details by Yr - MASTER'!$B54,'Parking Lots &amp; Playgrounds'!$A$9:$N$33,G$2,0))+IF(ISNA(VLOOKUP($B54,Vehicles!$B$9:$O$50,G$2,0)),0,VLOOKUP($B54,Vehicles!$B$9:$O$50,G$2,0))</f>
        <v>0</v>
      </c>
      <c r="H54" s="8">
        <f>IF(ISNA(VLOOKUP($B54,'Other Capital Needs'!$C$51:$P$95,H$2,0)),0,VLOOKUP($B54,'Other Capital Needs'!$C$51:$P$95,H$2,0))+IF(ISNA(VLOOKUP('Project Details by Yr - MASTER'!$B54,'Public Grounds'!$A$11:$N$49,H$2,0)),0,VLOOKUP('Project Details by Yr - MASTER'!$B54,'Public Grounds'!$A$11:$N$49,H$2,0))+IF(ISNA(VLOOKUP('Project Details by Yr - MASTER'!$B54,'Public Buildings'!$A$10:$N$96,H$2,0)),0,VLOOKUP('Project Details by Yr - MASTER'!$B54,'Public Buildings'!$A$10:$N$96,H$2,0))+IF(ISNA(VLOOKUP('Project Details by Yr - MASTER'!$B54,Bridges!$A$9:$N$24,H$2,0)),0,VLOOKUP('Project Details by Yr - MASTER'!$B54,Bridges!$A$9:$N$24,H$2,0))+IF(ISNA(VLOOKUP('Project Details by Yr - MASTER'!$B54,'Parking Lots &amp; Playgrounds'!$A$9:$N$33,H$2,0)),0,VLOOKUP('Project Details by Yr - MASTER'!$B54,'Parking Lots &amp; Playgrounds'!$A$9:$N$33,H$2,0))+IF(ISNA(VLOOKUP($B54,Vehicles!$B$9:$O$50,H$2,0)),0,VLOOKUP($B54,Vehicles!$B$9:$O$50,H$2,0))</f>
        <v>0</v>
      </c>
      <c r="I54" s="8">
        <f>IF(ISNA(VLOOKUP($B54,'Other Capital Needs'!$C$51:$P$95,I$2,0)),0,VLOOKUP($B54,'Other Capital Needs'!$C$51:$P$95,I$2,0))+IF(ISNA(VLOOKUP('Project Details by Yr - MASTER'!$B54,'Public Grounds'!$A$11:$N$49,I$2,0)),0,VLOOKUP('Project Details by Yr - MASTER'!$B54,'Public Grounds'!$A$11:$N$49,I$2,0))+IF(ISNA(VLOOKUP('Project Details by Yr - MASTER'!$B54,'Public Buildings'!$A$10:$N$96,I$2,0)),0,VLOOKUP('Project Details by Yr - MASTER'!$B54,'Public Buildings'!$A$10:$N$96,I$2,0))+IF(ISNA(VLOOKUP('Project Details by Yr - MASTER'!$B54,Bridges!$A$9:$N$24,I$2,0)),0,VLOOKUP('Project Details by Yr - MASTER'!$B54,Bridges!$A$9:$N$24,I$2,0))+IF(ISNA(VLOOKUP('Project Details by Yr - MASTER'!$B54,'Parking Lots &amp; Playgrounds'!$A$9:$N$33,I$2,0)),0,VLOOKUP('Project Details by Yr - MASTER'!$B54,'Parking Lots &amp; Playgrounds'!$A$9:$N$33,I$2,0))+IF(ISNA(VLOOKUP($B54,Vehicles!$B$9:$O$50,I$2,0)),0,VLOOKUP($B54,Vehicles!$B$9:$O$50,I$2,0))</f>
        <v>0</v>
      </c>
      <c r="J54" s="8">
        <f>IF(ISNA(VLOOKUP($B54,'Other Capital Needs'!$C$51:$P$95,J$2,0)),0,VLOOKUP($B54,'Other Capital Needs'!$C$51:$P$95,J$2,0))+IF(ISNA(VLOOKUP('Project Details by Yr - MASTER'!$B54,'Public Grounds'!$A$11:$N$49,J$2,0)),0,VLOOKUP('Project Details by Yr - MASTER'!$B54,'Public Grounds'!$A$11:$N$49,J$2,0))+IF(ISNA(VLOOKUP('Project Details by Yr - MASTER'!$B54,'Public Buildings'!$A$10:$N$96,J$2,0)),0,VLOOKUP('Project Details by Yr - MASTER'!$B54,'Public Buildings'!$A$10:$N$96,J$2,0))+IF(ISNA(VLOOKUP('Project Details by Yr - MASTER'!$B54,Bridges!$A$9:$N$24,J$2,0)),0,VLOOKUP('Project Details by Yr - MASTER'!$B54,Bridges!$A$9:$N$24,J$2,0))+IF(ISNA(VLOOKUP('Project Details by Yr - MASTER'!$B54,'Parking Lots &amp; Playgrounds'!$A$9:$N$33,J$2,0)),0,VLOOKUP('Project Details by Yr - MASTER'!$B54,'Parking Lots &amp; Playgrounds'!$A$9:$N$33,J$2,0))+IF(ISNA(VLOOKUP($B54,Vehicles!$B$9:$O$50,J$2,0)),0,VLOOKUP($B54,Vehicles!$B$9:$O$50,J$2,0))</f>
        <v>0</v>
      </c>
      <c r="K54" s="8">
        <f>IF(ISNA(VLOOKUP($B54,'Other Capital Needs'!$C$51:$P$95,K$2,0)),0,VLOOKUP($B54,'Other Capital Needs'!$C$51:$P$95,K$2,0))+IF(ISNA(VLOOKUP('Project Details by Yr - MASTER'!$B54,'Public Grounds'!$A$11:$N$49,K$2,0)),0,VLOOKUP('Project Details by Yr - MASTER'!$B54,'Public Grounds'!$A$11:$N$49,K$2,0))+IF(ISNA(VLOOKUP('Project Details by Yr - MASTER'!$B54,'Public Buildings'!$A$10:$N$96,K$2,0)),0,VLOOKUP('Project Details by Yr - MASTER'!$B54,'Public Buildings'!$A$10:$N$96,K$2,0))+IF(ISNA(VLOOKUP('Project Details by Yr - MASTER'!$B54,Bridges!$A$9:$N$24,K$2,0)),0,VLOOKUP('Project Details by Yr - MASTER'!$B54,Bridges!$A$9:$N$24,K$2,0))+IF(ISNA(VLOOKUP('Project Details by Yr - MASTER'!$B54,'Parking Lots &amp; Playgrounds'!$A$9:$N$33,K$2,0)),0,VLOOKUP('Project Details by Yr - MASTER'!$B54,'Parking Lots &amp; Playgrounds'!$A$9:$N$33,K$2,0))+IF(ISNA(VLOOKUP($B54,Vehicles!$B$9:$O$50,K$2,0)),0,VLOOKUP($B54,Vehicles!$B$9:$O$50,K$2,0))</f>
        <v>0</v>
      </c>
    </row>
    <row r="55" spans="1:11" x14ac:dyDescent="0.25">
      <c r="A55" s="1">
        <v>53</v>
      </c>
      <c r="B55" t="s">
        <v>190</v>
      </c>
      <c r="C55" t="s">
        <v>101</v>
      </c>
      <c r="D55" t="s">
        <v>272</v>
      </c>
      <c r="E55" s="1" t="s">
        <v>16</v>
      </c>
      <c r="G55" s="8">
        <f>IF(ISNA(VLOOKUP($B55,'Other Capital Needs'!$C$51:$P$95,G$2,0)),0,VLOOKUP($B55,'Other Capital Needs'!$C$51:$P$95,G$2,0))+IF(ISNA(VLOOKUP('Project Details by Yr - MASTER'!$B55,'Public Grounds'!$A$11:$N$49,G$2,0)),0,VLOOKUP('Project Details by Yr - MASTER'!$B55,'Public Grounds'!$A$11:$N$49,G$2,0))+IF(ISNA(VLOOKUP('Project Details by Yr - MASTER'!$B55,'Public Buildings'!$A$10:$N$96,G$2,0)),0,VLOOKUP('Project Details by Yr - MASTER'!$B55,'Public Buildings'!$A$10:$N$96,G$2,0))+IF(ISNA(VLOOKUP('Project Details by Yr - MASTER'!$B55,Bridges!$A$9:$N$24,G$2,0)),0,VLOOKUP('Project Details by Yr - MASTER'!$B55,Bridges!$A$9:$N$24,G$2,0))+IF(ISNA(VLOOKUP('Project Details by Yr - MASTER'!$B55,'Parking Lots &amp; Playgrounds'!$A$9:$N$33,G$2,0)),0,VLOOKUP('Project Details by Yr - MASTER'!$B55,'Parking Lots &amp; Playgrounds'!$A$9:$N$33,G$2,0))+IF(ISNA(VLOOKUP($B55,Vehicles!$B$9:$O$50,G$2,0)),0,VLOOKUP($B55,Vehicles!$B$9:$O$50,G$2,0))</f>
        <v>0</v>
      </c>
      <c r="H55" s="8">
        <f>IF(ISNA(VLOOKUP($B55,'Other Capital Needs'!$C$51:$P$95,H$2,0)),0,VLOOKUP($B55,'Other Capital Needs'!$C$51:$P$95,H$2,0))+IF(ISNA(VLOOKUP('Project Details by Yr - MASTER'!$B55,'Public Grounds'!$A$11:$N$49,H$2,0)),0,VLOOKUP('Project Details by Yr - MASTER'!$B55,'Public Grounds'!$A$11:$N$49,H$2,0))+IF(ISNA(VLOOKUP('Project Details by Yr - MASTER'!$B55,'Public Buildings'!$A$10:$N$96,H$2,0)),0,VLOOKUP('Project Details by Yr - MASTER'!$B55,'Public Buildings'!$A$10:$N$96,H$2,0))+IF(ISNA(VLOOKUP('Project Details by Yr - MASTER'!$B55,Bridges!$A$9:$N$24,H$2,0)),0,VLOOKUP('Project Details by Yr - MASTER'!$B55,Bridges!$A$9:$N$24,H$2,0))+IF(ISNA(VLOOKUP('Project Details by Yr - MASTER'!$B55,'Parking Lots &amp; Playgrounds'!$A$9:$N$33,H$2,0)),0,VLOOKUP('Project Details by Yr - MASTER'!$B55,'Parking Lots &amp; Playgrounds'!$A$9:$N$33,H$2,0))+IF(ISNA(VLOOKUP($B55,Vehicles!$B$9:$O$50,H$2,0)),0,VLOOKUP($B55,Vehicles!$B$9:$O$50,H$2,0))</f>
        <v>0</v>
      </c>
      <c r="I55" s="8">
        <f>IF(ISNA(VLOOKUP($B55,'Other Capital Needs'!$C$51:$P$95,I$2,0)),0,VLOOKUP($B55,'Other Capital Needs'!$C$51:$P$95,I$2,0))+IF(ISNA(VLOOKUP('Project Details by Yr - MASTER'!$B55,'Public Grounds'!$A$11:$N$49,I$2,0)),0,VLOOKUP('Project Details by Yr - MASTER'!$B55,'Public Grounds'!$A$11:$N$49,I$2,0))+IF(ISNA(VLOOKUP('Project Details by Yr - MASTER'!$B55,'Public Buildings'!$A$10:$N$96,I$2,0)),0,VLOOKUP('Project Details by Yr - MASTER'!$B55,'Public Buildings'!$A$10:$N$96,I$2,0))+IF(ISNA(VLOOKUP('Project Details by Yr - MASTER'!$B55,Bridges!$A$9:$N$24,I$2,0)),0,VLOOKUP('Project Details by Yr - MASTER'!$B55,Bridges!$A$9:$N$24,I$2,0))+IF(ISNA(VLOOKUP('Project Details by Yr - MASTER'!$B55,'Parking Lots &amp; Playgrounds'!$A$9:$N$33,I$2,0)),0,VLOOKUP('Project Details by Yr - MASTER'!$B55,'Parking Lots &amp; Playgrounds'!$A$9:$N$33,I$2,0))+IF(ISNA(VLOOKUP($B55,Vehicles!$B$9:$O$50,I$2,0)),0,VLOOKUP($B55,Vehicles!$B$9:$O$50,I$2,0))</f>
        <v>0</v>
      </c>
      <c r="J55" s="8">
        <f>IF(ISNA(VLOOKUP($B55,'Other Capital Needs'!$C$51:$P$95,J$2,0)),0,VLOOKUP($B55,'Other Capital Needs'!$C$51:$P$95,J$2,0))+IF(ISNA(VLOOKUP('Project Details by Yr - MASTER'!$B55,'Public Grounds'!$A$11:$N$49,J$2,0)),0,VLOOKUP('Project Details by Yr - MASTER'!$B55,'Public Grounds'!$A$11:$N$49,J$2,0))+IF(ISNA(VLOOKUP('Project Details by Yr - MASTER'!$B55,'Public Buildings'!$A$10:$N$96,J$2,0)),0,VLOOKUP('Project Details by Yr - MASTER'!$B55,'Public Buildings'!$A$10:$N$96,J$2,0))+IF(ISNA(VLOOKUP('Project Details by Yr - MASTER'!$B55,Bridges!$A$9:$N$24,J$2,0)),0,VLOOKUP('Project Details by Yr - MASTER'!$B55,Bridges!$A$9:$N$24,J$2,0))+IF(ISNA(VLOOKUP('Project Details by Yr - MASTER'!$B55,'Parking Lots &amp; Playgrounds'!$A$9:$N$33,J$2,0)),0,VLOOKUP('Project Details by Yr - MASTER'!$B55,'Parking Lots &amp; Playgrounds'!$A$9:$N$33,J$2,0))+IF(ISNA(VLOOKUP($B55,Vehicles!$B$9:$O$50,J$2,0)),0,VLOOKUP($B55,Vehicles!$B$9:$O$50,J$2,0))</f>
        <v>0</v>
      </c>
      <c r="K55" s="8">
        <f>IF(ISNA(VLOOKUP($B55,'Other Capital Needs'!$C$51:$P$95,K$2,0)),0,VLOOKUP($B55,'Other Capital Needs'!$C$51:$P$95,K$2,0))+IF(ISNA(VLOOKUP('Project Details by Yr - MASTER'!$B55,'Public Grounds'!$A$11:$N$49,K$2,0)),0,VLOOKUP('Project Details by Yr - MASTER'!$B55,'Public Grounds'!$A$11:$N$49,K$2,0))+IF(ISNA(VLOOKUP('Project Details by Yr - MASTER'!$B55,'Public Buildings'!$A$10:$N$96,K$2,0)),0,VLOOKUP('Project Details by Yr - MASTER'!$B55,'Public Buildings'!$A$10:$N$96,K$2,0))+IF(ISNA(VLOOKUP('Project Details by Yr - MASTER'!$B55,Bridges!$A$9:$N$24,K$2,0)),0,VLOOKUP('Project Details by Yr - MASTER'!$B55,Bridges!$A$9:$N$24,K$2,0))+IF(ISNA(VLOOKUP('Project Details by Yr - MASTER'!$B55,'Parking Lots &amp; Playgrounds'!$A$9:$N$33,K$2,0)),0,VLOOKUP('Project Details by Yr - MASTER'!$B55,'Parking Lots &amp; Playgrounds'!$A$9:$N$33,K$2,0))+IF(ISNA(VLOOKUP($B55,Vehicles!$B$9:$O$50,K$2,0)),0,VLOOKUP($B55,Vehicles!$B$9:$O$50,K$2,0))</f>
        <v>0</v>
      </c>
    </row>
    <row r="56" spans="1:11" x14ac:dyDescent="0.25">
      <c r="B56" t="s">
        <v>12</v>
      </c>
      <c r="C56" s="26" t="s">
        <v>46</v>
      </c>
      <c r="D56" s="26" t="s">
        <v>272</v>
      </c>
      <c r="E56" s="1" t="s">
        <v>16</v>
      </c>
      <c r="G56" s="8">
        <f>IF(ISNA(VLOOKUP($B56,'Other Capital Needs'!$C$51:$P$95,G$2,0)),0,VLOOKUP($B56,'Other Capital Needs'!$C$51:$P$95,G$2,0))+IF(ISNA(VLOOKUP('Project Details by Yr - MASTER'!$B56,'Public Grounds'!$A$11:$N$49,G$2,0)),0,VLOOKUP('Project Details by Yr - MASTER'!$B56,'Public Grounds'!$A$11:$N$49,G$2,0))+IF(ISNA(VLOOKUP('Project Details by Yr - MASTER'!$B56,'Public Buildings'!$A$10:$N$96,G$2,0)),0,VLOOKUP('Project Details by Yr - MASTER'!$B56,'Public Buildings'!$A$10:$N$96,G$2,0))+IF(ISNA(VLOOKUP('Project Details by Yr - MASTER'!$B56,Bridges!$A$9:$N$24,G$2,0)),0,VLOOKUP('Project Details by Yr - MASTER'!$B56,Bridges!$A$9:$N$24,G$2,0))+IF(ISNA(VLOOKUP('Project Details by Yr - MASTER'!$B56,'Parking Lots &amp; Playgrounds'!$A$9:$N$33,G$2,0)),0,VLOOKUP('Project Details by Yr - MASTER'!$B56,'Parking Lots &amp; Playgrounds'!$A$9:$N$33,G$2,0))+IF(ISNA(VLOOKUP($B56,Vehicles!$B$9:$O$50,G$2,0)),0,VLOOKUP($B56,Vehicles!$B$9:$O$50,G$2,0))</f>
        <v>892000</v>
      </c>
      <c r="H56" s="8">
        <f>IF(ISNA(VLOOKUP($B56,'Other Capital Needs'!$C$51:$P$95,H$2,0)),0,VLOOKUP($B56,'Other Capital Needs'!$C$51:$P$95,H$2,0))+IF(ISNA(VLOOKUP('Project Details by Yr - MASTER'!$B56,'Public Grounds'!$A$11:$N$49,H$2,0)),0,VLOOKUP('Project Details by Yr - MASTER'!$B56,'Public Grounds'!$A$11:$N$49,H$2,0))+IF(ISNA(VLOOKUP('Project Details by Yr - MASTER'!$B56,'Public Buildings'!$A$10:$N$96,H$2,0)),0,VLOOKUP('Project Details by Yr - MASTER'!$B56,'Public Buildings'!$A$10:$N$96,H$2,0))+IF(ISNA(VLOOKUP('Project Details by Yr - MASTER'!$B56,Bridges!$A$9:$N$24,H$2,0)),0,VLOOKUP('Project Details by Yr - MASTER'!$B56,Bridges!$A$9:$N$24,H$2,0))+IF(ISNA(VLOOKUP('Project Details by Yr - MASTER'!$B56,'Parking Lots &amp; Playgrounds'!$A$9:$N$33,H$2,0)),0,VLOOKUP('Project Details by Yr - MASTER'!$B56,'Parking Lots &amp; Playgrounds'!$A$9:$N$33,H$2,0))+IF(ISNA(VLOOKUP($B56,Vehicles!$B$9:$O$50,H$2,0)),0,VLOOKUP($B56,Vehicles!$B$9:$O$50,H$2,0))</f>
        <v>0</v>
      </c>
      <c r="I56" s="8">
        <f>IF(ISNA(VLOOKUP($B56,'Other Capital Needs'!$C$51:$P$95,I$2,0)),0,VLOOKUP($B56,'Other Capital Needs'!$C$51:$P$95,I$2,0))+IF(ISNA(VLOOKUP('Project Details by Yr - MASTER'!$B56,'Public Grounds'!$A$11:$N$49,I$2,0)),0,VLOOKUP('Project Details by Yr - MASTER'!$B56,'Public Grounds'!$A$11:$N$49,I$2,0))+IF(ISNA(VLOOKUP('Project Details by Yr - MASTER'!$B56,'Public Buildings'!$A$10:$N$96,I$2,0)),0,VLOOKUP('Project Details by Yr - MASTER'!$B56,'Public Buildings'!$A$10:$N$96,I$2,0))+IF(ISNA(VLOOKUP('Project Details by Yr - MASTER'!$B56,Bridges!$A$9:$N$24,I$2,0)),0,VLOOKUP('Project Details by Yr - MASTER'!$B56,Bridges!$A$9:$N$24,I$2,0))+IF(ISNA(VLOOKUP('Project Details by Yr - MASTER'!$B56,'Parking Lots &amp; Playgrounds'!$A$9:$N$33,I$2,0)),0,VLOOKUP('Project Details by Yr - MASTER'!$B56,'Parking Lots &amp; Playgrounds'!$A$9:$N$33,I$2,0))+IF(ISNA(VLOOKUP($B56,Vehicles!$B$9:$O$50,I$2,0)),0,VLOOKUP($B56,Vehicles!$B$9:$O$50,I$2,0))</f>
        <v>0</v>
      </c>
      <c r="J56" s="8">
        <f>IF(ISNA(VLOOKUP($B56,'Other Capital Needs'!$C$51:$P$95,J$2,0)),0,VLOOKUP($B56,'Other Capital Needs'!$C$51:$P$95,J$2,0))+IF(ISNA(VLOOKUP('Project Details by Yr - MASTER'!$B56,'Public Grounds'!$A$11:$N$49,J$2,0)),0,VLOOKUP('Project Details by Yr - MASTER'!$B56,'Public Grounds'!$A$11:$N$49,J$2,0))+IF(ISNA(VLOOKUP('Project Details by Yr - MASTER'!$B56,'Public Buildings'!$A$10:$N$96,J$2,0)),0,VLOOKUP('Project Details by Yr - MASTER'!$B56,'Public Buildings'!$A$10:$N$96,J$2,0))+IF(ISNA(VLOOKUP('Project Details by Yr - MASTER'!$B56,Bridges!$A$9:$N$24,J$2,0)),0,VLOOKUP('Project Details by Yr - MASTER'!$B56,Bridges!$A$9:$N$24,J$2,0))+IF(ISNA(VLOOKUP('Project Details by Yr - MASTER'!$B56,'Parking Lots &amp; Playgrounds'!$A$9:$N$33,J$2,0)),0,VLOOKUP('Project Details by Yr - MASTER'!$B56,'Parking Lots &amp; Playgrounds'!$A$9:$N$33,J$2,0))+IF(ISNA(VLOOKUP($B56,Vehicles!$B$9:$O$50,J$2,0)),0,VLOOKUP($B56,Vehicles!$B$9:$O$50,J$2,0))</f>
        <v>0</v>
      </c>
      <c r="K56" s="8">
        <f>IF(ISNA(VLOOKUP($B56,'Other Capital Needs'!$C$51:$P$95,K$2,0)),0,VLOOKUP($B56,'Other Capital Needs'!$C$51:$P$95,K$2,0))+IF(ISNA(VLOOKUP('Project Details by Yr - MASTER'!$B56,'Public Grounds'!$A$11:$N$49,K$2,0)),0,VLOOKUP('Project Details by Yr - MASTER'!$B56,'Public Grounds'!$A$11:$N$49,K$2,0))+IF(ISNA(VLOOKUP('Project Details by Yr - MASTER'!$B56,'Public Buildings'!$A$10:$N$96,K$2,0)),0,VLOOKUP('Project Details by Yr - MASTER'!$B56,'Public Buildings'!$A$10:$N$96,K$2,0))+IF(ISNA(VLOOKUP('Project Details by Yr - MASTER'!$B56,Bridges!$A$9:$N$24,K$2,0)),0,VLOOKUP('Project Details by Yr - MASTER'!$B56,Bridges!$A$9:$N$24,K$2,0))+IF(ISNA(VLOOKUP('Project Details by Yr - MASTER'!$B56,'Parking Lots &amp; Playgrounds'!$A$9:$N$33,K$2,0)),0,VLOOKUP('Project Details by Yr - MASTER'!$B56,'Parking Lots &amp; Playgrounds'!$A$9:$N$33,K$2,0))+IF(ISNA(VLOOKUP($B56,Vehicles!$B$9:$O$50,K$2,0)),0,VLOOKUP($B56,Vehicles!$B$9:$O$50,K$2,0))</f>
        <v>0</v>
      </c>
    </row>
    <row r="57" spans="1:11" x14ac:dyDescent="0.25">
      <c r="B57" t="s">
        <v>283</v>
      </c>
      <c r="C57" s="26" t="s">
        <v>46</v>
      </c>
      <c r="D57" s="26" t="s">
        <v>272</v>
      </c>
      <c r="E57" s="1" t="s">
        <v>16</v>
      </c>
      <c r="G57" s="8">
        <f>IF(ISNA(VLOOKUP($B57,'Other Capital Needs'!$C$51:$P$95,G$2,0)),0,VLOOKUP($B57,'Other Capital Needs'!$C$51:$P$95,G$2,0))+IF(ISNA(VLOOKUP('Project Details by Yr - MASTER'!$B57,'Public Grounds'!$A$11:$N$49,G$2,0)),0,VLOOKUP('Project Details by Yr - MASTER'!$B57,'Public Grounds'!$A$11:$N$49,G$2,0))+IF(ISNA(VLOOKUP('Project Details by Yr - MASTER'!$B57,'Public Buildings'!$A$10:$N$96,G$2,0)),0,VLOOKUP('Project Details by Yr - MASTER'!$B57,'Public Buildings'!$A$10:$N$96,G$2,0))+IF(ISNA(VLOOKUP('Project Details by Yr - MASTER'!$B57,Bridges!$A$9:$N$24,G$2,0)),0,VLOOKUP('Project Details by Yr - MASTER'!$B57,Bridges!$A$9:$N$24,G$2,0))+IF(ISNA(VLOOKUP('Project Details by Yr - MASTER'!$B57,'Parking Lots &amp; Playgrounds'!$A$9:$N$33,G$2,0)),0,VLOOKUP('Project Details by Yr - MASTER'!$B57,'Parking Lots &amp; Playgrounds'!$A$9:$N$33,G$2,0))+IF(ISNA(VLOOKUP($B57,Vehicles!$B$9:$O$50,G$2,0)),0,VLOOKUP($B57,Vehicles!$B$9:$O$50,G$2,0))</f>
        <v>0</v>
      </c>
      <c r="H57" s="8">
        <f>IF(ISNA(VLOOKUP($B57,'Other Capital Needs'!$C$51:$P$95,H$2,0)),0,VLOOKUP($B57,'Other Capital Needs'!$C$51:$P$95,H$2,0))+IF(ISNA(VLOOKUP('Project Details by Yr - MASTER'!$B57,'Public Grounds'!$A$11:$N$49,H$2,0)),0,VLOOKUP('Project Details by Yr - MASTER'!$B57,'Public Grounds'!$A$11:$N$49,H$2,0))+IF(ISNA(VLOOKUP('Project Details by Yr - MASTER'!$B57,'Public Buildings'!$A$10:$N$96,H$2,0)),0,VLOOKUP('Project Details by Yr - MASTER'!$B57,'Public Buildings'!$A$10:$N$96,H$2,0))+IF(ISNA(VLOOKUP('Project Details by Yr - MASTER'!$B57,Bridges!$A$9:$N$24,H$2,0)),0,VLOOKUP('Project Details by Yr - MASTER'!$B57,Bridges!$A$9:$N$24,H$2,0))+IF(ISNA(VLOOKUP('Project Details by Yr - MASTER'!$B57,'Parking Lots &amp; Playgrounds'!$A$9:$N$33,H$2,0)),0,VLOOKUP('Project Details by Yr - MASTER'!$B57,'Parking Lots &amp; Playgrounds'!$A$9:$N$33,H$2,0))+IF(ISNA(VLOOKUP($B57,Vehicles!$B$9:$O$50,H$2,0)),0,VLOOKUP($B57,Vehicles!$B$9:$O$50,H$2,0))</f>
        <v>30000</v>
      </c>
      <c r="I57" s="8">
        <f>IF(ISNA(VLOOKUP($B57,'Other Capital Needs'!$C$51:$P$95,I$2,0)),0,VLOOKUP($B57,'Other Capital Needs'!$C$51:$P$95,I$2,0))+IF(ISNA(VLOOKUP('Project Details by Yr - MASTER'!$B57,'Public Grounds'!$A$11:$N$49,I$2,0)),0,VLOOKUP('Project Details by Yr - MASTER'!$B57,'Public Grounds'!$A$11:$N$49,I$2,0))+IF(ISNA(VLOOKUP('Project Details by Yr - MASTER'!$B57,'Public Buildings'!$A$10:$N$96,I$2,0)),0,VLOOKUP('Project Details by Yr - MASTER'!$B57,'Public Buildings'!$A$10:$N$96,I$2,0))+IF(ISNA(VLOOKUP('Project Details by Yr - MASTER'!$B57,Bridges!$A$9:$N$24,I$2,0)),0,VLOOKUP('Project Details by Yr - MASTER'!$B57,Bridges!$A$9:$N$24,I$2,0))+IF(ISNA(VLOOKUP('Project Details by Yr - MASTER'!$B57,'Parking Lots &amp; Playgrounds'!$A$9:$N$33,I$2,0)),0,VLOOKUP('Project Details by Yr - MASTER'!$B57,'Parking Lots &amp; Playgrounds'!$A$9:$N$33,I$2,0))+IF(ISNA(VLOOKUP($B57,Vehicles!$B$9:$O$50,I$2,0)),0,VLOOKUP($B57,Vehicles!$B$9:$O$50,I$2,0))</f>
        <v>0</v>
      </c>
      <c r="J57" s="8">
        <f>IF(ISNA(VLOOKUP($B57,'Other Capital Needs'!$C$51:$P$95,J$2,0)),0,VLOOKUP($B57,'Other Capital Needs'!$C$51:$P$95,J$2,0))+IF(ISNA(VLOOKUP('Project Details by Yr - MASTER'!$B57,'Public Grounds'!$A$11:$N$49,J$2,0)),0,VLOOKUP('Project Details by Yr - MASTER'!$B57,'Public Grounds'!$A$11:$N$49,J$2,0))+IF(ISNA(VLOOKUP('Project Details by Yr - MASTER'!$B57,'Public Buildings'!$A$10:$N$96,J$2,0)),0,VLOOKUP('Project Details by Yr - MASTER'!$B57,'Public Buildings'!$A$10:$N$96,J$2,0))+IF(ISNA(VLOOKUP('Project Details by Yr - MASTER'!$B57,Bridges!$A$9:$N$24,J$2,0)),0,VLOOKUP('Project Details by Yr - MASTER'!$B57,Bridges!$A$9:$N$24,J$2,0))+IF(ISNA(VLOOKUP('Project Details by Yr - MASTER'!$B57,'Parking Lots &amp; Playgrounds'!$A$9:$N$33,J$2,0)),0,VLOOKUP('Project Details by Yr - MASTER'!$B57,'Parking Lots &amp; Playgrounds'!$A$9:$N$33,J$2,0))+IF(ISNA(VLOOKUP($B57,Vehicles!$B$9:$O$50,J$2,0)),0,VLOOKUP($B57,Vehicles!$B$9:$O$50,J$2,0))</f>
        <v>0</v>
      </c>
      <c r="K57" s="8">
        <f>IF(ISNA(VLOOKUP($B57,'Other Capital Needs'!$C$51:$P$95,K$2,0)),0,VLOOKUP($B57,'Other Capital Needs'!$C$51:$P$95,K$2,0))+IF(ISNA(VLOOKUP('Project Details by Yr - MASTER'!$B57,'Public Grounds'!$A$11:$N$49,K$2,0)),0,VLOOKUP('Project Details by Yr - MASTER'!$B57,'Public Grounds'!$A$11:$N$49,K$2,0))+IF(ISNA(VLOOKUP('Project Details by Yr - MASTER'!$B57,'Public Buildings'!$A$10:$N$96,K$2,0)),0,VLOOKUP('Project Details by Yr - MASTER'!$B57,'Public Buildings'!$A$10:$N$96,K$2,0))+IF(ISNA(VLOOKUP('Project Details by Yr - MASTER'!$B57,Bridges!$A$9:$N$24,K$2,0)),0,VLOOKUP('Project Details by Yr - MASTER'!$B57,Bridges!$A$9:$N$24,K$2,0))+IF(ISNA(VLOOKUP('Project Details by Yr - MASTER'!$B57,'Parking Lots &amp; Playgrounds'!$A$9:$N$33,K$2,0)),0,VLOOKUP('Project Details by Yr - MASTER'!$B57,'Parking Lots &amp; Playgrounds'!$A$9:$N$33,K$2,0))+IF(ISNA(VLOOKUP($B57,Vehicles!$B$9:$O$50,K$2,0)),0,VLOOKUP($B57,Vehicles!$B$9:$O$50,K$2,0))</f>
        <v>0</v>
      </c>
    </row>
    <row r="58" spans="1:11" x14ac:dyDescent="0.25">
      <c r="B58" t="s">
        <v>14</v>
      </c>
      <c r="C58" s="26" t="s">
        <v>46</v>
      </c>
      <c r="D58" s="26" t="s">
        <v>272</v>
      </c>
      <c r="E58" s="1" t="s">
        <v>243</v>
      </c>
      <c r="G58" s="8">
        <f>IF(ISNA(VLOOKUP($B58,'Other Capital Needs'!$C$51:$P$95,G$2,0)),0,VLOOKUP($B58,'Other Capital Needs'!$C$51:$P$95,G$2,0))+IF(ISNA(VLOOKUP('Project Details by Yr - MASTER'!$B58,'Public Grounds'!$A$11:$N$49,G$2,0)),0,VLOOKUP('Project Details by Yr - MASTER'!$B58,'Public Grounds'!$A$11:$N$49,G$2,0))+IF(ISNA(VLOOKUP('Project Details by Yr - MASTER'!$B58,'Public Buildings'!$A$10:$N$96,G$2,0)),0,VLOOKUP('Project Details by Yr - MASTER'!$B58,'Public Buildings'!$A$10:$N$96,G$2,0))+IF(ISNA(VLOOKUP('Project Details by Yr - MASTER'!$B58,Bridges!$A$9:$N$24,G$2,0)),0,VLOOKUP('Project Details by Yr - MASTER'!$B58,Bridges!$A$9:$N$24,G$2,0))+IF(ISNA(VLOOKUP('Project Details by Yr - MASTER'!$B58,'Parking Lots &amp; Playgrounds'!$A$9:$N$33,G$2,0)),0,VLOOKUP('Project Details by Yr - MASTER'!$B58,'Parking Lots &amp; Playgrounds'!$A$9:$N$33,G$2,0))+IF(ISNA(VLOOKUP($B58,Vehicles!$B$9:$O$50,G$2,0)),0,VLOOKUP($B58,Vehicles!$B$9:$O$50,G$2,0))</f>
        <v>0</v>
      </c>
      <c r="H58" s="8">
        <f>IF(ISNA(VLOOKUP($B58,'Other Capital Needs'!$C$51:$P$95,H$2,0)),0,VLOOKUP($B58,'Other Capital Needs'!$C$51:$P$95,H$2,0))+IF(ISNA(VLOOKUP('Project Details by Yr - MASTER'!$B58,'Public Grounds'!$A$11:$N$49,H$2,0)),0,VLOOKUP('Project Details by Yr - MASTER'!$B58,'Public Grounds'!$A$11:$N$49,H$2,0))+IF(ISNA(VLOOKUP('Project Details by Yr - MASTER'!$B58,'Public Buildings'!$A$10:$N$96,H$2,0)),0,VLOOKUP('Project Details by Yr - MASTER'!$B58,'Public Buildings'!$A$10:$N$96,H$2,0))+IF(ISNA(VLOOKUP('Project Details by Yr - MASTER'!$B58,Bridges!$A$9:$N$24,H$2,0)),0,VLOOKUP('Project Details by Yr - MASTER'!$B58,Bridges!$A$9:$N$24,H$2,0))+IF(ISNA(VLOOKUP('Project Details by Yr - MASTER'!$B58,'Parking Lots &amp; Playgrounds'!$A$9:$N$33,H$2,0)),0,VLOOKUP('Project Details by Yr - MASTER'!$B58,'Parking Lots &amp; Playgrounds'!$A$9:$N$33,H$2,0))+IF(ISNA(VLOOKUP($B58,Vehicles!$B$9:$O$50,H$2,0)),0,VLOOKUP($B58,Vehicles!$B$9:$O$50,H$2,0))</f>
        <v>0</v>
      </c>
      <c r="I58" s="8">
        <f>IF(ISNA(VLOOKUP($B58,'Other Capital Needs'!$C$51:$P$95,I$2,0)),0,VLOOKUP($B58,'Other Capital Needs'!$C$51:$P$95,I$2,0))+IF(ISNA(VLOOKUP('Project Details by Yr - MASTER'!$B58,'Public Grounds'!$A$11:$N$49,I$2,0)),0,VLOOKUP('Project Details by Yr - MASTER'!$B58,'Public Grounds'!$A$11:$N$49,I$2,0))+IF(ISNA(VLOOKUP('Project Details by Yr - MASTER'!$B58,'Public Buildings'!$A$10:$N$96,I$2,0)),0,VLOOKUP('Project Details by Yr - MASTER'!$B58,'Public Buildings'!$A$10:$N$96,I$2,0))+IF(ISNA(VLOOKUP('Project Details by Yr - MASTER'!$B58,Bridges!$A$9:$N$24,I$2,0)),0,VLOOKUP('Project Details by Yr - MASTER'!$B58,Bridges!$A$9:$N$24,I$2,0))+IF(ISNA(VLOOKUP('Project Details by Yr - MASTER'!$B58,'Parking Lots &amp; Playgrounds'!$A$9:$N$33,I$2,0)),0,VLOOKUP('Project Details by Yr - MASTER'!$B58,'Parking Lots &amp; Playgrounds'!$A$9:$N$33,I$2,0))+IF(ISNA(VLOOKUP($B58,Vehicles!$B$9:$O$50,I$2,0)),0,VLOOKUP($B58,Vehicles!$B$9:$O$50,I$2,0))</f>
        <v>0</v>
      </c>
      <c r="J58" s="8">
        <f>IF(ISNA(VLOOKUP($B58,'Other Capital Needs'!$C$51:$P$95,J$2,0)),0,VLOOKUP($B58,'Other Capital Needs'!$C$51:$P$95,J$2,0))+IF(ISNA(VLOOKUP('Project Details by Yr - MASTER'!$B58,'Public Grounds'!$A$11:$N$49,J$2,0)),0,VLOOKUP('Project Details by Yr - MASTER'!$B58,'Public Grounds'!$A$11:$N$49,J$2,0))+IF(ISNA(VLOOKUP('Project Details by Yr - MASTER'!$B58,'Public Buildings'!$A$10:$N$96,J$2,0)),0,VLOOKUP('Project Details by Yr - MASTER'!$B58,'Public Buildings'!$A$10:$N$96,J$2,0))+IF(ISNA(VLOOKUP('Project Details by Yr - MASTER'!$B58,Bridges!$A$9:$N$24,J$2,0)),0,VLOOKUP('Project Details by Yr - MASTER'!$B58,Bridges!$A$9:$N$24,J$2,0))+IF(ISNA(VLOOKUP('Project Details by Yr - MASTER'!$B58,'Parking Lots &amp; Playgrounds'!$A$9:$N$33,J$2,0)),0,VLOOKUP('Project Details by Yr - MASTER'!$B58,'Parking Lots &amp; Playgrounds'!$A$9:$N$33,J$2,0))+IF(ISNA(VLOOKUP($B58,Vehicles!$B$9:$O$50,J$2,0)),0,VLOOKUP($B58,Vehicles!$B$9:$O$50,J$2,0))</f>
        <v>0</v>
      </c>
      <c r="K58" s="8">
        <f>IF(ISNA(VLOOKUP($B58,'Other Capital Needs'!$C$51:$P$95,K$2,0)),0,VLOOKUP($B58,'Other Capital Needs'!$C$51:$P$95,K$2,0))+IF(ISNA(VLOOKUP('Project Details by Yr - MASTER'!$B58,'Public Grounds'!$A$11:$N$49,K$2,0)),0,VLOOKUP('Project Details by Yr - MASTER'!$B58,'Public Grounds'!$A$11:$N$49,K$2,0))+IF(ISNA(VLOOKUP('Project Details by Yr - MASTER'!$B58,'Public Buildings'!$A$10:$N$96,K$2,0)),0,VLOOKUP('Project Details by Yr - MASTER'!$B58,'Public Buildings'!$A$10:$N$96,K$2,0))+IF(ISNA(VLOOKUP('Project Details by Yr - MASTER'!$B58,Bridges!$A$9:$N$24,K$2,0)),0,VLOOKUP('Project Details by Yr - MASTER'!$B58,Bridges!$A$9:$N$24,K$2,0))+IF(ISNA(VLOOKUP('Project Details by Yr - MASTER'!$B58,'Parking Lots &amp; Playgrounds'!$A$9:$N$33,K$2,0)),0,VLOOKUP('Project Details by Yr - MASTER'!$B58,'Parking Lots &amp; Playgrounds'!$A$9:$N$33,K$2,0))+IF(ISNA(VLOOKUP($B58,Vehicles!$B$9:$O$50,K$2,0)),0,VLOOKUP($B58,Vehicles!$B$9:$O$50,K$2,0))</f>
        <v>0</v>
      </c>
    </row>
    <row r="59" spans="1:11" x14ac:dyDescent="0.25">
      <c r="B59" t="s">
        <v>15</v>
      </c>
      <c r="C59" s="26" t="s">
        <v>46</v>
      </c>
      <c r="D59" s="26" t="s">
        <v>272</v>
      </c>
      <c r="E59" s="1" t="s">
        <v>16</v>
      </c>
      <c r="G59" s="8">
        <f>IF(ISNA(VLOOKUP($B59,'Other Capital Needs'!$C$51:$P$95,G$2,0)),0,VLOOKUP($B59,'Other Capital Needs'!$C$51:$P$95,G$2,0))+IF(ISNA(VLOOKUP('Project Details by Yr - MASTER'!$B59,'Public Grounds'!$A$11:$N$49,G$2,0)),0,VLOOKUP('Project Details by Yr - MASTER'!$B59,'Public Grounds'!$A$11:$N$49,G$2,0))+IF(ISNA(VLOOKUP('Project Details by Yr - MASTER'!$B59,'Public Buildings'!$A$10:$N$96,G$2,0)),0,VLOOKUP('Project Details by Yr - MASTER'!$B59,'Public Buildings'!$A$10:$N$96,G$2,0))+IF(ISNA(VLOOKUP('Project Details by Yr - MASTER'!$B59,Bridges!$A$9:$N$24,G$2,0)),0,VLOOKUP('Project Details by Yr - MASTER'!$B59,Bridges!$A$9:$N$24,G$2,0))+IF(ISNA(VLOOKUP('Project Details by Yr - MASTER'!$B59,'Parking Lots &amp; Playgrounds'!$A$9:$N$33,G$2,0)),0,VLOOKUP('Project Details by Yr - MASTER'!$B59,'Parking Lots &amp; Playgrounds'!$A$9:$N$33,G$2,0))+IF(ISNA(VLOOKUP($B59,Vehicles!$B$9:$O$50,G$2,0)),0,VLOOKUP($B59,Vehicles!$B$9:$O$50,G$2,0))</f>
        <v>0</v>
      </c>
      <c r="H59" s="8">
        <f>IF(ISNA(VLOOKUP($B59,'Other Capital Needs'!$C$51:$P$95,H$2,0)),0,VLOOKUP($B59,'Other Capital Needs'!$C$51:$P$95,H$2,0))+IF(ISNA(VLOOKUP('Project Details by Yr - MASTER'!$B59,'Public Grounds'!$A$11:$N$49,H$2,0)),0,VLOOKUP('Project Details by Yr - MASTER'!$B59,'Public Grounds'!$A$11:$N$49,H$2,0))+IF(ISNA(VLOOKUP('Project Details by Yr - MASTER'!$B59,'Public Buildings'!$A$10:$N$96,H$2,0)),0,VLOOKUP('Project Details by Yr - MASTER'!$B59,'Public Buildings'!$A$10:$N$96,H$2,0))+IF(ISNA(VLOOKUP('Project Details by Yr - MASTER'!$B59,Bridges!$A$9:$N$24,H$2,0)),0,VLOOKUP('Project Details by Yr - MASTER'!$B59,Bridges!$A$9:$N$24,H$2,0))+IF(ISNA(VLOOKUP('Project Details by Yr - MASTER'!$B59,'Parking Lots &amp; Playgrounds'!$A$9:$N$33,H$2,0)),0,VLOOKUP('Project Details by Yr - MASTER'!$B59,'Parking Lots &amp; Playgrounds'!$A$9:$N$33,H$2,0))+IF(ISNA(VLOOKUP($B59,Vehicles!$B$9:$O$50,H$2,0)),0,VLOOKUP($B59,Vehicles!$B$9:$O$50,H$2,0))</f>
        <v>0</v>
      </c>
      <c r="I59" s="8">
        <f>IF(ISNA(VLOOKUP($B59,'Other Capital Needs'!$C$51:$P$95,I$2,0)),0,VLOOKUP($B59,'Other Capital Needs'!$C$51:$P$95,I$2,0))+IF(ISNA(VLOOKUP('Project Details by Yr - MASTER'!$B59,'Public Grounds'!$A$11:$N$49,I$2,0)),0,VLOOKUP('Project Details by Yr - MASTER'!$B59,'Public Grounds'!$A$11:$N$49,I$2,0))+IF(ISNA(VLOOKUP('Project Details by Yr - MASTER'!$B59,'Public Buildings'!$A$10:$N$96,I$2,0)),0,VLOOKUP('Project Details by Yr - MASTER'!$B59,'Public Buildings'!$A$10:$N$96,I$2,0))+IF(ISNA(VLOOKUP('Project Details by Yr - MASTER'!$B59,Bridges!$A$9:$N$24,I$2,0)),0,VLOOKUP('Project Details by Yr - MASTER'!$B59,Bridges!$A$9:$N$24,I$2,0))+IF(ISNA(VLOOKUP('Project Details by Yr - MASTER'!$B59,'Parking Lots &amp; Playgrounds'!$A$9:$N$33,I$2,0)),0,VLOOKUP('Project Details by Yr - MASTER'!$B59,'Parking Lots &amp; Playgrounds'!$A$9:$N$33,I$2,0))+IF(ISNA(VLOOKUP($B59,Vehicles!$B$9:$O$50,I$2,0)),0,VLOOKUP($B59,Vehicles!$B$9:$O$50,I$2,0))</f>
        <v>0</v>
      </c>
      <c r="J59" s="8">
        <f>IF(ISNA(VLOOKUP($B59,'Other Capital Needs'!$C$51:$P$95,J$2,0)),0,VLOOKUP($B59,'Other Capital Needs'!$C$51:$P$95,J$2,0))+IF(ISNA(VLOOKUP('Project Details by Yr - MASTER'!$B59,'Public Grounds'!$A$11:$N$49,J$2,0)),0,VLOOKUP('Project Details by Yr - MASTER'!$B59,'Public Grounds'!$A$11:$N$49,J$2,0))+IF(ISNA(VLOOKUP('Project Details by Yr - MASTER'!$B59,'Public Buildings'!$A$10:$N$96,J$2,0)),0,VLOOKUP('Project Details by Yr - MASTER'!$B59,'Public Buildings'!$A$10:$N$96,J$2,0))+IF(ISNA(VLOOKUP('Project Details by Yr - MASTER'!$B59,Bridges!$A$9:$N$24,J$2,0)),0,VLOOKUP('Project Details by Yr - MASTER'!$B59,Bridges!$A$9:$N$24,J$2,0))+IF(ISNA(VLOOKUP('Project Details by Yr - MASTER'!$B59,'Parking Lots &amp; Playgrounds'!$A$9:$N$33,J$2,0)),0,VLOOKUP('Project Details by Yr - MASTER'!$B59,'Parking Lots &amp; Playgrounds'!$A$9:$N$33,J$2,0))+IF(ISNA(VLOOKUP($B59,Vehicles!$B$9:$O$50,J$2,0)),0,VLOOKUP($B59,Vehicles!$B$9:$O$50,J$2,0))</f>
        <v>0</v>
      </c>
      <c r="K59" s="8">
        <f>IF(ISNA(VLOOKUP($B59,'Other Capital Needs'!$C$51:$P$95,K$2,0)),0,VLOOKUP($B59,'Other Capital Needs'!$C$51:$P$95,K$2,0))+IF(ISNA(VLOOKUP('Project Details by Yr - MASTER'!$B59,'Public Grounds'!$A$11:$N$49,K$2,0)),0,VLOOKUP('Project Details by Yr - MASTER'!$B59,'Public Grounds'!$A$11:$N$49,K$2,0))+IF(ISNA(VLOOKUP('Project Details by Yr - MASTER'!$B59,'Public Buildings'!$A$10:$N$96,K$2,0)),0,VLOOKUP('Project Details by Yr - MASTER'!$B59,'Public Buildings'!$A$10:$N$96,K$2,0))+IF(ISNA(VLOOKUP('Project Details by Yr - MASTER'!$B59,Bridges!$A$9:$N$24,K$2,0)),0,VLOOKUP('Project Details by Yr - MASTER'!$B59,Bridges!$A$9:$N$24,K$2,0))+IF(ISNA(VLOOKUP('Project Details by Yr - MASTER'!$B59,'Parking Lots &amp; Playgrounds'!$A$9:$N$33,K$2,0)),0,VLOOKUP('Project Details by Yr - MASTER'!$B59,'Parking Lots &amp; Playgrounds'!$A$9:$N$33,K$2,0))+IF(ISNA(VLOOKUP($B59,Vehicles!$B$9:$O$50,K$2,0)),0,VLOOKUP($B59,Vehicles!$B$9:$O$50,K$2,0))</f>
        <v>0</v>
      </c>
    </row>
    <row r="60" spans="1:11" x14ac:dyDescent="0.25">
      <c r="B60" t="s">
        <v>20</v>
      </c>
      <c r="C60" s="26" t="s">
        <v>46</v>
      </c>
      <c r="D60" s="26" t="s">
        <v>272</v>
      </c>
      <c r="E60" s="1" t="s">
        <v>16</v>
      </c>
      <c r="G60" s="8">
        <f>IF(ISNA(VLOOKUP($B60,'Other Capital Needs'!$C$51:$P$95,G$2,0)),0,VLOOKUP($B60,'Other Capital Needs'!$C$51:$P$95,G$2,0))+IF(ISNA(VLOOKUP('Project Details by Yr - MASTER'!$B60,'Public Grounds'!$A$11:$N$49,G$2,0)),0,VLOOKUP('Project Details by Yr - MASTER'!$B60,'Public Grounds'!$A$11:$N$49,G$2,0))+IF(ISNA(VLOOKUP('Project Details by Yr - MASTER'!$B60,'Public Buildings'!$A$10:$N$96,G$2,0)),0,VLOOKUP('Project Details by Yr - MASTER'!$B60,'Public Buildings'!$A$10:$N$96,G$2,0))+IF(ISNA(VLOOKUP('Project Details by Yr - MASTER'!$B60,Bridges!$A$9:$N$24,G$2,0)),0,VLOOKUP('Project Details by Yr - MASTER'!$B60,Bridges!$A$9:$N$24,G$2,0))+IF(ISNA(VLOOKUP('Project Details by Yr - MASTER'!$B60,'Parking Lots &amp; Playgrounds'!$A$9:$N$33,G$2,0)),0,VLOOKUP('Project Details by Yr - MASTER'!$B60,'Parking Lots &amp; Playgrounds'!$A$9:$N$33,G$2,0))+IF(ISNA(VLOOKUP($B60,Vehicles!$B$9:$O$50,G$2,0)),0,VLOOKUP($B60,Vehicles!$B$9:$O$50,G$2,0))</f>
        <v>105000</v>
      </c>
      <c r="H60" s="8">
        <f>IF(ISNA(VLOOKUP($B60,'Other Capital Needs'!$C$51:$P$95,H$2,0)),0,VLOOKUP($B60,'Other Capital Needs'!$C$51:$P$95,H$2,0))+IF(ISNA(VLOOKUP('Project Details by Yr - MASTER'!$B60,'Public Grounds'!$A$11:$N$49,H$2,0)),0,VLOOKUP('Project Details by Yr - MASTER'!$B60,'Public Grounds'!$A$11:$N$49,H$2,0))+IF(ISNA(VLOOKUP('Project Details by Yr - MASTER'!$B60,'Public Buildings'!$A$10:$N$96,H$2,0)),0,VLOOKUP('Project Details by Yr - MASTER'!$B60,'Public Buildings'!$A$10:$N$96,H$2,0))+IF(ISNA(VLOOKUP('Project Details by Yr - MASTER'!$B60,Bridges!$A$9:$N$24,H$2,0)),0,VLOOKUP('Project Details by Yr - MASTER'!$B60,Bridges!$A$9:$N$24,H$2,0))+IF(ISNA(VLOOKUP('Project Details by Yr - MASTER'!$B60,'Parking Lots &amp; Playgrounds'!$A$9:$N$33,H$2,0)),0,VLOOKUP('Project Details by Yr - MASTER'!$B60,'Parking Lots &amp; Playgrounds'!$A$9:$N$33,H$2,0))+IF(ISNA(VLOOKUP($B60,Vehicles!$B$9:$O$50,H$2,0)),0,VLOOKUP($B60,Vehicles!$B$9:$O$50,H$2,0))</f>
        <v>0</v>
      </c>
      <c r="I60" s="8">
        <f>IF(ISNA(VLOOKUP($B60,'Other Capital Needs'!$C$51:$P$95,I$2,0)),0,VLOOKUP($B60,'Other Capital Needs'!$C$51:$P$95,I$2,0))+IF(ISNA(VLOOKUP('Project Details by Yr - MASTER'!$B60,'Public Grounds'!$A$11:$N$49,I$2,0)),0,VLOOKUP('Project Details by Yr - MASTER'!$B60,'Public Grounds'!$A$11:$N$49,I$2,0))+IF(ISNA(VLOOKUP('Project Details by Yr - MASTER'!$B60,'Public Buildings'!$A$10:$N$96,I$2,0)),0,VLOOKUP('Project Details by Yr - MASTER'!$B60,'Public Buildings'!$A$10:$N$96,I$2,0))+IF(ISNA(VLOOKUP('Project Details by Yr - MASTER'!$B60,Bridges!$A$9:$N$24,I$2,0)),0,VLOOKUP('Project Details by Yr - MASTER'!$B60,Bridges!$A$9:$N$24,I$2,0))+IF(ISNA(VLOOKUP('Project Details by Yr - MASTER'!$B60,'Parking Lots &amp; Playgrounds'!$A$9:$N$33,I$2,0)),0,VLOOKUP('Project Details by Yr - MASTER'!$B60,'Parking Lots &amp; Playgrounds'!$A$9:$N$33,I$2,0))+IF(ISNA(VLOOKUP($B60,Vehicles!$B$9:$O$50,I$2,0)),0,VLOOKUP($B60,Vehicles!$B$9:$O$50,I$2,0))</f>
        <v>0</v>
      </c>
      <c r="J60" s="8">
        <f>IF(ISNA(VLOOKUP($B60,'Other Capital Needs'!$C$51:$P$95,J$2,0)),0,VLOOKUP($B60,'Other Capital Needs'!$C$51:$P$95,J$2,0))+IF(ISNA(VLOOKUP('Project Details by Yr - MASTER'!$B60,'Public Grounds'!$A$11:$N$49,J$2,0)),0,VLOOKUP('Project Details by Yr - MASTER'!$B60,'Public Grounds'!$A$11:$N$49,J$2,0))+IF(ISNA(VLOOKUP('Project Details by Yr - MASTER'!$B60,'Public Buildings'!$A$10:$N$96,J$2,0)),0,VLOOKUP('Project Details by Yr - MASTER'!$B60,'Public Buildings'!$A$10:$N$96,J$2,0))+IF(ISNA(VLOOKUP('Project Details by Yr - MASTER'!$B60,Bridges!$A$9:$N$24,J$2,0)),0,VLOOKUP('Project Details by Yr - MASTER'!$B60,Bridges!$A$9:$N$24,J$2,0))+IF(ISNA(VLOOKUP('Project Details by Yr - MASTER'!$B60,'Parking Lots &amp; Playgrounds'!$A$9:$N$33,J$2,0)),0,VLOOKUP('Project Details by Yr - MASTER'!$B60,'Parking Lots &amp; Playgrounds'!$A$9:$N$33,J$2,0))+IF(ISNA(VLOOKUP($B60,Vehicles!$B$9:$O$50,J$2,0)),0,VLOOKUP($B60,Vehicles!$B$9:$O$50,J$2,0))</f>
        <v>0</v>
      </c>
      <c r="K60" s="8">
        <f>IF(ISNA(VLOOKUP($B60,'Other Capital Needs'!$C$51:$P$95,K$2,0)),0,VLOOKUP($B60,'Other Capital Needs'!$C$51:$P$95,K$2,0))+IF(ISNA(VLOOKUP('Project Details by Yr - MASTER'!$B60,'Public Grounds'!$A$11:$N$49,K$2,0)),0,VLOOKUP('Project Details by Yr - MASTER'!$B60,'Public Grounds'!$A$11:$N$49,K$2,0))+IF(ISNA(VLOOKUP('Project Details by Yr - MASTER'!$B60,'Public Buildings'!$A$10:$N$96,K$2,0)),0,VLOOKUP('Project Details by Yr - MASTER'!$B60,'Public Buildings'!$A$10:$N$96,K$2,0))+IF(ISNA(VLOOKUP('Project Details by Yr - MASTER'!$B60,Bridges!$A$9:$N$24,K$2,0)),0,VLOOKUP('Project Details by Yr - MASTER'!$B60,Bridges!$A$9:$N$24,K$2,0))+IF(ISNA(VLOOKUP('Project Details by Yr - MASTER'!$B60,'Parking Lots &amp; Playgrounds'!$A$9:$N$33,K$2,0)),0,VLOOKUP('Project Details by Yr - MASTER'!$B60,'Parking Lots &amp; Playgrounds'!$A$9:$N$33,K$2,0))+IF(ISNA(VLOOKUP($B60,Vehicles!$B$9:$O$50,K$2,0)),0,VLOOKUP($B60,Vehicles!$B$9:$O$50,K$2,0))</f>
        <v>0</v>
      </c>
    </row>
    <row r="61" spans="1:11" x14ac:dyDescent="0.25">
      <c r="B61" t="s">
        <v>21</v>
      </c>
      <c r="C61" s="26" t="s">
        <v>46</v>
      </c>
      <c r="D61" s="26" t="s">
        <v>272</v>
      </c>
      <c r="E61" s="1" t="s">
        <v>16</v>
      </c>
      <c r="G61" s="8">
        <f>IF(ISNA(VLOOKUP($B61,'Other Capital Needs'!$C$51:$P$95,G$2,0)),0,VLOOKUP($B61,'Other Capital Needs'!$C$51:$P$95,G$2,0))+IF(ISNA(VLOOKUP('Project Details by Yr - MASTER'!$B61,'Public Grounds'!$A$11:$N$49,G$2,0)),0,VLOOKUP('Project Details by Yr - MASTER'!$B61,'Public Grounds'!$A$11:$N$49,G$2,0))+IF(ISNA(VLOOKUP('Project Details by Yr - MASTER'!$B61,'Public Buildings'!$A$10:$N$96,G$2,0)),0,VLOOKUP('Project Details by Yr - MASTER'!$B61,'Public Buildings'!$A$10:$N$96,G$2,0))+IF(ISNA(VLOOKUP('Project Details by Yr - MASTER'!$B61,Bridges!$A$9:$N$24,G$2,0)),0,VLOOKUP('Project Details by Yr - MASTER'!$B61,Bridges!$A$9:$N$24,G$2,0))+IF(ISNA(VLOOKUP('Project Details by Yr - MASTER'!$B61,'Parking Lots &amp; Playgrounds'!$A$9:$N$33,G$2,0)),0,VLOOKUP('Project Details by Yr - MASTER'!$B61,'Parking Lots &amp; Playgrounds'!$A$9:$N$33,G$2,0))+IF(ISNA(VLOOKUP($B61,Vehicles!$B$9:$O$50,G$2,0)),0,VLOOKUP($B61,Vehicles!$B$9:$O$50,G$2,0))</f>
        <v>0</v>
      </c>
      <c r="H61" s="8">
        <f>IF(ISNA(VLOOKUP($B61,'Other Capital Needs'!$C$51:$P$95,H$2,0)),0,VLOOKUP($B61,'Other Capital Needs'!$C$51:$P$95,H$2,0))+IF(ISNA(VLOOKUP('Project Details by Yr - MASTER'!$B61,'Public Grounds'!$A$11:$N$49,H$2,0)),0,VLOOKUP('Project Details by Yr - MASTER'!$B61,'Public Grounds'!$A$11:$N$49,H$2,0))+IF(ISNA(VLOOKUP('Project Details by Yr - MASTER'!$B61,'Public Buildings'!$A$10:$N$96,H$2,0)),0,VLOOKUP('Project Details by Yr - MASTER'!$B61,'Public Buildings'!$A$10:$N$96,H$2,0))+IF(ISNA(VLOOKUP('Project Details by Yr - MASTER'!$B61,Bridges!$A$9:$N$24,H$2,0)),0,VLOOKUP('Project Details by Yr - MASTER'!$B61,Bridges!$A$9:$N$24,H$2,0))+IF(ISNA(VLOOKUP('Project Details by Yr - MASTER'!$B61,'Parking Lots &amp; Playgrounds'!$A$9:$N$33,H$2,0)),0,VLOOKUP('Project Details by Yr - MASTER'!$B61,'Parking Lots &amp; Playgrounds'!$A$9:$N$33,H$2,0))+IF(ISNA(VLOOKUP($B61,Vehicles!$B$9:$O$50,H$2,0)),0,VLOOKUP($B61,Vehicles!$B$9:$O$50,H$2,0))</f>
        <v>23500</v>
      </c>
      <c r="I61" s="8">
        <f>IF(ISNA(VLOOKUP($B61,'Other Capital Needs'!$C$51:$P$95,I$2,0)),0,VLOOKUP($B61,'Other Capital Needs'!$C$51:$P$95,I$2,0))+IF(ISNA(VLOOKUP('Project Details by Yr - MASTER'!$B61,'Public Grounds'!$A$11:$N$49,I$2,0)),0,VLOOKUP('Project Details by Yr - MASTER'!$B61,'Public Grounds'!$A$11:$N$49,I$2,0))+IF(ISNA(VLOOKUP('Project Details by Yr - MASTER'!$B61,'Public Buildings'!$A$10:$N$96,I$2,0)),0,VLOOKUP('Project Details by Yr - MASTER'!$B61,'Public Buildings'!$A$10:$N$96,I$2,0))+IF(ISNA(VLOOKUP('Project Details by Yr - MASTER'!$B61,Bridges!$A$9:$N$24,I$2,0)),0,VLOOKUP('Project Details by Yr - MASTER'!$B61,Bridges!$A$9:$N$24,I$2,0))+IF(ISNA(VLOOKUP('Project Details by Yr - MASTER'!$B61,'Parking Lots &amp; Playgrounds'!$A$9:$N$33,I$2,0)),0,VLOOKUP('Project Details by Yr - MASTER'!$B61,'Parking Lots &amp; Playgrounds'!$A$9:$N$33,I$2,0))+IF(ISNA(VLOOKUP($B61,Vehicles!$B$9:$O$50,I$2,0)),0,VLOOKUP($B61,Vehicles!$B$9:$O$50,I$2,0))</f>
        <v>23500</v>
      </c>
      <c r="J61" s="8">
        <f>IF(ISNA(VLOOKUP($B61,'Other Capital Needs'!$C$51:$P$95,J$2,0)),0,VLOOKUP($B61,'Other Capital Needs'!$C$51:$P$95,J$2,0))+IF(ISNA(VLOOKUP('Project Details by Yr - MASTER'!$B61,'Public Grounds'!$A$11:$N$49,J$2,0)),0,VLOOKUP('Project Details by Yr - MASTER'!$B61,'Public Grounds'!$A$11:$N$49,J$2,0))+IF(ISNA(VLOOKUP('Project Details by Yr - MASTER'!$B61,'Public Buildings'!$A$10:$N$96,J$2,0)),0,VLOOKUP('Project Details by Yr - MASTER'!$B61,'Public Buildings'!$A$10:$N$96,J$2,0))+IF(ISNA(VLOOKUP('Project Details by Yr - MASTER'!$B61,Bridges!$A$9:$N$24,J$2,0)),0,VLOOKUP('Project Details by Yr - MASTER'!$B61,Bridges!$A$9:$N$24,J$2,0))+IF(ISNA(VLOOKUP('Project Details by Yr - MASTER'!$B61,'Parking Lots &amp; Playgrounds'!$A$9:$N$33,J$2,0)),0,VLOOKUP('Project Details by Yr - MASTER'!$B61,'Parking Lots &amp; Playgrounds'!$A$9:$N$33,J$2,0))+IF(ISNA(VLOOKUP($B61,Vehicles!$B$9:$O$50,J$2,0)),0,VLOOKUP($B61,Vehicles!$B$9:$O$50,J$2,0))</f>
        <v>0</v>
      </c>
      <c r="K61" s="8">
        <f>IF(ISNA(VLOOKUP($B61,'Other Capital Needs'!$C$51:$P$95,K$2,0)),0,VLOOKUP($B61,'Other Capital Needs'!$C$51:$P$95,K$2,0))+IF(ISNA(VLOOKUP('Project Details by Yr - MASTER'!$B61,'Public Grounds'!$A$11:$N$49,K$2,0)),0,VLOOKUP('Project Details by Yr - MASTER'!$B61,'Public Grounds'!$A$11:$N$49,K$2,0))+IF(ISNA(VLOOKUP('Project Details by Yr - MASTER'!$B61,'Public Buildings'!$A$10:$N$96,K$2,0)),0,VLOOKUP('Project Details by Yr - MASTER'!$B61,'Public Buildings'!$A$10:$N$96,K$2,0))+IF(ISNA(VLOOKUP('Project Details by Yr - MASTER'!$B61,Bridges!$A$9:$N$24,K$2,0)),0,VLOOKUP('Project Details by Yr - MASTER'!$B61,Bridges!$A$9:$N$24,K$2,0))+IF(ISNA(VLOOKUP('Project Details by Yr - MASTER'!$B61,'Parking Lots &amp; Playgrounds'!$A$9:$N$33,K$2,0)),0,VLOOKUP('Project Details by Yr - MASTER'!$B61,'Parking Lots &amp; Playgrounds'!$A$9:$N$33,K$2,0))+IF(ISNA(VLOOKUP($B61,Vehicles!$B$9:$O$50,K$2,0)),0,VLOOKUP($B61,Vehicles!$B$9:$O$50,K$2,0))</f>
        <v>0</v>
      </c>
    </row>
    <row r="62" spans="1:11" x14ac:dyDescent="0.25">
      <c r="B62" t="s">
        <v>22</v>
      </c>
      <c r="C62" s="26" t="s">
        <v>46</v>
      </c>
      <c r="D62" s="26" t="s">
        <v>272</v>
      </c>
      <c r="E62" s="1" t="s">
        <v>16</v>
      </c>
      <c r="G62" s="8">
        <f>IF(ISNA(VLOOKUP($B62,'Other Capital Needs'!$C$51:$P$95,G$2,0)),0,VLOOKUP($B62,'Other Capital Needs'!$C$51:$P$95,G$2,0))+IF(ISNA(VLOOKUP('Project Details by Yr - MASTER'!$B62,'Public Grounds'!$A$11:$N$49,G$2,0)),0,VLOOKUP('Project Details by Yr - MASTER'!$B62,'Public Grounds'!$A$11:$N$49,G$2,0))+IF(ISNA(VLOOKUP('Project Details by Yr - MASTER'!$B62,'Public Buildings'!$A$10:$N$96,G$2,0)),0,VLOOKUP('Project Details by Yr - MASTER'!$B62,'Public Buildings'!$A$10:$N$96,G$2,0))+IF(ISNA(VLOOKUP('Project Details by Yr - MASTER'!$B62,Bridges!$A$9:$N$24,G$2,0)),0,VLOOKUP('Project Details by Yr - MASTER'!$B62,Bridges!$A$9:$N$24,G$2,0))+IF(ISNA(VLOOKUP('Project Details by Yr - MASTER'!$B62,'Parking Lots &amp; Playgrounds'!$A$9:$N$33,G$2,0)),0,VLOOKUP('Project Details by Yr - MASTER'!$B62,'Parking Lots &amp; Playgrounds'!$A$9:$N$33,G$2,0))+IF(ISNA(VLOOKUP($B62,Vehicles!$B$9:$O$50,G$2,0)),0,VLOOKUP($B62,Vehicles!$B$9:$O$50,G$2,0))</f>
        <v>10000</v>
      </c>
      <c r="H62" s="8">
        <f>IF(ISNA(VLOOKUP($B62,'Other Capital Needs'!$C$51:$P$95,H$2,0)),0,VLOOKUP($B62,'Other Capital Needs'!$C$51:$P$95,H$2,0))+IF(ISNA(VLOOKUP('Project Details by Yr - MASTER'!$B62,'Public Grounds'!$A$11:$N$49,H$2,0)),0,VLOOKUP('Project Details by Yr - MASTER'!$B62,'Public Grounds'!$A$11:$N$49,H$2,0))+IF(ISNA(VLOOKUP('Project Details by Yr - MASTER'!$B62,'Public Buildings'!$A$10:$N$96,H$2,0)),0,VLOOKUP('Project Details by Yr - MASTER'!$B62,'Public Buildings'!$A$10:$N$96,H$2,0))+IF(ISNA(VLOOKUP('Project Details by Yr - MASTER'!$B62,Bridges!$A$9:$N$24,H$2,0)),0,VLOOKUP('Project Details by Yr - MASTER'!$B62,Bridges!$A$9:$N$24,H$2,0))+IF(ISNA(VLOOKUP('Project Details by Yr - MASTER'!$B62,'Parking Lots &amp; Playgrounds'!$A$9:$N$33,H$2,0)),0,VLOOKUP('Project Details by Yr - MASTER'!$B62,'Parking Lots &amp; Playgrounds'!$A$9:$N$33,H$2,0))+IF(ISNA(VLOOKUP($B62,Vehicles!$B$9:$O$50,H$2,0)),0,VLOOKUP($B62,Vehicles!$B$9:$O$50,H$2,0))</f>
        <v>0</v>
      </c>
      <c r="I62" s="8">
        <f>IF(ISNA(VLOOKUP($B62,'Other Capital Needs'!$C$51:$P$95,I$2,0)),0,VLOOKUP($B62,'Other Capital Needs'!$C$51:$P$95,I$2,0))+IF(ISNA(VLOOKUP('Project Details by Yr - MASTER'!$B62,'Public Grounds'!$A$11:$N$49,I$2,0)),0,VLOOKUP('Project Details by Yr - MASTER'!$B62,'Public Grounds'!$A$11:$N$49,I$2,0))+IF(ISNA(VLOOKUP('Project Details by Yr - MASTER'!$B62,'Public Buildings'!$A$10:$N$96,I$2,0)),0,VLOOKUP('Project Details by Yr - MASTER'!$B62,'Public Buildings'!$A$10:$N$96,I$2,0))+IF(ISNA(VLOOKUP('Project Details by Yr - MASTER'!$B62,Bridges!$A$9:$N$24,I$2,0)),0,VLOOKUP('Project Details by Yr - MASTER'!$B62,Bridges!$A$9:$N$24,I$2,0))+IF(ISNA(VLOOKUP('Project Details by Yr - MASTER'!$B62,'Parking Lots &amp; Playgrounds'!$A$9:$N$33,I$2,0)),0,VLOOKUP('Project Details by Yr - MASTER'!$B62,'Parking Lots &amp; Playgrounds'!$A$9:$N$33,I$2,0))+IF(ISNA(VLOOKUP($B62,Vehicles!$B$9:$O$50,I$2,0)),0,VLOOKUP($B62,Vehicles!$B$9:$O$50,I$2,0))</f>
        <v>0</v>
      </c>
      <c r="J62" s="8">
        <f>IF(ISNA(VLOOKUP($B62,'Other Capital Needs'!$C$51:$P$95,J$2,0)),0,VLOOKUP($B62,'Other Capital Needs'!$C$51:$P$95,J$2,0))+IF(ISNA(VLOOKUP('Project Details by Yr - MASTER'!$B62,'Public Grounds'!$A$11:$N$49,J$2,0)),0,VLOOKUP('Project Details by Yr - MASTER'!$B62,'Public Grounds'!$A$11:$N$49,J$2,0))+IF(ISNA(VLOOKUP('Project Details by Yr - MASTER'!$B62,'Public Buildings'!$A$10:$N$96,J$2,0)),0,VLOOKUP('Project Details by Yr - MASTER'!$B62,'Public Buildings'!$A$10:$N$96,J$2,0))+IF(ISNA(VLOOKUP('Project Details by Yr - MASTER'!$B62,Bridges!$A$9:$N$24,J$2,0)),0,VLOOKUP('Project Details by Yr - MASTER'!$B62,Bridges!$A$9:$N$24,J$2,0))+IF(ISNA(VLOOKUP('Project Details by Yr - MASTER'!$B62,'Parking Lots &amp; Playgrounds'!$A$9:$N$33,J$2,0)),0,VLOOKUP('Project Details by Yr - MASTER'!$B62,'Parking Lots &amp; Playgrounds'!$A$9:$N$33,J$2,0))+IF(ISNA(VLOOKUP($B62,Vehicles!$B$9:$O$50,J$2,0)),0,VLOOKUP($B62,Vehicles!$B$9:$O$50,J$2,0))</f>
        <v>0</v>
      </c>
      <c r="K62" s="8">
        <f>IF(ISNA(VLOOKUP($B62,'Other Capital Needs'!$C$51:$P$95,K$2,0)),0,VLOOKUP($B62,'Other Capital Needs'!$C$51:$P$95,K$2,0))+IF(ISNA(VLOOKUP('Project Details by Yr - MASTER'!$B62,'Public Grounds'!$A$11:$N$49,K$2,0)),0,VLOOKUP('Project Details by Yr - MASTER'!$B62,'Public Grounds'!$A$11:$N$49,K$2,0))+IF(ISNA(VLOOKUP('Project Details by Yr - MASTER'!$B62,'Public Buildings'!$A$10:$N$96,K$2,0)),0,VLOOKUP('Project Details by Yr - MASTER'!$B62,'Public Buildings'!$A$10:$N$96,K$2,0))+IF(ISNA(VLOOKUP('Project Details by Yr - MASTER'!$B62,Bridges!$A$9:$N$24,K$2,0)),0,VLOOKUP('Project Details by Yr - MASTER'!$B62,Bridges!$A$9:$N$24,K$2,0))+IF(ISNA(VLOOKUP('Project Details by Yr - MASTER'!$B62,'Parking Lots &amp; Playgrounds'!$A$9:$N$33,K$2,0)),0,VLOOKUP('Project Details by Yr - MASTER'!$B62,'Parking Lots &amp; Playgrounds'!$A$9:$N$33,K$2,0))+IF(ISNA(VLOOKUP($B62,Vehicles!$B$9:$O$50,K$2,0)),0,VLOOKUP($B62,Vehicles!$B$9:$O$50,K$2,0))</f>
        <v>0</v>
      </c>
    </row>
    <row r="63" spans="1:11" x14ac:dyDescent="0.25">
      <c r="B63" t="s">
        <v>23</v>
      </c>
      <c r="C63" s="26" t="s">
        <v>46</v>
      </c>
      <c r="D63" s="26" t="s">
        <v>272</v>
      </c>
      <c r="E63" s="1" t="s">
        <v>16</v>
      </c>
      <c r="G63" s="8">
        <f>IF(ISNA(VLOOKUP($B63,'Other Capital Needs'!$C$51:$P$95,G$2,0)),0,VLOOKUP($B63,'Other Capital Needs'!$C$51:$P$95,G$2,0))+IF(ISNA(VLOOKUP('Project Details by Yr - MASTER'!$B63,'Public Grounds'!$A$11:$N$49,G$2,0)),0,VLOOKUP('Project Details by Yr - MASTER'!$B63,'Public Grounds'!$A$11:$N$49,G$2,0))+IF(ISNA(VLOOKUP('Project Details by Yr - MASTER'!$B63,'Public Buildings'!$A$10:$N$96,G$2,0)),0,VLOOKUP('Project Details by Yr - MASTER'!$B63,'Public Buildings'!$A$10:$N$96,G$2,0))+IF(ISNA(VLOOKUP('Project Details by Yr - MASTER'!$B63,Bridges!$A$9:$N$24,G$2,0)),0,VLOOKUP('Project Details by Yr - MASTER'!$B63,Bridges!$A$9:$N$24,G$2,0))+IF(ISNA(VLOOKUP('Project Details by Yr - MASTER'!$B63,'Parking Lots &amp; Playgrounds'!$A$9:$N$33,G$2,0)),0,VLOOKUP('Project Details by Yr - MASTER'!$B63,'Parking Lots &amp; Playgrounds'!$A$9:$N$33,G$2,0))+IF(ISNA(VLOOKUP($B63,Vehicles!$B$9:$O$50,G$2,0)),0,VLOOKUP($B63,Vehicles!$B$9:$O$50,G$2,0))</f>
        <v>15000</v>
      </c>
      <c r="H63" s="8">
        <f>IF(ISNA(VLOOKUP($B63,'Other Capital Needs'!$C$51:$P$95,H$2,0)),0,VLOOKUP($B63,'Other Capital Needs'!$C$51:$P$95,H$2,0))+IF(ISNA(VLOOKUP('Project Details by Yr - MASTER'!$B63,'Public Grounds'!$A$11:$N$49,H$2,0)),0,VLOOKUP('Project Details by Yr - MASTER'!$B63,'Public Grounds'!$A$11:$N$49,H$2,0))+IF(ISNA(VLOOKUP('Project Details by Yr - MASTER'!$B63,'Public Buildings'!$A$10:$N$96,H$2,0)),0,VLOOKUP('Project Details by Yr - MASTER'!$B63,'Public Buildings'!$A$10:$N$96,H$2,0))+IF(ISNA(VLOOKUP('Project Details by Yr - MASTER'!$B63,Bridges!$A$9:$N$24,H$2,0)),0,VLOOKUP('Project Details by Yr - MASTER'!$B63,Bridges!$A$9:$N$24,H$2,0))+IF(ISNA(VLOOKUP('Project Details by Yr - MASTER'!$B63,'Parking Lots &amp; Playgrounds'!$A$9:$N$33,H$2,0)),0,VLOOKUP('Project Details by Yr - MASTER'!$B63,'Parking Lots &amp; Playgrounds'!$A$9:$N$33,H$2,0))+IF(ISNA(VLOOKUP($B63,Vehicles!$B$9:$O$50,H$2,0)),0,VLOOKUP($B63,Vehicles!$B$9:$O$50,H$2,0))</f>
        <v>0</v>
      </c>
      <c r="I63" s="8">
        <f>IF(ISNA(VLOOKUP($B63,'Other Capital Needs'!$C$51:$P$95,I$2,0)),0,VLOOKUP($B63,'Other Capital Needs'!$C$51:$P$95,I$2,0))+IF(ISNA(VLOOKUP('Project Details by Yr - MASTER'!$B63,'Public Grounds'!$A$11:$N$49,I$2,0)),0,VLOOKUP('Project Details by Yr - MASTER'!$B63,'Public Grounds'!$A$11:$N$49,I$2,0))+IF(ISNA(VLOOKUP('Project Details by Yr - MASTER'!$B63,'Public Buildings'!$A$10:$N$96,I$2,0)),0,VLOOKUP('Project Details by Yr - MASTER'!$B63,'Public Buildings'!$A$10:$N$96,I$2,0))+IF(ISNA(VLOOKUP('Project Details by Yr - MASTER'!$B63,Bridges!$A$9:$N$24,I$2,0)),0,VLOOKUP('Project Details by Yr - MASTER'!$B63,Bridges!$A$9:$N$24,I$2,0))+IF(ISNA(VLOOKUP('Project Details by Yr - MASTER'!$B63,'Parking Lots &amp; Playgrounds'!$A$9:$N$33,I$2,0)),0,VLOOKUP('Project Details by Yr - MASTER'!$B63,'Parking Lots &amp; Playgrounds'!$A$9:$N$33,I$2,0))+IF(ISNA(VLOOKUP($B63,Vehicles!$B$9:$O$50,I$2,0)),0,VLOOKUP($B63,Vehicles!$B$9:$O$50,I$2,0))</f>
        <v>15000</v>
      </c>
      <c r="J63" s="8">
        <f>IF(ISNA(VLOOKUP($B63,'Other Capital Needs'!$C$51:$P$95,J$2,0)),0,VLOOKUP($B63,'Other Capital Needs'!$C$51:$P$95,J$2,0))+IF(ISNA(VLOOKUP('Project Details by Yr - MASTER'!$B63,'Public Grounds'!$A$11:$N$49,J$2,0)),0,VLOOKUP('Project Details by Yr - MASTER'!$B63,'Public Grounds'!$A$11:$N$49,J$2,0))+IF(ISNA(VLOOKUP('Project Details by Yr - MASTER'!$B63,'Public Buildings'!$A$10:$N$96,J$2,0)),0,VLOOKUP('Project Details by Yr - MASTER'!$B63,'Public Buildings'!$A$10:$N$96,J$2,0))+IF(ISNA(VLOOKUP('Project Details by Yr - MASTER'!$B63,Bridges!$A$9:$N$24,J$2,0)),0,VLOOKUP('Project Details by Yr - MASTER'!$B63,Bridges!$A$9:$N$24,J$2,0))+IF(ISNA(VLOOKUP('Project Details by Yr - MASTER'!$B63,'Parking Lots &amp; Playgrounds'!$A$9:$N$33,J$2,0)),0,VLOOKUP('Project Details by Yr - MASTER'!$B63,'Parking Lots &amp; Playgrounds'!$A$9:$N$33,J$2,0))+IF(ISNA(VLOOKUP($B63,Vehicles!$B$9:$O$50,J$2,0)),0,VLOOKUP($B63,Vehicles!$B$9:$O$50,J$2,0))</f>
        <v>0</v>
      </c>
      <c r="K63" s="8">
        <f>IF(ISNA(VLOOKUP($B63,'Other Capital Needs'!$C$51:$P$95,K$2,0)),0,VLOOKUP($B63,'Other Capital Needs'!$C$51:$P$95,K$2,0))+IF(ISNA(VLOOKUP('Project Details by Yr - MASTER'!$B63,'Public Grounds'!$A$11:$N$49,K$2,0)),0,VLOOKUP('Project Details by Yr - MASTER'!$B63,'Public Grounds'!$A$11:$N$49,K$2,0))+IF(ISNA(VLOOKUP('Project Details by Yr - MASTER'!$B63,'Public Buildings'!$A$10:$N$96,K$2,0)),0,VLOOKUP('Project Details by Yr - MASTER'!$B63,'Public Buildings'!$A$10:$N$96,K$2,0))+IF(ISNA(VLOOKUP('Project Details by Yr - MASTER'!$B63,Bridges!$A$9:$N$24,K$2,0)),0,VLOOKUP('Project Details by Yr - MASTER'!$B63,Bridges!$A$9:$N$24,K$2,0))+IF(ISNA(VLOOKUP('Project Details by Yr - MASTER'!$B63,'Parking Lots &amp; Playgrounds'!$A$9:$N$33,K$2,0)),0,VLOOKUP('Project Details by Yr - MASTER'!$B63,'Parking Lots &amp; Playgrounds'!$A$9:$N$33,K$2,0))+IF(ISNA(VLOOKUP($B63,Vehicles!$B$9:$O$50,K$2,0)),0,VLOOKUP($B63,Vehicles!$B$9:$O$50,K$2,0))</f>
        <v>0</v>
      </c>
    </row>
    <row r="64" spans="1:11" x14ac:dyDescent="0.25">
      <c r="B64" t="s">
        <v>24</v>
      </c>
      <c r="C64" s="26" t="s">
        <v>46</v>
      </c>
      <c r="D64" s="26" t="s">
        <v>272</v>
      </c>
      <c r="E64" s="1" t="s">
        <v>19</v>
      </c>
      <c r="G64" s="8">
        <f>IF(ISNA(VLOOKUP($B64,'Other Capital Needs'!$C$51:$P$95,G$2,0)),0,VLOOKUP($B64,'Other Capital Needs'!$C$51:$P$95,G$2,0))+IF(ISNA(VLOOKUP('Project Details by Yr - MASTER'!$B64,'Public Grounds'!$A$11:$N$49,G$2,0)),0,VLOOKUP('Project Details by Yr - MASTER'!$B64,'Public Grounds'!$A$11:$N$49,G$2,0))+IF(ISNA(VLOOKUP('Project Details by Yr - MASTER'!$B64,'Public Buildings'!$A$10:$N$96,G$2,0)),0,VLOOKUP('Project Details by Yr - MASTER'!$B64,'Public Buildings'!$A$10:$N$96,G$2,0))+IF(ISNA(VLOOKUP('Project Details by Yr - MASTER'!$B64,Bridges!$A$9:$N$24,G$2,0)),0,VLOOKUP('Project Details by Yr - MASTER'!$B64,Bridges!$A$9:$N$24,G$2,0))+IF(ISNA(VLOOKUP('Project Details by Yr - MASTER'!$B64,'Parking Lots &amp; Playgrounds'!$A$9:$N$33,G$2,0)),0,VLOOKUP('Project Details by Yr - MASTER'!$B64,'Parking Lots &amp; Playgrounds'!$A$9:$N$33,G$2,0))+IF(ISNA(VLOOKUP($B64,Vehicles!$B$9:$O$50,G$2,0)),0,VLOOKUP($B64,Vehicles!$B$9:$O$50,G$2,0))</f>
        <v>0</v>
      </c>
      <c r="H64" s="8">
        <f>IF(ISNA(VLOOKUP($B64,'Other Capital Needs'!$C$51:$P$95,H$2,0)),0,VLOOKUP($B64,'Other Capital Needs'!$C$51:$P$95,H$2,0))+IF(ISNA(VLOOKUP('Project Details by Yr - MASTER'!$B64,'Public Grounds'!$A$11:$N$49,H$2,0)),0,VLOOKUP('Project Details by Yr - MASTER'!$B64,'Public Grounds'!$A$11:$N$49,H$2,0))+IF(ISNA(VLOOKUP('Project Details by Yr - MASTER'!$B64,'Public Buildings'!$A$10:$N$96,H$2,0)),0,VLOOKUP('Project Details by Yr - MASTER'!$B64,'Public Buildings'!$A$10:$N$96,H$2,0))+IF(ISNA(VLOOKUP('Project Details by Yr - MASTER'!$B64,Bridges!$A$9:$N$24,H$2,0)),0,VLOOKUP('Project Details by Yr - MASTER'!$B64,Bridges!$A$9:$N$24,H$2,0))+IF(ISNA(VLOOKUP('Project Details by Yr - MASTER'!$B64,'Parking Lots &amp; Playgrounds'!$A$9:$N$33,H$2,0)),0,VLOOKUP('Project Details by Yr - MASTER'!$B64,'Parking Lots &amp; Playgrounds'!$A$9:$N$33,H$2,0))+IF(ISNA(VLOOKUP($B64,Vehicles!$B$9:$O$50,H$2,0)),0,VLOOKUP($B64,Vehicles!$B$9:$O$50,H$2,0))</f>
        <v>0</v>
      </c>
      <c r="I64" s="8">
        <f>IF(ISNA(VLOOKUP($B64,'Other Capital Needs'!$C$51:$P$95,I$2,0)),0,VLOOKUP($B64,'Other Capital Needs'!$C$51:$P$95,I$2,0))+IF(ISNA(VLOOKUP('Project Details by Yr - MASTER'!$B64,'Public Grounds'!$A$11:$N$49,I$2,0)),0,VLOOKUP('Project Details by Yr - MASTER'!$B64,'Public Grounds'!$A$11:$N$49,I$2,0))+IF(ISNA(VLOOKUP('Project Details by Yr - MASTER'!$B64,'Public Buildings'!$A$10:$N$96,I$2,0)),0,VLOOKUP('Project Details by Yr - MASTER'!$B64,'Public Buildings'!$A$10:$N$96,I$2,0))+IF(ISNA(VLOOKUP('Project Details by Yr - MASTER'!$B64,Bridges!$A$9:$N$24,I$2,0)),0,VLOOKUP('Project Details by Yr - MASTER'!$B64,Bridges!$A$9:$N$24,I$2,0))+IF(ISNA(VLOOKUP('Project Details by Yr - MASTER'!$B64,'Parking Lots &amp; Playgrounds'!$A$9:$N$33,I$2,0)),0,VLOOKUP('Project Details by Yr - MASTER'!$B64,'Parking Lots &amp; Playgrounds'!$A$9:$N$33,I$2,0))+IF(ISNA(VLOOKUP($B64,Vehicles!$B$9:$O$50,I$2,0)),0,VLOOKUP($B64,Vehicles!$B$9:$O$50,I$2,0))</f>
        <v>0</v>
      </c>
      <c r="J64" s="8">
        <f>IF(ISNA(VLOOKUP($B64,'Other Capital Needs'!$C$51:$P$95,J$2,0)),0,VLOOKUP($B64,'Other Capital Needs'!$C$51:$P$95,J$2,0))+IF(ISNA(VLOOKUP('Project Details by Yr - MASTER'!$B64,'Public Grounds'!$A$11:$N$49,J$2,0)),0,VLOOKUP('Project Details by Yr - MASTER'!$B64,'Public Grounds'!$A$11:$N$49,J$2,0))+IF(ISNA(VLOOKUP('Project Details by Yr - MASTER'!$B64,'Public Buildings'!$A$10:$N$96,J$2,0)),0,VLOOKUP('Project Details by Yr - MASTER'!$B64,'Public Buildings'!$A$10:$N$96,J$2,0))+IF(ISNA(VLOOKUP('Project Details by Yr - MASTER'!$B64,Bridges!$A$9:$N$24,J$2,0)),0,VLOOKUP('Project Details by Yr - MASTER'!$B64,Bridges!$A$9:$N$24,J$2,0))+IF(ISNA(VLOOKUP('Project Details by Yr - MASTER'!$B64,'Parking Lots &amp; Playgrounds'!$A$9:$N$33,J$2,0)),0,VLOOKUP('Project Details by Yr - MASTER'!$B64,'Parking Lots &amp; Playgrounds'!$A$9:$N$33,J$2,0))+IF(ISNA(VLOOKUP($B64,Vehicles!$B$9:$O$50,J$2,0)),0,VLOOKUP($B64,Vehicles!$B$9:$O$50,J$2,0))</f>
        <v>0</v>
      </c>
      <c r="K64" s="8">
        <f>IF(ISNA(VLOOKUP($B64,'Other Capital Needs'!$C$51:$P$95,K$2,0)),0,VLOOKUP($B64,'Other Capital Needs'!$C$51:$P$95,K$2,0))+IF(ISNA(VLOOKUP('Project Details by Yr - MASTER'!$B64,'Public Grounds'!$A$11:$N$49,K$2,0)),0,VLOOKUP('Project Details by Yr - MASTER'!$B64,'Public Grounds'!$A$11:$N$49,K$2,0))+IF(ISNA(VLOOKUP('Project Details by Yr - MASTER'!$B64,'Public Buildings'!$A$10:$N$96,K$2,0)),0,VLOOKUP('Project Details by Yr - MASTER'!$B64,'Public Buildings'!$A$10:$N$96,K$2,0))+IF(ISNA(VLOOKUP('Project Details by Yr - MASTER'!$B64,Bridges!$A$9:$N$24,K$2,0)),0,VLOOKUP('Project Details by Yr - MASTER'!$B64,Bridges!$A$9:$N$24,K$2,0))+IF(ISNA(VLOOKUP('Project Details by Yr - MASTER'!$B64,'Parking Lots &amp; Playgrounds'!$A$9:$N$33,K$2,0)),0,VLOOKUP('Project Details by Yr - MASTER'!$B64,'Parking Lots &amp; Playgrounds'!$A$9:$N$33,K$2,0))+IF(ISNA(VLOOKUP($B64,Vehicles!$B$9:$O$50,K$2,0)),0,VLOOKUP($B64,Vehicles!$B$9:$O$50,K$2,0))</f>
        <v>1500000</v>
      </c>
    </row>
    <row r="65" spans="2:11" x14ac:dyDescent="0.25">
      <c r="B65" t="s">
        <v>25</v>
      </c>
      <c r="C65" s="26" t="s">
        <v>46</v>
      </c>
      <c r="D65" s="26" t="s">
        <v>272</v>
      </c>
      <c r="E65" s="1" t="s">
        <v>16</v>
      </c>
      <c r="G65" s="8">
        <f>IF(ISNA(VLOOKUP($B65,'Other Capital Needs'!$C$51:$P$95,G$2,0)),0,VLOOKUP($B65,'Other Capital Needs'!$C$51:$P$95,G$2,0))+IF(ISNA(VLOOKUP('Project Details by Yr - MASTER'!$B65,'Public Grounds'!$A$11:$N$49,G$2,0)),0,VLOOKUP('Project Details by Yr - MASTER'!$B65,'Public Grounds'!$A$11:$N$49,G$2,0))+IF(ISNA(VLOOKUP('Project Details by Yr - MASTER'!$B65,'Public Buildings'!$A$10:$N$96,G$2,0)),0,VLOOKUP('Project Details by Yr - MASTER'!$B65,'Public Buildings'!$A$10:$N$96,G$2,0))+IF(ISNA(VLOOKUP('Project Details by Yr - MASTER'!$B65,Bridges!$A$9:$N$24,G$2,0)),0,VLOOKUP('Project Details by Yr - MASTER'!$B65,Bridges!$A$9:$N$24,G$2,0))+IF(ISNA(VLOOKUP('Project Details by Yr - MASTER'!$B65,'Parking Lots &amp; Playgrounds'!$A$9:$N$33,G$2,0)),0,VLOOKUP('Project Details by Yr - MASTER'!$B65,'Parking Lots &amp; Playgrounds'!$A$9:$N$33,G$2,0))+IF(ISNA(VLOOKUP($B65,Vehicles!$B$9:$O$50,G$2,0)),0,VLOOKUP($B65,Vehicles!$B$9:$O$50,G$2,0))</f>
        <v>0</v>
      </c>
      <c r="H65" s="8">
        <f>IF(ISNA(VLOOKUP($B65,'Other Capital Needs'!$C$51:$P$95,H$2,0)),0,VLOOKUP($B65,'Other Capital Needs'!$C$51:$P$95,H$2,0))+IF(ISNA(VLOOKUP('Project Details by Yr - MASTER'!$B65,'Public Grounds'!$A$11:$N$49,H$2,0)),0,VLOOKUP('Project Details by Yr - MASTER'!$B65,'Public Grounds'!$A$11:$N$49,H$2,0))+IF(ISNA(VLOOKUP('Project Details by Yr - MASTER'!$B65,'Public Buildings'!$A$10:$N$96,H$2,0)),0,VLOOKUP('Project Details by Yr - MASTER'!$B65,'Public Buildings'!$A$10:$N$96,H$2,0))+IF(ISNA(VLOOKUP('Project Details by Yr - MASTER'!$B65,Bridges!$A$9:$N$24,H$2,0)),0,VLOOKUP('Project Details by Yr - MASTER'!$B65,Bridges!$A$9:$N$24,H$2,0))+IF(ISNA(VLOOKUP('Project Details by Yr - MASTER'!$B65,'Parking Lots &amp; Playgrounds'!$A$9:$N$33,H$2,0)),0,VLOOKUP('Project Details by Yr - MASTER'!$B65,'Parking Lots &amp; Playgrounds'!$A$9:$N$33,H$2,0))+IF(ISNA(VLOOKUP($B65,Vehicles!$B$9:$O$50,H$2,0)),0,VLOOKUP($B65,Vehicles!$B$9:$O$50,H$2,0))</f>
        <v>70000</v>
      </c>
      <c r="I65" s="8">
        <f>IF(ISNA(VLOOKUP($B65,'Other Capital Needs'!$C$51:$P$95,I$2,0)),0,VLOOKUP($B65,'Other Capital Needs'!$C$51:$P$95,I$2,0))+IF(ISNA(VLOOKUP('Project Details by Yr - MASTER'!$B65,'Public Grounds'!$A$11:$N$49,I$2,0)),0,VLOOKUP('Project Details by Yr - MASTER'!$B65,'Public Grounds'!$A$11:$N$49,I$2,0))+IF(ISNA(VLOOKUP('Project Details by Yr - MASTER'!$B65,'Public Buildings'!$A$10:$N$96,I$2,0)),0,VLOOKUP('Project Details by Yr - MASTER'!$B65,'Public Buildings'!$A$10:$N$96,I$2,0))+IF(ISNA(VLOOKUP('Project Details by Yr - MASTER'!$B65,Bridges!$A$9:$N$24,I$2,0)),0,VLOOKUP('Project Details by Yr - MASTER'!$B65,Bridges!$A$9:$N$24,I$2,0))+IF(ISNA(VLOOKUP('Project Details by Yr - MASTER'!$B65,'Parking Lots &amp; Playgrounds'!$A$9:$N$33,I$2,0)),0,VLOOKUP('Project Details by Yr - MASTER'!$B65,'Parking Lots &amp; Playgrounds'!$A$9:$N$33,I$2,0))+IF(ISNA(VLOOKUP($B65,Vehicles!$B$9:$O$50,I$2,0)),0,VLOOKUP($B65,Vehicles!$B$9:$O$50,I$2,0))</f>
        <v>0</v>
      </c>
      <c r="J65" s="8">
        <f>IF(ISNA(VLOOKUP($B65,'Other Capital Needs'!$C$51:$P$95,J$2,0)),0,VLOOKUP($B65,'Other Capital Needs'!$C$51:$P$95,J$2,0))+IF(ISNA(VLOOKUP('Project Details by Yr - MASTER'!$B65,'Public Grounds'!$A$11:$N$49,J$2,0)),0,VLOOKUP('Project Details by Yr - MASTER'!$B65,'Public Grounds'!$A$11:$N$49,J$2,0))+IF(ISNA(VLOOKUP('Project Details by Yr - MASTER'!$B65,'Public Buildings'!$A$10:$N$96,J$2,0)),0,VLOOKUP('Project Details by Yr - MASTER'!$B65,'Public Buildings'!$A$10:$N$96,J$2,0))+IF(ISNA(VLOOKUP('Project Details by Yr - MASTER'!$B65,Bridges!$A$9:$N$24,J$2,0)),0,VLOOKUP('Project Details by Yr - MASTER'!$B65,Bridges!$A$9:$N$24,J$2,0))+IF(ISNA(VLOOKUP('Project Details by Yr - MASTER'!$B65,'Parking Lots &amp; Playgrounds'!$A$9:$N$33,J$2,0)),0,VLOOKUP('Project Details by Yr - MASTER'!$B65,'Parking Lots &amp; Playgrounds'!$A$9:$N$33,J$2,0))+IF(ISNA(VLOOKUP($B65,Vehicles!$B$9:$O$50,J$2,0)),0,VLOOKUP($B65,Vehicles!$B$9:$O$50,J$2,0))</f>
        <v>0</v>
      </c>
      <c r="K65" s="8">
        <f>IF(ISNA(VLOOKUP($B65,'Other Capital Needs'!$C$51:$P$95,K$2,0)),0,VLOOKUP($B65,'Other Capital Needs'!$C$51:$P$95,K$2,0))+IF(ISNA(VLOOKUP('Project Details by Yr - MASTER'!$B65,'Public Grounds'!$A$11:$N$49,K$2,0)),0,VLOOKUP('Project Details by Yr - MASTER'!$B65,'Public Grounds'!$A$11:$N$49,K$2,0))+IF(ISNA(VLOOKUP('Project Details by Yr - MASTER'!$B65,'Public Buildings'!$A$10:$N$96,K$2,0)),0,VLOOKUP('Project Details by Yr - MASTER'!$B65,'Public Buildings'!$A$10:$N$96,K$2,0))+IF(ISNA(VLOOKUP('Project Details by Yr - MASTER'!$B65,Bridges!$A$9:$N$24,K$2,0)),0,VLOOKUP('Project Details by Yr - MASTER'!$B65,Bridges!$A$9:$N$24,K$2,0))+IF(ISNA(VLOOKUP('Project Details by Yr - MASTER'!$B65,'Parking Lots &amp; Playgrounds'!$A$9:$N$33,K$2,0)),0,VLOOKUP('Project Details by Yr - MASTER'!$B65,'Parking Lots &amp; Playgrounds'!$A$9:$N$33,K$2,0))+IF(ISNA(VLOOKUP($B65,Vehicles!$B$9:$O$50,K$2,0)),0,VLOOKUP($B65,Vehicles!$B$9:$O$50,K$2,0))</f>
        <v>0</v>
      </c>
    </row>
    <row r="66" spans="2:11" x14ac:dyDescent="0.25">
      <c r="B66" t="s">
        <v>26</v>
      </c>
      <c r="C66" s="26" t="s">
        <v>46</v>
      </c>
      <c r="D66" s="26" t="s">
        <v>272</v>
      </c>
      <c r="E66" s="1" t="s">
        <v>19</v>
      </c>
      <c r="G66" s="8">
        <f>IF(ISNA(VLOOKUP($B66,'Other Capital Needs'!$C$51:$P$95,G$2,0)),0,VLOOKUP($B66,'Other Capital Needs'!$C$51:$P$95,G$2,0))+IF(ISNA(VLOOKUP('Project Details by Yr - MASTER'!$B66,'Public Grounds'!$A$11:$N$49,G$2,0)),0,VLOOKUP('Project Details by Yr - MASTER'!$B66,'Public Grounds'!$A$11:$N$49,G$2,0))+IF(ISNA(VLOOKUP('Project Details by Yr - MASTER'!$B66,'Public Buildings'!$A$10:$N$96,G$2,0)),0,VLOOKUP('Project Details by Yr - MASTER'!$B66,'Public Buildings'!$A$10:$N$96,G$2,0))+IF(ISNA(VLOOKUP('Project Details by Yr - MASTER'!$B66,Bridges!$A$9:$N$24,G$2,0)),0,VLOOKUP('Project Details by Yr - MASTER'!$B66,Bridges!$A$9:$N$24,G$2,0))+IF(ISNA(VLOOKUP('Project Details by Yr - MASTER'!$B66,'Parking Lots &amp; Playgrounds'!$A$9:$N$33,G$2,0)),0,VLOOKUP('Project Details by Yr - MASTER'!$B66,'Parking Lots &amp; Playgrounds'!$A$9:$N$33,G$2,0))+IF(ISNA(VLOOKUP($B66,Vehicles!$B$9:$O$50,G$2,0)),0,VLOOKUP($B66,Vehicles!$B$9:$O$50,G$2,0))</f>
        <v>0</v>
      </c>
      <c r="H66" s="8">
        <f>IF(ISNA(VLOOKUP($B66,'Other Capital Needs'!$C$51:$P$95,H$2,0)),0,VLOOKUP($B66,'Other Capital Needs'!$C$51:$P$95,H$2,0))+IF(ISNA(VLOOKUP('Project Details by Yr - MASTER'!$B66,'Public Grounds'!$A$11:$N$49,H$2,0)),0,VLOOKUP('Project Details by Yr - MASTER'!$B66,'Public Grounds'!$A$11:$N$49,H$2,0))+IF(ISNA(VLOOKUP('Project Details by Yr - MASTER'!$B66,'Public Buildings'!$A$10:$N$96,H$2,0)),0,VLOOKUP('Project Details by Yr - MASTER'!$B66,'Public Buildings'!$A$10:$N$96,H$2,0))+IF(ISNA(VLOOKUP('Project Details by Yr - MASTER'!$B66,Bridges!$A$9:$N$24,H$2,0)),0,VLOOKUP('Project Details by Yr - MASTER'!$B66,Bridges!$A$9:$N$24,H$2,0))+IF(ISNA(VLOOKUP('Project Details by Yr - MASTER'!$B66,'Parking Lots &amp; Playgrounds'!$A$9:$N$33,H$2,0)),0,VLOOKUP('Project Details by Yr - MASTER'!$B66,'Parking Lots &amp; Playgrounds'!$A$9:$N$33,H$2,0))+IF(ISNA(VLOOKUP($B66,Vehicles!$B$9:$O$50,H$2,0)),0,VLOOKUP($B66,Vehicles!$B$9:$O$50,H$2,0))</f>
        <v>0</v>
      </c>
      <c r="I66" s="8">
        <f>IF(ISNA(VLOOKUP($B66,'Other Capital Needs'!$C$51:$P$95,I$2,0)),0,VLOOKUP($B66,'Other Capital Needs'!$C$51:$P$95,I$2,0))+IF(ISNA(VLOOKUP('Project Details by Yr - MASTER'!$B66,'Public Grounds'!$A$11:$N$49,I$2,0)),0,VLOOKUP('Project Details by Yr - MASTER'!$B66,'Public Grounds'!$A$11:$N$49,I$2,0))+IF(ISNA(VLOOKUP('Project Details by Yr - MASTER'!$B66,'Public Buildings'!$A$10:$N$96,I$2,0)),0,VLOOKUP('Project Details by Yr - MASTER'!$B66,'Public Buildings'!$A$10:$N$96,I$2,0))+IF(ISNA(VLOOKUP('Project Details by Yr - MASTER'!$B66,Bridges!$A$9:$N$24,I$2,0)),0,VLOOKUP('Project Details by Yr - MASTER'!$B66,Bridges!$A$9:$N$24,I$2,0))+IF(ISNA(VLOOKUP('Project Details by Yr - MASTER'!$B66,'Parking Lots &amp; Playgrounds'!$A$9:$N$33,I$2,0)),0,VLOOKUP('Project Details by Yr - MASTER'!$B66,'Parking Lots &amp; Playgrounds'!$A$9:$N$33,I$2,0))+IF(ISNA(VLOOKUP($B66,Vehicles!$B$9:$O$50,I$2,0)),0,VLOOKUP($B66,Vehicles!$B$9:$O$50,I$2,0))</f>
        <v>0</v>
      </c>
      <c r="J66" s="8">
        <f>IF(ISNA(VLOOKUP($B66,'Other Capital Needs'!$C$51:$P$95,J$2,0)),0,VLOOKUP($B66,'Other Capital Needs'!$C$51:$P$95,J$2,0))+IF(ISNA(VLOOKUP('Project Details by Yr - MASTER'!$B66,'Public Grounds'!$A$11:$N$49,J$2,0)),0,VLOOKUP('Project Details by Yr - MASTER'!$B66,'Public Grounds'!$A$11:$N$49,J$2,0))+IF(ISNA(VLOOKUP('Project Details by Yr - MASTER'!$B66,'Public Buildings'!$A$10:$N$96,J$2,0)),0,VLOOKUP('Project Details by Yr - MASTER'!$B66,'Public Buildings'!$A$10:$N$96,J$2,0))+IF(ISNA(VLOOKUP('Project Details by Yr - MASTER'!$B66,Bridges!$A$9:$N$24,J$2,0)),0,VLOOKUP('Project Details by Yr - MASTER'!$B66,Bridges!$A$9:$N$24,J$2,0))+IF(ISNA(VLOOKUP('Project Details by Yr - MASTER'!$B66,'Parking Lots &amp; Playgrounds'!$A$9:$N$33,J$2,0)),0,VLOOKUP('Project Details by Yr - MASTER'!$B66,'Parking Lots &amp; Playgrounds'!$A$9:$N$33,J$2,0))+IF(ISNA(VLOOKUP($B66,Vehicles!$B$9:$O$50,J$2,0)),0,VLOOKUP($B66,Vehicles!$B$9:$O$50,J$2,0))</f>
        <v>0</v>
      </c>
      <c r="K66" s="8">
        <f>IF(ISNA(VLOOKUP($B66,'Other Capital Needs'!$C$51:$P$95,K$2,0)),0,VLOOKUP($B66,'Other Capital Needs'!$C$51:$P$95,K$2,0))+IF(ISNA(VLOOKUP('Project Details by Yr - MASTER'!$B66,'Public Grounds'!$A$11:$N$49,K$2,0)),0,VLOOKUP('Project Details by Yr - MASTER'!$B66,'Public Grounds'!$A$11:$N$49,K$2,0))+IF(ISNA(VLOOKUP('Project Details by Yr - MASTER'!$B66,'Public Buildings'!$A$10:$N$96,K$2,0)),0,VLOOKUP('Project Details by Yr - MASTER'!$B66,'Public Buildings'!$A$10:$N$96,K$2,0))+IF(ISNA(VLOOKUP('Project Details by Yr - MASTER'!$B66,Bridges!$A$9:$N$24,K$2,0)),0,VLOOKUP('Project Details by Yr - MASTER'!$B66,Bridges!$A$9:$N$24,K$2,0))+IF(ISNA(VLOOKUP('Project Details by Yr - MASTER'!$B66,'Parking Lots &amp; Playgrounds'!$A$9:$N$33,K$2,0)),0,VLOOKUP('Project Details by Yr - MASTER'!$B66,'Parking Lots &amp; Playgrounds'!$A$9:$N$33,K$2,0))+IF(ISNA(VLOOKUP($B66,Vehicles!$B$9:$O$50,K$2,0)),0,VLOOKUP($B66,Vehicles!$B$9:$O$50,K$2,0))</f>
        <v>0</v>
      </c>
    </row>
    <row r="67" spans="2:11" x14ac:dyDescent="0.25">
      <c r="B67" t="s">
        <v>27</v>
      </c>
      <c r="C67" s="26" t="s">
        <v>46</v>
      </c>
      <c r="D67" s="26" t="s">
        <v>272</v>
      </c>
      <c r="E67" s="1" t="s">
        <v>16</v>
      </c>
      <c r="G67" s="8">
        <f>IF(ISNA(VLOOKUP($B67,'Other Capital Needs'!$C$51:$P$95,G$2,0)),0,VLOOKUP($B67,'Other Capital Needs'!$C$51:$P$95,G$2,0))+IF(ISNA(VLOOKUP('Project Details by Yr - MASTER'!$B67,'Public Grounds'!$A$11:$N$49,G$2,0)),0,VLOOKUP('Project Details by Yr - MASTER'!$B67,'Public Grounds'!$A$11:$N$49,G$2,0))+IF(ISNA(VLOOKUP('Project Details by Yr - MASTER'!$B67,'Public Buildings'!$A$10:$N$96,G$2,0)),0,VLOOKUP('Project Details by Yr - MASTER'!$B67,'Public Buildings'!$A$10:$N$96,G$2,0))+IF(ISNA(VLOOKUP('Project Details by Yr - MASTER'!$B67,Bridges!$A$9:$N$24,G$2,0)),0,VLOOKUP('Project Details by Yr - MASTER'!$B67,Bridges!$A$9:$N$24,G$2,0))+IF(ISNA(VLOOKUP('Project Details by Yr - MASTER'!$B67,'Parking Lots &amp; Playgrounds'!$A$9:$N$33,G$2,0)),0,VLOOKUP('Project Details by Yr - MASTER'!$B67,'Parking Lots &amp; Playgrounds'!$A$9:$N$33,G$2,0))+IF(ISNA(VLOOKUP($B67,Vehicles!$B$9:$O$50,G$2,0)),0,VLOOKUP($B67,Vehicles!$B$9:$O$50,G$2,0))</f>
        <v>0</v>
      </c>
      <c r="H67" s="8">
        <f>IF(ISNA(VLOOKUP($B67,'Other Capital Needs'!$C$51:$P$95,H$2,0)),0,VLOOKUP($B67,'Other Capital Needs'!$C$51:$P$95,H$2,0))+IF(ISNA(VLOOKUP('Project Details by Yr - MASTER'!$B67,'Public Grounds'!$A$11:$N$49,H$2,0)),0,VLOOKUP('Project Details by Yr - MASTER'!$B67,'Public Grounds'!$A$11:$N$49,H$2,0))+IF(ISNA(VLOOKUP('Project Details by Yr - MASTER'!$B67,'Public Buildings'!$A$10:$N$96,H$2,0)),0,VLOOKUP('Project Details by Yr - MASTER'!$B67,'Public Buildings'!$A$10:$N$96,H$2,0))+IF(ISNA(VLOOKUP('Project Details by Yr - MASTER'!$B67,Bridges!$A$9:$N$24,H$2,0)),0,VLOOKUP('Project Details by Yr - MASTER'!$B67,Bridges!$A$9:$N$24,H$2,0))+IF(ISNA(VLOOKUP('Project Details by Yr - MASTER'!$B67,'Parking Lots &amp; Playgrounds'!$A$9:$N$33,H$2,0)),0,VLOOKUP('Project Details by Yr - MASTER'!$B67,'Parking Lots &amp; Playgrounds'!$A$9:$N$33,H$2,0))+IF(ISNA(VLOOKUP($B67,Vehicles!$B$9:$O$50,H$2,0)),0,VLOOKUP($B67,Vehicles!$B$9:$O$50,H$2,0))</f>
        <v>0</v>
      </c>
      <c r="I67" s="8">
        <f>IF(ISNA(VLOOKUP($B67,'Other Capital Needs'!$C$51:$P$95,I$2,0)),0,VLOOKUP($B67,'Other Capital Needs'!$C$51:$P$95,I$2,0))+IF(ISNA(VLOOKUP('Project Details by Yr - MASTER'!$B67,'Public Grounds'!$A$11:$N$49,I$2,0)),0,VLOOKUP('Project Details by Yr - MASTER'!$B67,'Public Grounds'!$A$11:$N$49,I$2,0))+IF(ISNA(VLOOKUP('Project Details by Yr - MASTER'!$B67,'Public Buildings'!$A$10:$N$96,I$2,0)),0,VLOOKUP('Project Details by Yr - MASTER'!$B67,'Public Buildings'!$A$10:$N$96,I$2,0))+IF(ISNA(VLOOKUP('Project Details by Yr - MASTER'!$B67,Bridges!$A$9:$N$24,I$2,0)),0,VLOOKUP('Project Details by Yr - MASTER'!$B67,Bridges!$A$9:$N$24,I$2,0))+IF(ISNA(VLOOKUP('Project Details by Yr - MASTER'!$B67,'Parking Lots &amp; Playgrounds'!$A$9:$N$33,I$2,0)),0,VLOOKUP('Project Details by Yr - MASTER'!$B67,'Parking Lots &amp; Playgrounds'!$A$9:$N$33,I$2,0))+IF(ISNA(VLOOKUP($B67,Vehicles!$B$9:$O$50,I$2,0)),0,VLOOKUP($B67,Vehicles!$B$9:$O$50,I$2,0))</f>
        <v>6000</v>
      </c>
      <c r="J67" s="8">
        <f>IF(ISNA(VLOOKUP($B67,'Other Capital Needs'!$C$51:$P$95,J$2,0)),0,VLOOKUP($B67,'Other Capital Needs'!$C$51:$P$95,J$2,0))+IF(ISNA(VLOOKUP('Project Details by Yr - MASTER'!$B67,'Public Grounds'!$A$11:$N$49,J$2,0)),0,VLOOKUP('Project Details by Yr - MASTER'!$B67,'Public Grounds'!$A$11:$N$49,J$2,0))+IF(ISNA(VLOOKUP('Project Details by Yr - MASTER'!$B67,'Public Buildings'!$A$10:$N$96,J$2,0)),0,VLOOKUP('Project Details by Yr - MASTER'!$B67,'Public Buildings'!$A$10:$N$96,J$2,0))+IF(ISNA(VLOOKUP('Project Details by Yr - MASTER'!$B67,Bridges!$A$9:$N$24,J$2,0)),0,VLOOKUP('Project Details by Yr - MASTER'!$B67,Bridges!$A$9:$N$24,J$2,0))+IF(ISNA(VLOOKUP('Project Details by Yr - MASTER'!$B67,'Parking Lots &amp; Playgrounds'!$A$9:$N$33,J$2,0)),0,VLOOKUP('Project Details by Yr - MASTER'!$B67,'Parking Lots &amp; Playgrounds'!$A$9:$N$33,J$2,0))+IF(ISNA(VLOOKUP($B67,Vehicles!$B$9:$O$50,J$2,0)),0,VLOOKUP($B67,Vehicles!$B$9:$O$50,J$2,0))</f>
        <v>6000</v>
      </c>
      <c r="K67" s="8">
        <f>IF(ISNA(VLOOKUP($B67,'Other Capital Needs'!$C$51:$P$95,K$2,0)),0,VLOOKUP($B67,'Other Capital Needs'!$C$51:$P$95,K$2,0))+IF(ISNA(VLOOKUP('Project Details by Yr - MASTER'!$B67,'Public Grounds'!$A$11:$N$49,K$2,0)),0,VLOOKUP('Project Details by Yr - MASTER'!$B67,'Public Grounds'!$A$11:$N$49,K$2,0))+IF(ISNA(VLOOKUP('Project Details by Yr - MASTER'!$B67,'Public Buildings'!$A$10:$N$96,K$2,0)),0,VLOOKUP('Project Details by Yr - MASTER'!$B67,'Public Buildings'!$A$10:$N$96,K$2,0))+IF(ISNA(VLOOKUP('Project Details by Yr - MASTER'!$B67,Bridges!$A$9:$N$24,K$2,0)),0,VLOOKUP('Project Details by Yr - MASTER'!$B67,Bridges!$A$9:$N$24,K$2,0))+IF(ISNA(VLOOKUP('Project Details by Yr - MASTER'!$B67,'Parking Lots &amp; Playgrounds'!$A$9:$N$33,K$2,0)),0,VLOOKUP('Project Details by Yr - MASTER'!$B67,'Parking Lots &amp; Playgrounds'!$A$9:$N$33,K$2,0))+IF(ISNA(VLOOKUP($B67,Vehicles!$B$9:$O$50,K$2,0)),0,VLOOKUP($B67,Vehicles!$B$9:$O$50,K$2,0))</f>
        <v>0</v>
      </c>
    </row>
    <row r="68" spans="2:11" x14ac:dyDescent="0.25">
      <c r="B68" t="s">
        <v>28</v>
      </c>
      <c r="C68" s="26" t="s">
        <v>46</v>
      </c>
      <c r="D68" s="26" t="s">
        <v>272</v>
      </c>
      <c r="E68" s="1" t="s">
        <v>16</v>
      </c>
      <c r="G68" s="8">
        <f>IF(ISNA(VLOOKUP($B68,'Other Capital Needs'!$C$51:$P$95,G$2,0)),0,VLOOKUP($B68,'Other Capital Needs'!$C$51:$P$95,G$2,0))+IF(ISNA(VLOOKUP('Project Details by Yr - MASTER'!$B68,'Public Grounds'!$A$11:$N$49,G$2,0)),0,VLOOKUP('Project Details by Yr - MASTER'!$B68,'Public Grounds'!$A$11:$N$49,G$2,0))+IF(ISNA(VLOOKUP('Project Details by Yr - MASTER'!$B68,'Public Buildings'!$A$10:$N$96,G$2,0)),0,VLOOKUP('Project Details by Yr - MASTER'!$B68,'Public Buildings'!$A$10:$N$96,G$2,0))+IF(ISNA(VLOOKUP('Project Details by Yr - MASTER'!$B68,Bridges!$A$9:$N$24,G$2,0)),0,VLOOKUP('Project Details by Yr - MASTER'!$B68,Bridges!$A$9:$N$24,G$2,0))+IF(ISNA(VLOOKUP('Project Details by Yr - MASTER'!$B68,'Parking Lots &amp; Playgrounds'!$A$9:$N$33,G$2,0)),0,VLOOKUP('Project Details by Yr - MASTER'!$B68,'Parking Lots &amp; Playgrounds'!$A$9:$N$33,G$2,0))+IF(ISNA(VLOOKUP($B68,Vehicles!$B$9:$O$50,G$2,0)),0,VLOOKUP($B68,Vehicles!$B$9:$O$50,G$2,0))</f>
        <v>0</v>
      </c>
      <c r="H68" s="8">
        <f>IF(ISNA(VLOOKUP($B68,'Other Capital Needs'!$C$51:$P$95,H$2,0)),0,VLOOKUP($B68,'Other Capital Needs'!$C$51:$P$95,H$2,0))+IF(ISNA(VLOOKUP('Project Details by Yr - MASTER'!$B68,'Public Grounds'!$A$11:$N$49,H$2,0)),0,VLOOKUP('Project Details by Yr - MASTER'!$B68,'Public Grounds'!$A$11:$N$49,H$2,0))+IF(ISNA(VLOOKUP('Project Details by Yr - MASTER'!$B68,'Public Buildings'!$A$10:$N$96,H$2,0)),0,VLOOKUP('Project Details by Yr - MASTER'!$B68,'Public Buildings'!$A$10:$N$96,H$2,0))+IF(ISNA(VLOOKUP('Project Details by Yr - MASTER'!$B68,Bridges!$A$9:$N$24,H$2,0)),0,VLOOKUP('Project Details by Yr - MASTER'!$B68,Bridges!$A$9:$N$24,H$2,0))+IF(ISNA(VLOOKUP('Project Details by Yr - MASTER'!$B68,'Parking Lots &amp; Playgrounds'!$A$9:$N$33,H$2,0)),0,VLOOKUP('Project Details by Yr - MASTER'!$B68,'Parking Lots &amp; Playgrounds'!$A$9:$N$33,H$2,0))+IF(ISNA(VLOOKUP($B68,Vehicles!$B$9:$O$50,H$2,0)),0,VLOOKUP($B68,Vehicles!$B$9:$O$50,H$2,0))</f>
        <v>0</v>
      </c>
      <c r="I68" s="8">
        <f>IF(ISNA(VLOOKUP($B68,'Other Capital Needs'!$C$51:$P$95,I$2,0)),0,VLOOKUP($B68,'Other Capital Needs'!$C$51:$P$95,I$2,0))+IF(ISNA(VLOOKUP('Project Details by Yr - MASTER'!$B68,'Public Grounds'!$A$11:$N$49,I$2,0)),0,VLOOKUP('Project Details by Yr - MASTER'!$B68,'Public Grounds'!$A$11:$N$49,I$2,0))+IF(ISNA(VLOOKUP('Project Details by Yr - MASTER'!$B68,'Public Buildings'!$A$10:$N$96,I$2,0)),0,VLOOKUP('Project Details by Yr - MASTER'!$B68,'Public Buildings'!$A$10:$N$96,I$2,0))+IF(ISNA(VLOOKUP('Project Details by Yr - MASTER'!$B68,Bridges!$A$9:$N$24,I$2,0)),0,VLOOKUP('Project Details by Yr - MASTER'!$B68,Bridges!$A$9:$N$24,I$2,0))+IF(ISNA(VLOOKUP('Project Details by Yr - MASTER'!$B68,'Parking Lots &amp; Playgrounds'!$A$9:$N$33,I$2,0)),0,VLOOKUP('Project Details by Yr - MASTER'!$B68,'Parking Lots &amp; Playgrounds'!$A$9:$N$33,I$2,0))+IF(ISNA(VLOOKUP($B68,Vehicles!$B$9:$O$50,I$2,0)),0,VLOOKUP($B68,Vehicles!$B$9:$O$50,I$2,0))</f>
        <v>0</v>
      </c>
      <c r="J68" s="8">
        <f>IF(ISNA(VLOOKUP($B68,'Other Capital Needs'!$C$51:$P$95,J$2,0)),0,VLOOKUP($B68,'Other Capital Needs'!$C$51:$P$95,J$2,0))+IF(ISNA(VLOOKUP('Project Details by Yr - MASTER'!$B68,'Public Grounds'!$A$11:$N$49,J$2,0)),0,VLOOKUP('Project Details by Yr - MASTER'!$B68,'Public Grounds'!$A$11:$N$49,J$2,0))+IF(ISNA(VLOOKUP('Project Details by Yr - MASTER'!$B68,'Public Buildings'!$A$10:$N$96,J$2,0)),0,VLOOKUP('Project Details by Yr - MASTER'!$B68,'Public Buildings'!$A$10:$N$96,J$2,0))+IF(ISNA(VLOOKUP('Project Details by Yr - MASTER'!$B68,Bridges!$A$9:$N$24,J$2,0)),0,VLOOKUP('Project Details by Yr - MASTER'!$B68,Bridges!$A$9:$N$24,J$2,0))+IF(ISNA(VLOOKUP('Project Details by Yr - MASTER'!$B68,'Parking Lots &amp; Playgrounds'!$A$9:$N$33,J$2,0)),0,VLOOKUP('Project Details by Yr - MASTER'!$B68,'Parking Lots &amp; Playgrounds'!$A$9:$N$33,J$2,0))+IF(ISNA(VLOOKUP($B68,Vehicles!$B$9:$O$50,J$2,0)),0,VLOOKUP($B68,Vehicles!$B$9:$O$50,J$2,0))</f>
        <v>0</v>
      </c>
      <c r="K68" s="8">
        <f>IF(ISNA(VLOOKUP($B68,'Other Capital Needs'!$C$51:$P$95,K$2,0)),0,VLOOKUP($B68,'Other Capital Needs'!$C$51:$P$95,K$2,0))+IF(ISNA(VLOOKUP('Project Details by Yr - MASTER'!$B68,'Public Grounds'!$A$11:$N$49,K$2,0)),0,VLOOKUP('Project Details by Yr - MASTER'!$B68,'Public Grounds'!$A$11:$N$49,K$2,0))+IF(ISNA(VLOOKUP('Project Details by Yr - MASTER'!$B68,'Public Buildings'!$A$10:$N$96,K$2,0)),0,VLOOKUP('Project Details by Yr - MASTER'!$B68,'Public Buildings'!$A$10:$N$96,K$2,0))+IF(ISNA(VLOOKUP('Project Details by Yr - MASTER'!$B68,Bridges!$A$9:$N$24,K$2,0)),0,VLOOKUP('Project Details by Yr - MASTER'!$B68,Bridges!$A$9:$N$24,K$2,0))+IF(ISNA(VLOOKUP('Project Details by Yr - MASTER'!$B68,'Parking Lots &amp; Playgrounds'!$A$9:$N$33,K$2,0)),0,VLOOKUP('Project Details by Yr - MASTER'!$B68,'Parking Lots &amp; Playgrounds'!$A$9:$N$33,K$2,0))+IF(ISNA(VLOOKUP($B68,Vehicles!$B$9:$O$50,K$2,0)),0,VLOOKUP($B68,Vehicles!$B$9:$O$50,K$2,0))</f>
        <v>0</v>
      </c>
    </row>
    <row r="69" spans="2:11" x14ac:dyDescent="0.25">
      <c r="B69" t="s">
        <v>29</v>
      </c>
      <c r="C69" s="26" t="s">
        <v>46</v>
      </c>
      <c r="D69" s="26" t="s">
        <v>272</v>
      </c>
      <c r="E69" s="1" t="s">
        <v>16</v>
      </c>
      <c r="G69" s="8">
        <f>IF(ISNA(VLOOKUP($B69,'Other Capital Needs'!$C$51:$P$95,G$2,0)),0,VLOOKUP($B69,'Other Capital Needs'!$C$51:$P$95,G$2,0))+IF(ISNA(VLOOKUP('Project Details by Yr - MASTER'!$B69,'Public Grounds'!$A$11:$N$49,G$2,0)),0,VLOOKUP('Project Details by Yr - MASTER'!$B69,'Public Grounds'!$A$11:$N$49,G$2,0))+IF(ISNA(VLOOKUP('Project Details by Yr - MASTER'!$B69,'Public Buildings'!$A$10:$N$96,G$2,0)),0,VLOOKUP('Project Details by Yr - MASTER'!$B69,'Public Buildings'!$A$10:$N$96,G$2,0))+IF(ISNA(VLOOKUP('Project Details by Yr - MASTER'!$B69,Bridges!$A$9:$N$24,G$2,0)),0,VLOOKUP('Project Details by Yr - MASTER'!$B69,Bridges!$A$9:$N$24,G$2,0))+IF(ISNA(VLOOKUP('Project Details by Yr - MASTER'!$B69,'Parking Lots &amp; Playgrounds'!$A$9:$N$33,G$2,0)),0,VLOOKUP('Project Details by Yr - MASTER'!$B69,'Parking Lots &amp; Playgrounds'!$A$9:$N$33,G$2,0))+IF(ISNA(VLOOKUP($B69,Vehicles!$B$9:$O$50,G$2,0)),0,VLOOKUP($B69,Vehicles!$B$9:$O$50,G$2,0))</f>
        <v>0</v>
      </c>
      <c r="H69" s="8">
        <f>IF(ISNA(VLOOKUP($B69,'Other Capital Needs'!$C$51:$P$95,H$2,0)),0,VLOOKUP($B69,'Other Capital Needs'!$C$51:$P$95,H$2,0))+IF(ISNA(VLOOKUP('Project Details by Yr - MASTER'!$B69,'Public Grounds'!$A$11:$N$49,H$2,0)),0,VLOOKUP('Project Details by Yr - MASTER'!$B69,'Public Grounds'!$A$11:$N$49,H$2,0))+IF(ISNA(VLOOKUP('Project Details by Yr - MASTER'!$B69,'Public Buildings'!$A$10:$N$96,H$2,0)),0,VLOOKUP('Project Details by Yr - MASTER'!$B69,'Public Buildings'!$A$10:$N$96,H$2,0))+IF(ISNA(VLOOKUP('Project Details by Yr - MASTER'!$B69,Bridges!$A$9:$N$24,H$2,0)),0,VLOOKUP('Project Details by Yr - MASTER'!$B69,Bridges!$A$9:$N$24,H$2,0))+IF(ISNA(VLOOKUP('Project Details by Yr - MASTER'!$B69,'Parking Lots &amp; Playgrounds'!$A$9:$N$33,H$2,0)),0,VLOOKUP('Project Details by Yr - MASTER'!$B69,'Parking Lots &amp; Playgrounds'!$A$9:$N$33,H$2,0))+IF(ISNA(VLOOKUP($B69,Vehicles!$B$9:$O$50,H$2,0)),0,VLOOKUP($B69,Vehicles!$B$9:$O$50,H$2,0))</f>
        <v>0</v>
      </c>
      <c r="I69" s="8">
        <f>IF(ISNA(VLOOKUP($B69,'Other Capital Needs'!$C$51:$P$95,I$2,0)),0,VLOOKUP($B69,'Other Capital Needs'!$C$51:$P$95,I$2,0))+IF(ISNA(VLOOKUP('Project Details by Yr - MASTER'!$B69,'Public Grounds'!$A$11:$N$49,I$2,0)),0,VLOOKUP('Project Details by Yr - MASTER'!$B69,'Public Grounds'!$A$11:$N$49,I$2,0))+IF(ISNA(VLOOKUP('Project Details by Yr - MASTER'!$B69,'Public Buildings'!$A$10:$N$96,I$2,0)),0,VLOOKUP('Project Details by Yr - MASTER'!$B69,'Public Buildings'!$A$10:$N$96,I$2,0))+IF(ISNA(VLOOKUP('Project Details by Yr - MASTER'!$B69,Bridges!$A$9:$N$24,I$2,0)),0,VLOOKUP('Project Details by Yr - MASTER'!$B69,Bridges!$A$9:$N$24,I$2,0))+IF(ISNA(VLOOKUP('Project Details by Yr - MASTER'!$B69,'Parking Lots &amp; Playgrounds'!$A$9:$N$33,I$2,0)),0,VLOOKUP('Project Details by Yr - MASTER'!$B69,'Parking Lots &amp; Playgrounds'!$A$9:$N$33,I$2,0))+IF(ISNA(VLOOKUP($B69,Vehicles!$B$9:$O$50,I$2,0)),0,VLOOKUP($B69,Vehicles!$B$9:$O$50,I$2,0))</f>
        <v>0</v>
      </c>
      <c r="J69" s="8">
        <f>IF(ISNA(VLOOKUP($B69,'Other Capital Needs'!$C$51:$P$95,J$2,0)),0,VLOOKUP($B69,'Other Capital Needs'!$C$51:$P$95,J$2,0))+IF(ISNA(VLOOKUP('Project Details by Yr - MASTER'!$B69,'Public Grounds'!$A$11:$N$49,J$2,0)),0,VLOOKUP('Project Details by Yr - MASTER'!$B69,'Public Grounds'!$A$11:$N$49,J$2,0))+IF(ISNA(VLOOKUP('Project Details by Yr - MASTER'!$B69,'Public Buildings'!$A$10:$N$96,J$2,0)),0,VLOOKUP('Project Details by Yr - MASTER'!$B69,'Public Buildings'!$A$10:$N$96,J$2,0))+IF(ISNA(VLOOKUP('Project Details by Yr - MASTER'!$B69,Bridges!$A$9:$N$24,J$2,0)),0,VLOOKUP('Project Details by Yr - MASTER'!$B69,Bridges!$A$9:$N$24,J$2,0))+IF(ISNA(VLOOKUP('Project Details by Yr - MASTER'!$B69,'Parking Lots &amp; Playgrounds'!$A$9:$N$33,J$2,0)),0,VLOOKUP('Project Details by Yr - MASTER'!$B69,'Parking Lots &amp; Playgrounds'!$A$9:$N$33,J$2,0))+IF(ISNA(VLOOKUP($B69,Vehicles!$B$9:$O$50,J$2,0)),0,VLOOKUP($B69,Vehicles!$B$9:$O$50,J$2,0))</f>
        <v>80000</v>
      </c>
      <c r="K69" s="8">
        <f>IF(ISNA(VLOOKUP($B69,'Other Capital Needs'!$C$51:$P$95,K$2,0)),0,VLOOKUP($B69,'Other Capital Needs'!$C$51:$P$95,K$2,0))+IF(ISNA(VLOOKUP('Project Details by Yr - MASTER'!$B69,'Public Grounds'!$A$11:$N$49,K$2,0)),0,VLOOKUP('Project Details by Yr - MASTER'!$B69,'Public Grounds'!$A$11:$N$49,K$2,0))+IF(ISNA(VLOOKUP('Project Details by Yr - MASTER'!$B69,'Public Buildings'!$A$10:$N$96,K$2,0)),0,VLOOKUP('Project Details by Yr - MASTER'!$B69,'Public Buildings'!$A$10:$N$96,K$2,0))+IF(ISNA(VLOOKUP('Project Details by Yr - MASTER'!$B69,Bridges!$A$9:$N$24,K$2,0)),0,VLOOKUP('Project Details by Yr - MASTER'!$B69,Bridges!$A$9:$N$24,K$2,0))+IF(ISNA(VLOOKUP('Project Details by Yr - MASTER'!$B69,'Parking Lots &amp; Playgrounds'!$A$9:$N$33,K$2,0)),0,VLOOKUP('Project Details by Yr - MASTER'!$B69,'Parking Lots &amp; Playgrounds'!$A$9:$N$33,K$2,0))+IF(ISNA(VLOOKUP($B69,Vehicles!$B$9:$O$50,K$2,0)),0,VLOOKUP($B69,Vehicles!$B$9:$O$50,K$2,0))</f>
        <v>0</v>
      </c>
    </row>
    <row r="70" spans="2:11" x14ac:dyDescent="0.25">
      <c r="B70" t="s">
        <v>30</v>
      </c>
      <c r="C70" s="26" t="s">
        <v>46</v>
      </c>
      <c r="D70" s="26" t="s">
        <v>272</v>
      </c>
      <c r="E70" s="1" t="s">
        <v>16</v>
      </c>
      <c r="G70" s="8">
        <f>IF(ISNA(VLOOKUP($B70,'Other Capital Needs'!$C$51:$P$95,G$2,0)),0,VLOOKUP($B70,'Other Capital Needs'!$C$51:$P$95,G$2,0))+IF(ISNA(VLOOKUP('Project Details by Yr - MASTER'!$B70,'Public Grounds'!$A$11:$N$49,G$2,0)),0,VLOOKUP('Project Details by Yr - MASTER'!$B70,'Public Grounds'!$A$11:$N$49,G$2,0))+IF(ISNA(VLOOKUP('Project Details by Yr - MASTER'!$B70,'Public Buildings'!$A$10:$N$96,G$2,0)),0,VLOOKUP('Project Details by Yr - MASTER'!$B70,'Public Buildings'!$A$10:$N$96,G$2,0))+IF(ISNA(VLOOKUP('Project Details by Yr - MASTER'!$B70,Bridges!$A$9:$N$24,G$2,0)),0,VLOOKUP('Project Details by Yr - MASTER'!$B70,Bridges!$A$9:$N$24,G$2,0))+IF(ISNA(VLOOKUP('Project Details by Yr - MASTER'!$B70,'Parking Lots &amp; Playgrounds'!$A$9:$N$33,G$2,0)),0,VLOOKUP('Project Details by Yr - MASTER'!$B70,'Parking Lots &amp; Playgrounds'!$A$9:$N$33,G$2,0))+IF(ISNA(VLOOKUP($B70,Vehicles!$B$9:$O$50,G$2,0)),0,VLOOKUP($B70,Vehicles!$B$9:$O$50,G$2,0))</f>
        <v>0</v>
      </c>
      <c r="H70" s="8">
        <f>IF(ISNA(VLOOKUP($B70,'Other Capital Needs'!$C$51:$P$95,H$2,0)),0,VLOOKUP($B70,'Other Capital Needs'!$C$51:$P$95,H$2,0))+IF(ISNA(VLOOKUP('Project Details by Yr - MASTER'!$B70,'Public Grounds'!$A$11:$N$49,H$2,0)),0,VLOOKUP('Project Details by Yr - MASTER'!$B70,'Public Grounds'!$A$11:$N$49,H$2,0))+IF(ISNA(VLOOKUP('Project Details by Yr - MASTER'!$B70,'Public Buildings'!$A$10:$N$96,H$2,0)),0,VLOOKUP('Project Details by Yr - MASTER'!$B70,'Public Buildings'!$A$10:$N$96,H$2,0))+IF(ISNA(VLOOKUP('Project Details by Yr - MASTER'!$B70,Bridges!$A$9:$N$24,H$2,0)),0,VLOOKUP('Project Details by Yr - MASTER'!$B70,Bridges!$A$9:$N$24,H$2,0))+IF(ISNA(VLOOKUP('Project Details by Yr - MASTER'!$B70,'Parking Lots &amp; Playgrounds'!$A$9:$N$33,H$2,0)),0,VLOOKUP('Project Details by Yr - MASTER'!$B70,'Parking Lots &amp; Playgrounds'!$A$9:$N$33,H$2,0))+IF(ISNA(VLOOKUP($B70,Vehicles!$B$9:$O$50,H$2,0)),0,VLOOKUP($B70,Vehicles!$B$9:$O$50,H$2,0))</f>
        <v>0</v>
      </c>
      <c r="I70" s="8">
        <f>IF(ISNA(VLOOKUP($B70,'Other Capital Needs'!$C$51:$P$95,I$2,0)),0,VLOOKUP($B70,'Other Capital Needs'!$C$51:$P$95,I$2,0))+IF(ISNA(VLOOKUP('Project Details by Yr - MASTER'!$B70,'Public Grounds'!$A$11:$N$49,I$2,0)),0,VLOOKUP('Project Details by Yr - MASTER'!$B70,'Public Grounds'!$A$11:$N$49,I$2,0))+IF(ISNA(VLOOKUP('Project Details by Yr - MASTER'!$B70,'Public Buildings'!$A$10:$N$96,I$2,0)),0,VLOOKUP('Project Details by Yr - MASTER'!$B70,'Public Buildings'!$A$10:$N$96,I$2,0))+IF(ISNA(VLOOKUP('Project Details by Yr - MASTER'!$B70,Bridges!$A$9:$N$24,I$2,0)),0,VLOOKUP('Project Details by Yr - MASTER'!$B70,Bridges!$A$9:$N$24,I$2,0))+IF(ISNA(VLOOKUP('Project Details by Yr - MASTER'!$B70,'Parking Lots &amp; Playgrounds'!$A$9:$N$33,I$2,0)),0,VLOOKUP('Project Details by Yr - MASTER'!$B70,'Parking Lots &amp; Playgrounds'!$A$9:$N$33,I$2,0))+IF(ISNA(VLOOKUP($B70,Vehicles!$B$9:$O$50,I$2,0)),0,VLOOKUP($B70,Vehicles!$B$9:$O$50,I$2,0))</f>
        <v>0</v>
      </c>
      <c r="J70" s="8">
        <f>IF(ISNA(VLOOKUP($B70,'Other Capital Needs'!$C$51:$P$95,J$2,0)),0,VLOOKUP($B70,'Other Capital Needs'!$C$51:$P$95,J$2,0))+IF(ISNA(VLOOKUP('Project Details by Yr - MASTER'!$B70,'Public Grounds'!$A$11:$N$49,J$2,0)),0,VLOOKUP('Project Details by Yr - MASTER'!$B70,'Public Grounds'!$A$11:$N$49,J$2,0))+IF(ISNA(VLOOKUP('Project Details by Yr - MASTER'!$B70,'Public Buildings'!$A$10:$N$96,J$2,0)),0,VLOOKUP('Project Details by Yr - MASTER'!$B70,'Public Buildings'!$A$10:$N$96,J$2,0))+IF(ISNA(VLOOKUP('Project Details by Yr - MASTER'!$B70,Bridges!$A$9:$N$24,J$2,0)),0,VLOOKUP('Project Details by Yr - MASTER'!$B70,Bridges!$A$9:$N$24,J$2,0))+IF(ISNA(VLOOKUP('Project Details by Yr - MASTER'!$B70,'Parking Lots &amp; Playgrounds'!$A$9:$N$33,J$2,0)),0,VLOOKUP('Project Details by Yr - MASTER'!$B70,'Parking Lots &amp; Playgrounds'!$A$9:$N$33,J$2,0))+IF(ISNA(VLOOKUP($B70,Vehicles!$B$9:$O$50,J$2,0)),0,VLOOKUP($B70,Vehicles!$B$9:$O$50,J$2,0))</f>
        <v>15000</v>
      </c>
      <c r="K70" s="8">
        <f>IF(ISNA(VLOOKUP($B70,'Other Capital Needs'!$C$51:$P$95,K$2,0)),0,VLOOKUP($B70,'Other Capital Needs'!$C$51:$P$95,K$2,0))+IF(ISNA(VLOOKUP('Project Details by Yr - MASTER'!$B70,'Public Grounds'!$A$11:$N$49,K$2,0)),0,VLOOKUP('Project Details by Yr - MASTER'!$B70,'Public Grounds'!$A$11:$N$49,K$2,0))+IF(ISNA(VLOOKUP('Project Details by Yr - MASTER'!$B70,'Public Buildings'!$A$10:$N$96,K$2,0)),0,VLOOKUP('Project Details by Yr - MASTER'!$B70,'Public Buildings'!$A$10:$N$96,K$2,0))+IF(ISNA(VLOOKUP('Project Details by Yr - MASTER'!$B70,Bridges!$A$9:$N$24,K$2,0)),0,VLOOKUP('Project Details by Yr - MASTER'!$B70,Bridges!$A$9:$N$24,K$2,0))+IF(ISNA(VLOOKUP('Project Details by Yr - MASTER'!$B70,'Parking Lots &amp; Playgrounds'!$A$9:$N$33,K$2,0)),0,VLOOKUP('Project Details by Yr - MASTER'!$B70,'Parking Lots &amp; Playgrounds'!$A$9:$N$33,K$2,0))+IF(ISNA(VLOOKUP($B70,Vehicles!$B$9:$O$50,K$2,0)),0,VLOOKUP($B70,Vehicles!$B$9:$O$50,K$2,0))</f>
        <v>0</v>
      </c>
    </row>
    <row r="71" spans="2:11" x14ac:dyDescent="0.25">
      <c r="B71" t="s">
        <v>31</v>
      </c>
      <c r="C71" s="26" t="s">
        <v>46</v>
      </c>
      <c r="D71" s="26" t="s">
        <v>272</v>
      </c>
      <c r="E71" s="1" t="s">
        <v>16</v>
      </c>
      <c r="G71" s="8">
        <f>IF(ISNA(VLOOKUP($B71,'Other Capital Needs'!$C$51:$P$95,G$2,0)),0,VLOOKUP($B71,'Other Capital Needs'!$C$51:$P$95,G$2,0))+IF(ISNA(VLOOKUP('Project Details by Yr - MASTER'!$B71,'Public Grounds'!$A$11:$N$49,G$2,0)),0,VLOOKUP('Project Details by Yr - MASTER'!$B71,'Public Grounds'!$A$11:$N$49,G$2,0))+IF(ISNA(VLOOKUP('Project Details by Yr - MASTER'!$B71,'Public Buildings'!$A$10:$N$96,G$2,0)),0,VLOOKUP('Project Details by Yr - MASTER'!$B71,'Public Buildings'!$A$10:$N$96,G$2,0))+IF(ISNA(VLOOKUP('Project Details by Yr - MASTER'!$B71,Bridges!$A$9:$N$24,G$2,0)),0,VLOOKUP('Project Details by Yr - MASTER'!$B71,Bridges!$A$9:$N$24,G$2,0))+IF(ISNA(VLOOKUP('Project Details by Yr - MASTER'!$B71,'Parking Lots &amp; Playgrounds'!$A$9:$N$33,G$2,0)),0,VLOOKUP('Project Details by Yr - MASTER'!$B71,'Parking Lots &amp; Playgrounds'!$A$9:$N$33,G$2,0))+IF(ISNA(VLOOKUP($B71,Vehicles!$B$9:$O$50,G$2,0)),0,VLOOKUP($B71,Vehicles!$B$9:$O$50,G$2,0))</f>
        <v>0</v>
      </c>
      <c r="H71" s="8">
        <f>IF(ISNA(VLOOKUP($B71,'Other Capital Needs'!$C$51:$P$95,H$2,0)),0,VLOOKUP($B71,'Other Capital Needs'!$C$51:$P$95,H$2,0))+IF(ISNA(VLOOKUP('Project Details by Yr - MASTER'!$B71,'Public Grounds'!$A$11:$N$49,H$2,0)),0,VLOOKUP('Project Details by Yr - MASTER'!$B71,'Public Grounds'!$A$11:$N$49,H$2,0))+IF(ISNA(VLOOKUP('Project Details by Yr - MASTER'!$B71,'Public Buildings'!$A$10:$N$96,H$2,0)),0,VLOOKUP('Project Details by Yr - MASTER'!$B71,'Public Buildings'!$A$10:$N$96,H$2,0))+IF(ISNA(VLOOKUP('Project Details by Yr - MASTER'!$B71,Bridges!$A$9:$N$24,H$2,0)),0,VLOOKUP('Project Details by Yr - MASTER'!$B71,Bridges!$A$9:$N$24,H$2,0))+IF(ISNA(VLOOKUP('Project Details by Yr - MASTER'!$B71,'Parking Lots &amp; Playgrounds'!$A$9:$N$33,H$2,0)),0,VLOOKUP('Project Details by Yr - MASTER'!$B71,'Parking Lots &amp; Playgrounds'!$A$9:$N$33,H$2,0))+IF(ISNA(VLOOKUP($B71,Vehicles!$B$9:$O$50,H$2,0)),0,VLOOKUP($B71,Vehicles!$B$9:$O$50,H$2,0))</f>
        <v>0</v>
      </c>
      <c r="I71" s="8">
        <f>IF(ISNA(VLOOKUP($B71,'Other Capital Needs'!$C$51:$P$95,I$2,0)),0,VLOOKUP($B71,'Other Capital Needs'!$C$51:$P$95,I$2,0))+IF(ISNA(VLOOKUP('Project Details by Yr - MASTER'!$B71,'Public Grounds'!$A$11:$N$49,I$2,0)),0,VLOOKUP('Project Details by Yr - MASTER'!$B71,'Public Grounds'!$A$11:$N$49,I$2,0))+IF(ISNA(VLOOKUP('Project Details by Yr - MASTER'!$B71,'Public Buildings'!$A$10:$N$96,I$2,0)),0,VLOOKUP('Project Details by Yr - MASTER'!$B71,'Public Buildings'!$A$10:$N$96,I$2,0))+IF(ISNA(VLOOKUP('Project Details by Yr - MASTER'!$B71,Bridges!$A$9:$N$24,I$2,0)),0,VLOOKUP('Project Details by Yr - MASTER'!$B71,Bridges!$A$9:$N$24,I$2,0))+IF(ISNA(VLOOKUP('Project Details by Yr - MASTER'!$B71,'Parking Lots &amp; Playgrounds'!$A$9:$N$33,I$2,0)),0,VLOOKUP('Project Details by Yr - MASTER'!$B71,'Parking Lots &amp; Playgrounds'!$A$9:$N$33,I$2,0))+IF(ISNA(VLOOKUP($B71,Vehicles!$B$9:$O$50,I$2,0)),0,VLOOKUP($B71,Vehicles!$B$9:$O$50,I$2,0))</f>
        <v>0</v>
      </c>
      <c r="J71" s="8">
        <f>IF(ISNA(VLOOKUP($B71,'Other Capital Needs'!$C$51:$P$95,J$2,0)),0,VLOOKUP($B71,'Other Capital Needs'!$C$51:$P$95,J$2,0))+IF(ISNA(VLOOKUP('Project Details by Yr - MASTER'!$B71,'Public Grounds'!$A$11:$N$49,J$2,0)),0,VLOOKUP('Project Details by Yr - MASTER'!$B71,'Public Grounds'!$A$11:$N$49,J$2,0))+IF(ISNA(VLOOKUP('Project Details by Yr - MASTER'!$B71,'Public Buildings'!$A$10:$N$96,J$2,0)),0,VLOOKUP('Project Details by Yr - MASTER'!$B71,'Public Buildings'!$A$10:$N$96,J$2,0))+IF(ISNA(VLOOKUP('Project Details by Yr - MASTER'!$B71,Bridges!$A$9:$N$24,J$2,0)),0,VLOOKUP('Project Details by Yr - MASTER'!$B71,Bridges!$A$9:$N$24,J$2,0))+IF(ISNA(VLOOKUP('Project Details by Yr - MASTER'!$B71,'Parking Lots &amp; Playgrounds'!$A$9:$N$33,J$2,0)),0,VLOOKUP('Project Details by Yr - MASTER'!$B71,'Parking Lots &amp; Playgrounds'!$A$9:$N$33,J$2,0))+IF(ISNA(VLOOKUP($B71,Vehicles!$B$9:$O$50,J$2,0)),0,VLOOKUP($B71,Vehicles!$B$9:$O$50,J$2,0))</f>
        <v>8000</v>
      </c>
      <c r="K71" s="8">
        <f>IF(ISNA(VLOOKUP($B71,'Other Capital Needs'!$C$51:$P$95,K$2,0)),0,VLOOKUP($B71,'Other Capital Needs'!$C$51:$P$95,K$2,0))+IF(ISNA(VLOOKUP('Project Details by Yr - MASTER'!$B71,'Public Grounds'!$A$11:$N$49,K$2,0)),0,VLOOKUP('Project Details by Yr - MASTER'!$B71,'Public Grounds'!$A$11:$N$49,K$2,0))+IF(ISNA(VLOOKUP('Project Details by Yr - MASTER'!$B71,'Public Buildings'!$A$10:$N$96,K$2,0)),0,VLOOKUP('Project Details by Yr - MASTER'!$B71,'Public Buildings'!$A$10:$N$96,K$2,0))+IF(ISNA(VLOOKUP('Project Details by Yr - MASTER'!$B71,Bridges!$A$9:$N$24,K$2,0)),0,VLOOKUP('Project Details by Yr - MASTER'!$B71,Bridges!$A$9:$N$24,K$2,0))+IF(ISNA(VLOOKUP('Project Details by Yr - MASTER'!$B71,'Parking Lots &amp; Playgrounds'!$A$9:$N$33,K$2,0)),0,VLOOKUP('Project Details by Yr - MASTER'!$B71,'Parking Lots &amp; Playgrounds'!$A$9:$N$33,K$2,0))+IF(ISNA(VLOOKUP($B71,Vehicles!$B$9:$O$50,K$2,0)),0,VLOOKUP($B71,Vehicles!$B$9:$O$50,K$2,0))</f>
        <v>0</v>
      </c>
    </row>
    <row r="72" spans="2:11" x14ac:dyDescent="0.25">
      <c r="B72" t="s">
        <v>32</v>
      </c>
      <c r="C72" s="26" t="s">
        <v>46</v>
      </c>
      <c r="D72" s="26" t="s">
        <v>272</v>
      </c>
      <c r="E72" s="1" t="s">
        <v>16</v>
      </c>
      <c r="G72" s="8">
        <f>IF(ISNA(VLOOKUP($B72,'Other Capital Needs'!$C$51:$P$95,G$2,0)),0,VLOOKUP($B72,'Other Capital Needs'!$C$51:$P$95,G$2,0))+IF(ISNA(VLOOKUP('Project Details by Yr - MASTER'!$B72,'Public Grounds'!$A$11:$N$49,G$2,0)),0,VLOOKUP('Project Details by Yr - MASTER'!$B72,'Public Grounds'!$A$11:$N$49,G$2,0))+IF(ISNA(VLOOKUP('Project Details by Yr - MASTER'!$B72,'Public Buildings'!$A$10:$N$96,G$2,0)),0,VLOOKUP('Project Details by Yr - MASTER'!$B72,'Public Buildings'!$A$10:$N$96,G$2,0))+IF(ISNA(VLOOKUP('Project Details by Yr - MASTER'!$B72,Bridges!$A$9:$N$24,G$2,0)),0,VLOOKUP('Project Details by Yr - MASTER'!$B72,Bridges!$A$9:$N$24,G$2,0))+IF(ISNA(VLOOKUP('Project Details by Yr - MASTER'!$B72,'Parking Lots &amp; Playgrounds'!$A$9:$N$33,G$2,0)),0,VLOOKUP('Project Details by Yr - MASTER'!$B72,'Parking Lots &amp; Playgrounds'!$A$9:$N$33,G$2,0))+IF(ISNA(VLOOKUP($B72,Vehicles!$B$9:$O$50,G$2,0)),0,VLOOKUP($B72,Vehicles!$B$9:$O$50,G$2,0))</f>
        <v>0</v>
      </c>
      <c r="H72" s="8">
        <f>IF(ISNA(VLOOKUP($B72,'Other Capital Needs'!$C$51:$P$95,H$2,0)),0,VLOOKUP($B72,'Other Capital Needs'!$C$51:$P$95,H$2,0))+IF(ISNA(VLOOKUP('Project Details by Yr - MASTER'!$B72,'Public Grounds'!$A$11:$N$49,H$2,0)),0,VLOOKUP('Project Details by Yr - MASTER'!$B72,'Public Grounds'!$A$11:$N$49,H$2,0))+IF(ISNA(VLOOKUP('Project Details by Yr - MASTER'!$B72,'Public Buildings'!$A$10:$N$96,H$2,0)),0,VLOOKUP('Project Details by Yr - MASTER'!$B72,'Public Buildings'!$A$10:$N$96,H$2,0))+IF(ISNA(VLOOKUP('Project Details by Yr - MASTER'!$B72,Bridges!$A$9:$N$24,H$2,0)),0,VLOOKUP('Project Details by Yr - MASTER'!$B72,Bridges!$A$9:$N$24,H$2,0))+IF(ISNA(VLOOKUP('Project Details by Yr - MASTER'!$B72,'Parking Lots &amp; Playgrounds'!$A$9:$N$33,H$2,0)),0,VLOOKUP('Project Details by Yr - MASTER'!$B72,'Parking Lots &amp; Playgrounds'!$A$9:$N$33,H$2,0))+IF(ISNA(VLOOKUP($B72,Vehicles!$B$9:$O$50,H$2,0)),0,VLOOKUP($B72,Vehicles!$B$9:$O$50,H$2,0))</f>
        <v>0</v>
      </c>
      <c r="I72" s="8">
        <f>IF(ISNA(VLOOKUP($B72,'Other Capital Needs'!$C$51:$P$95,I$2,0)),0,VLOOKUP($B72,'Other Capital Needs'!$C$51:$P$95,I$2,0))+IF(ISNA(VLOOKUP('Project Details by Yr - MASTER'!$B72,'Public Grounds'!$A$11:$N$49,I$2,0)),0,VLOOKUP('Project Details by Yr - MASTER'!$B72,'Public Grounds'!$A$11:$N$49,I$2,0))+IF(ISNA(VLOOKUP('Project Details by Yr - MASTER'!$B72,'Public Buildings'!$A$10:$N$96,I$2,0)),0,VLOOKUP('Project Details by Yr - MASTER'!$B72,'Public Buildings'!$A$10:$N$96,I$2,0))+IF(ISNA(VLOOKUP('Project Details by Yr - MASTER'!$B72,Bridges!$A$9:$N$24,I$2,0)),0,VLOOKUP('Project Details by Yr - MASTER'!$B72,Bridges!$A$9:$N$24,I$2,0))+IF(ISNA(VLOOKUP('Project Details by Yr - MASTER'!$B72,'Parking Lots &amp; Playgrounds'!$A$9:$N$33,I$2,0)),0,VLOOKUP('Project Details by Yr - MASTER'!$B72,'Parking Lots &amp; Playgrounds'!$A$9:$N$33,I$2,0))+IF(ISNA(VLOOKUP($B72,Vehicles!$B$9:$O$50,I$2,0)),0,VLOOKUP($B72,Vehicles!$B$9:$O$50,I$2,0))</f>
        <v>0</v>
      </c>
      <c r="J72" s="8">
        <f>IF(ISNA(VLOOKUP($B72,'Other Capital Needs'!$C$51:$P$95,J$2,0)),0,VLOOKUP($B72,'Other Capital Needs'!$C$51:$P$95,J$2,0))+IF(ISNA(VLOOKUP('Project Details by Yr - MASTER'!$B72,'Public Grounds'!$A$11:$N$49,J$2,0)),0,VLOOKUP('Project Details by Yr - MASTER'!$B72,'Public Grounds'!$A$11:$N$49,J$2,0))+IF(ISNA(VLOOKUP('Project Details by Yr - MASTER'!$B72,'Public Buildings'!$A$10:$N$96,J$2,0)),0,VLOOKUP('Project Details by Yr - MASTER'!$B72,'Public Buildings'!$A$10:$N$96,J$2,0))+IF(ISNA(VLOOKUP('Project Details by Yr - MASTER'!$B72,Bridges!$A$9:$N$24,J$2,0)),0,VLOOKUP('Project Details by Yr - MASTER'!$B72,Bridges!$A$9:$N$24,J$2,0))+IF(ISNA(VLOOKUP('Project Details by Yr - MASTER'!$B72,'Parking Lots &amp; Playgrounds'!$A$9:$N$33,J$2,0)),0,VLOOKUP('Project Details by Yr - MASTER'!$B72,'Parking Lots &amp; Playgrounds'!$A$9:$N$33,J$2,0))+IF(ISNA(VLOOKUP($B72,Vehicles!$B$9:$O$50,J$2,0)),0,VLOOKUP($B72,Vehicles!$B$9:$O$50,J$2,0))</f>
        <v>17000</v>
      </c>
      <c r="K72" s="8">
        <f>IF(ISNA(VLOOKUP($B72,'Other Capital Needs'!$C$51:$P$95,K$2,0)),0,VLOOKUP($B72,'Other Capital Needs'!$C$51:$P$95,K$2,0))+IF(ISNA(VLOOKUP('Project Details by Yr - MASTER'!$B72,'Public Grounds'!$A$11:$N$49,K$2,0)),0,VLOOKUP('Project Details by Yr - MASTER'!$B72,'Public Grounds'!$A$11:$N$49,K$2,0))+IF(ISNA(VLOOKUP('Project Details by Yr - MASTER'!$B72,'Public Buildings'!$A$10:$N$96,K$2,0)),0,VLOOKUP('Project Details by Yr - MASTER'!$B72,'Public Buildings'!$A$10:$N$96,K$2,0))+IF(ISNA(VLOOKUP('Project Details by Yr - MASTER'!$B72,Bridges!$A$9:$N$24,K$2,0)),0,VLOOKUP('Project Details by Yr - MASTER'!$B72,Bridges!$A$9:$N$24,K$2,0))+IF(ISNA(VLOOKUP('Project Details by Yr - MASTER'!$B72,'Parking Lots &amp; Playgrounds'!$A$9:$N$33,K$2,0)),0,VLOOKUP('Project Details by Yr - MASTER'!$B72,'Parking Lots &amp; Playgrounds'!$A$9:$N$33,K$2,0))+IF(ISNA(VLOOKUP($B72,Vehicles!$B$9:$O$50,K$2,0)),0,VLOOKUP($B72,Vehicles!$B$9:$O$50,K$2,0))</f>
        <v>0</v>
      </c>
    </row>
    <row r="73" spans="2:11" x14ac:dyDescent="0.25">
      <c r="B73" t="s">
        <v>33</v>
      </c>
      <c r="C73" s="26" t="s">
        <v>46</v>
      </c>
      <c r="D73" s="26" t="s">
        <v>272</v>
      </c>
      <c r="E73" s="1" t="s">
        <v>19</v>
      </c>
      <c r="G73" s="8">
        <f>IF(ISNA(VLOOKUP($B73,'Other Capital Needs'!$C$51:$P$95,G$2,0)),0,VLOOKUP($B73,'Other Capital Needs'!$C$51:$P$95,G$2,0))+IF(ISNA(VLOOKUP('Project Details by Yr - MASTER'!$B73,'Public Grounds'!$A$11:$N$49,G$2,0)),0,VLOOKUP('Project Details by Yr - MASTER'!$B73,'Public Grounds'!$A$11:$N$49,G$2,0))+IF(ISNA(VLOOKUP('Project Details by Yr - MASTER'!$B73,'Public Buildings'!$A$10:$N$96,G$2,0)),0,VLOOKUP('Project Details by Yr - MASTER'!$B73,'Public Buildings'!$A$10:$N$96,G$2,0))+IF(ISNA(VLOOKUP('Project Details by Yr - MASTER'!$B73,Bridges!$A$9:$N$24,G$2,0)),0,VLOOKUP('Project Details by Yr - MASTER'!$B73,Bridges!$A$9:$N$24,G$2,0))+IF(ISNA(VLOOKUP('Project Details by Yr - MASTER'!$B73,'Parking Lots &amp; Playgrounds'!$A$9:$N$33,G$2,0)),0,VLOOKUP('Project Details by Yr - MASTER'!$B73,'Parking Lots &amp; Playgrounds'!$A$9:$N$33,G$2,0))+IF(ISNA(VLOOKUP($B73,Vehicles!$B$9:$O$50,G$2,0)),0,VLOOKUP($B73,Vehicles!$B$9:$O$50,G$2,0))</f>
        <v>0</v>
      </c>
      <c r="H73" s="8">
        <f>IF(ISNA(VLOOKUP($B73,'Other Capital Needs'!$C$51:$P$95,H$2,0)),0,VLOOKUP($B73,'Other Capital Needs'!$C$51:$P$95,H$2,0))+IF(ISNA(VLOOKUP('Project Details by Yr - MASTER'!$B73,'Public Grounds'!$A$11:$N$49,H$2,0)),0,VLOOKUP('Project Details by Yr - MASTER'!$B73,'Public Grounds'!$A$11:$N$49,H$2,0))+IF(ISNA(VLOOKUP('Project Details by Yr - MASTER'!$B73,'Public Buildings'!$A$10:$N$96,H$2,0)),0,VLOOKUP('Project Details by Yr - MASTER'!$B73,'Public Buildings'!$A$10:$N$96,H$2,0))+IF(ISNA(VLOOKUP('Project Details by Yr - MASTER'!$B73,Bridges!$A$9:$N$24,H$2,0)),0,VLOOKUP('Project Details by Yr - MASTER'!$B73,Bridges!$A$9:$N$24,H$2,0))+IF(ISNA(VLOOKUP('Project Details by Yr - MASTER'!$B73,'Parking Lots &amp; Playgrounds'!$A$9:$N$33,H$2,0)),0,VLOOKUP('Project Details by Yr - MASTER'!$B73,'Parking Lots &amp; Playgrounds'!$A$9:$N$33,H$2,0))+IF(ISNA(VLOOKUP($B73,Vehicles!$B$9:$O$50,H$2,0)),0,VLOOKUP($B73,Vehicles!$B$9:$O$50,H$2,0))</f>
        <v>0</v>
      </c>
      <c r="I73" s="8">
        <f>IF(ISNA(VLOOKUP($B73,'Other Capital Needs'!$C$51:$P$95,I$2,0)),0,VLOOKUP($B73,'Other Capital Needs'!$C$51:$P$95,I$2,0))+IF(ISNA(VLOOKUP('Project Details by Yr - MASTER'!$B73,'Public Grounds'!$A$11:$N$49,I$2,0)),0,VLOOKUP('Project Details by Yr - MASTER'!$B73,'Public Grounds'!$A$11:$N$49,I$2,0))+IF(ISNA(VLOOKUP('Project Details by Yr - MASTER'!$B73,'Public Buildings'!$A$10:$N$96,I$2,0)),0,VLOOKUP('Project Details by Yr - MASTER'!$B73,'Public Buildings'!$A$10:$N$96,I$2,0))+IF(ISNA(VLOOKUP('Project Details by Yr - MASTER'!$B73,Bridges!$A$9:$N$24,I$2,0)),0,VLOOKUP('Project Details by Yr - MASTER'!$B73,Bridges!$A$9:$N$24,I$2,0))+IF(ISNA(VLOOKUP('Project Details by Yr - MASTER'!$B73,'Parking Lots &amp; Playgrounds'!$A$9:$N$33,I$2,0)),0,VLOOKUP('Project Details by Yr - MASTER'!$B73,'Parking Lots &amp; Playgrounds'!$A$9:$N$33,I$2,0))+IF(ISNA(VLOOKUP($B73,Vehicles!$B$9:$O$50,I$2,0)),0,VLOOKUP($B73,Vehicles!$B$9:$O$50,I$2,0))</f>
        <v>0</v>
      </c>
      <c r="J73" s="8">
        <f>IF(ISNA(VLOOKUP($B73,'Other Capital Needs'!$C$51:$P$95,J$2,0)),0,VLOOKUP($B73,'Other Capital Needs'!$C$51:$P$95,J$2,0))+IF(ISNA(VLOOKUP('Project Details by Yr - MASTER'!$B73,'Public Grounds'!$A$11:$N$49,J$2,0)),0,VLOOKUP('Project Details by Yr - MASTER'!$B73,'Public Grounds'!$A$11:$N$49,J$2,0))+IF(ISNA(VLOOKUP('Project Details by Yr - MASTER'!$B73,'Public Buildings'!$A$10:$N$96,J$2,0)),0,VLOOKUP('Project Details by Yr - MASTER'!$B73,'Public Buildings'!$A$10:$N$96,J$2,0))+IF(ISNA(VLOOKUP('Project Details by Yr - MASTER'!$B73,Bridges!$A$9:$N$24,J$2,0)),0,VLOOKUP('Project Details by Yr - MASTER'!$B73,Bridges!$A$9:$N$24,J$2,0))+IF(ISNA(VLOOKUP('Project Details by Yr - MASTER'!$B73,'Parking Lots &amp; Playgrounds'!$A$9:$N$33,J$2,0)),0,VLOOKUP('Project Details by Yr - MASTER'!$B73,'Parking Lots &amp; Playgrounds'!$A$9:$N$33,J$2,0))+IF(ISNA(VLOOKUP($B73,Vehicles!$B$9:$O$50,J$2,0)),0,VLOOKUP($B73,Vehicles!$B$9:$O$50,J$2,0))</f>
        <v>0</v>
      </c>
      <c r="K73" s="8">
        <f>IF(ISNA(VLOOKUP($B73,'Other Capital Needs'!$C$51:$P$95,K$2,0)),0,VLOOKUP($B73,'Other Capital Needs'!$C$51:$P$95,K$2,0))+IF(ISNA(VLOOKUP('Project Details by Yr - MASTER'!$B73,'Public Grounds'!$A$11:$N$49,K$2,0)),0,VLOOKUP('Project Details by Yr - MASTER'!$B73,'Public Grounds'!$A$11:$N$49,K$2,0))+IF(ISNA(VLOOKUP('Project Details by Yr - MASTER'!$B73,'Public Buildings'!$A$10:$N$96,K$2,0)),0,VLOOKUP('Project Details by Yr - MASTER'!$B73,'Public Buildings'!$A$10:$N$96,K$2,0))+IF(ISNA(VLOOKUP('Project Details by Yr - MASTER'!$B73,Bridges!$A$9:$N$24,K$2,0)),0,VLOOKUP('Project Details by Yr - MASTER'!$B73,Bridges!$A$9:$N$24,K$2,0))+IF(ISNA(VLOOKUP('Project Details by Yr - MASTER'!$B73,'Parking Lots &amp; Playgrounds'!$A$9:$N$33,K$2,0)),0,VLOOKUP('Project Details by Yr - MASTER'!$B73,'Parking Lots &amp; Playgrounds'!$A$9:$N$33,K$2,0))+IF(ISNA(VLOOKUP($B73,Vehicles!$B$9:$O$50,K$2,0)),0,VLOOKUP($B73,Vehicles!$B$9:$O$50,K$2,0))</f>
        <v>0</v>
      </c>
    </row>
    <row r="74" spans="2:11" x14ac:dyDescent="0.25">
      <c r="B74" t="s">
        <v>39</v>
      </c>
      <c r="C74" s="26" t="s">
        <v>46</v>
      </c>
      <c r="D74" s="26" t="s">
        <v>272</v>
      </c>
      <c r="E74" s="1" t="s">
        <v>16</v>
      </c>
      <c r="G74" s="8">
        <f>IF(ISNA(VLOOKUP($B74,'Other Capital Needs'!$C$51:$P$95,G$2,0)),0,VLOOKUP($B74,'Other Capital Needs'!$C$51:$P$95,G$2,0))+IF(ISNA(VLOOKUP('Project Details by Yr - MASTER'!$B74,'Public Grounds'!$A$11:$N$49,G$2,0)),0,VLOOKUP('Project Details by Yr - MASTER'!$B74,'Public Grounds'!$A$11:$N$49,G$2,0))+IF(ISNA(VLOOKUP('Project Details by Yr - MASTER'!$B74,'Public Buildings'!$A$10:$N$96,G$2,0)),0,VLOOKUP('Project Details by Yr - MASTER'!$B74,'Public Buildings'!$A$10:$N$96,G$2,0))+IF(ISNA(VLOOKUP('Project Details by Yr - MASTER'!$B74,Bridges!$A$9:$N$24,G$2,0)),0,VLOOKUP('Project Details by Yr - MASTER'!$B74,Bridges!$A$9:$N$24,G$2,0))+IF(ISNA(VLOOKUP('Project Details by Yr - MASTER'!$B74,'Parking Lots &amp; Playgrounds'!$A$9:$N$33,G$2,0)),0,VLOOKUP('Project Details by Yr - MASTER'!$B74,'Parking Lots &amp; Playgrounds'!$A$9:$N$33,G$2,0))+IF(ISNA(VLOOKUP($B74,Vehicles!$B$9:$O$50,G$2,0)),0,VLOOKUP($B74,Vehicles!$B$9:$O$50,G$2,0))</f>
        <v>0</v>
      </c>
      <c r="H74" s="8">
        <f>IF(ISNA(VLOOKUP($B74,'Other Capital Needs'!$C$51:$P$95,H$2,0)),0,VLOOKUP($B74,'Other Capital Needs'!$C$51:$P$95,H$2,0))+IF(ISNA(VLOOKUP('Project Details by Yr - MASTER'!$B74,'Public Grounds'!$A$11:$N$49,H$2,0)),0,VLOOKUP('Project Details by Yr - MASTER'!$B74,'Public Grounds'!$A$11:$N$49,H$2,0))+IF(ISNA(VLOOKUP('Project Details by Yr - MASTER'!$B74,'Public Buildings'!$A$10:$N$96,H$2,0)),0,VLOOKUP('Project Details by Yr - MASTER'!$B74,'Public Buildings'!$A$10:$N$96,H$2,0))+IF(ISNA(VLOOKUP('Project Details by Yr - MASTER'!$B74,Bridges!$A$9:$N$24,H$2,0)),0,VLOOKUP('Project Details by Yr - MASTER'!$B74,Bridges!$A$9:$N$24,H$2,0))+IF(ISNA(VLOOKUP('Project Details by Yr - MASTER'!$B74,'Parking Lots &amp; Playgrounds'!$A$9:$N$33,H$2,0)),0,VLOOKUP('Project Details by Yr - MASTER'!$B74,'Parking Lots &amp; Playgrounds'!$A$9:$N$33,H$2,0))+IF(ISNA(VLOOKUP($B74,Vehicles!$B$9:$O$50,H$2,0)),0,VLOOKUP($B74,Vehicles!$B$9:$O$50,H$2,0))</f>
        <v>0</v>
      </c>
      <c r="I74" s="8">
        <f>IF(ISNA(VLOOKUP($B74,'Other Capital Needs'!$C$51:$P$95,I$2,0)),0,VLOOKUP($B74,'Other Capital Needs'!$C$51:$P$95,I$2,0))+IF(ISNA(VLOOKUP('Project Details by Yr - MASTER'!$B74,'Public Grounds'!$A$11:$N$49,I$2,0)),0,VLOOKUP('Project Details by Yr - MASTER'!$B74,'Public Grounds'!$A$11:$N$49,I$2,0))+IF(ISNA(VLOOKUP('Project Details by Yr - MASTER'!$B74,'Public Buildings'!$A$10:$N$96,I$2,0)),0,VLOOKUP('Project Details by Yr - MASTER'!$B74,'Public Buildings'!$A$10:$N$96,I$2,0))+IF(ISNA(VLOOKUP('Project Details by Yr - MASTER'!$B74,Bridges!$A$9:$N$24,I$2,0)),0,VLOOKUP('Project Details by Yr - MASTER'!$B74,Bridges!$A$9:$N$24,I$2,0))+IF(ISNA(VLOOKUP('Project Details by Yr - MASTER'!$B74,'Parking Lots &amp; Playgrounds'!$A$9:$N$33,I$2,0)),0,VLOOKUP('Project Details by Yr - MASTER'!$B74,'Parking Lots &amp; Playgrounds'!$A$9:$N$33,I$2,0))+IF(ISNA(VLOOKUP($B74,Vehicles!$B$9:$O$50,I$2,0)),0,VLOOKUP($B74,Vehicles!$B$9:$O$50,I$2,0))</f>
        <v>0</v>
      </c>
      <c r="J74" s="8">
        <f>IF(ISNA(VLOOKUP($B74,'Other Capital Needs'!$C$51:$P$95,J$2,0)),0,VLOOKUP($B74,'Other Capital Needs'!$C$51:$P$95,J$2,0))+IF(ISNA(VLOOKUP('Project Details by Yr - MASTER'!$B74,'Public Grounds'!$A$11:$N$49,J$2,0)),0,VLOOKUP('Project Details by Yr - MASTER'!$B74,'Public Grounds'!$A$11:$N$49,J$2,0))+IF(ISNA(VLOOKUP('Project Details by Yr - MASTER'!$B74,'Public Buildings'!$A$10:$N$96,J$2,0)),0,VLOOKUP('Project Details by Yr - MASTER'!$B74,'Public Buildings'!$A$10:$N$96,J$2,0))+IF(ISNA(VLOOKUP('Project Details by Yr - MASTER'!$B74,Bridges!$A$9:$N$24,J$2,0)),0,VLOOKUP('Project Details by Yr - MASTER'!$B74,Bridges!$A$9:$N$24,J$2,0))+IF(ISNA(VLOOKUP('Project Details by Yr - MASTER'!$B74,'Parking Lots &amp; Playgrounds'!$A$9:$N$33,J$2,0)),0,VLOOKUP('Project Details by Yr - MASTER'!$B74,'Parking Lots &amp; Playgrounds'!$A$9:$N$33,J$2,0))+IF(ISNA(VLOOKUP($B74,Vehicles!$B$9:$O$50,J$2,0)),0,VLOOKUP($B74,Vehicles!$B$9:$O$50,J$2,0))</f>
        <v>0</v>
      </c>
      <c r="K74" s="8">
        <f>IF(ISNA(VLOOKUP($B74,'Other Capital Needs'!$C$51:$P$95,K$2,0)),0,VLOOKUP($B74,'Other Capital Needs'!$C$51:$P$95,K$2,0))+IF(ISNA(VLOOKUP('Project Details by Yr - MASTER'!$B74,'Public Grounds'!$A$11:$N$49,K$2,0)),0,VLOOKUP('Project Details by Yr - MASTER'!$B74,'Public Grounds'!$A$11:$N$49,K$2,0))+IF(ISNA(VLOOKUP('Project Details by Yr - MASTER'!$B74,'Public Buildings'!$A$10:$N$96,K$2,0)),0,VLOOKUP('Project Details by Yr - MASTER'!$B74,'Public Buildings'!$A$10:$N$96,K$2,0))+IF(ISNA(VLOOKUP('Project Details by Yr - MASTER'!$B74,Bridges!$A$9:$N$24,K$2,0)),0,VLOOKUP('Project Details by Yr - MASTER'!$B74,Bridges!$A$9:$N$24,K$2,0))+IF(ISNA(VLOOKUP('Project Details by Yr - MASTER'!$B74,'Parking Lots &amp; Playgrounds'!$A$9:$N$33,K$2,0)),0,VLOOKUP('Project Details by Yr - MASTER'!$B74,'Parking Lots &amp; Playgrounds'!$A$9:$N$33,K$2,0))+IF(ISNA(VLOOKUP($B74,Vehicles!$B$9:$O$50,K$2,0)),0,VLOOKUP($B74,Vehicles!$B$9:$O$50,K$2,0))</f>
        <v>60000</v>
      </c>
    </row>
    <row r="75" spans="2:11" x14ac:dyDescent="0.25">
      <c r="B75" t="s">
        <v>40</v>
      </c>
      <c r="C75" s="26" t="s">
        <v>46</v>
      </c>
      <c r="D75" s="26" t="s">
        <v>272</v>
      </c>
      <c r="E75" s="1" t="s">
        <v>16</v>
      </c>
      <c r="G75" s="8">
        <f>IF(ISNA(VLOOKUP($B75,'Other Capital Needs'!$C$51:$P$95,G$2,0)),0,VLOOKUP($B75,'Other Capital Needs'!$C$51:$P$95,G$2,0))+IF(ISNA(VLOOKUP('Project Details by Yr - MASTER'!$B75,'Public Grounds'!$A$11:$N$49,G$2,0)),0,VLOOKUP('Project Details by Yr - MASTER'!$B75,'Public Grounds'!$A$11:$N$49,G$2,0))+IF(ISNA(VLOOKUP('Project Details by Yr - MASTER'!$B75,'Public Buildings'!$A$10:$N$96,G$2,0)),0,VLOOKUP('Project Details by Yr - MASTER'!$B75,'Public Buildings'!$A$10:$N$96,G$2,0))+IF(ISNA(VLOOKUP('Project Details by Yr - MASTER'!$B75,Bridges!$A$9:$N$24,G$2,0)),0,VLOOKUP('Project Details by Yr - MASTER'!$B75,Bridges!$A$9:$N$24,G$2,0))+IF(ISNA(VLOOKUP('Project Details by Yr - MASTER'!$B75,'Parking Lots &amp; Playgrounds'!$A$9:$N$33,G$2,0)),0,VLOOKUP('Project Details by Yr - MASTER'!$B75,'Parking Lots &amp; Playgrounds'!$A$9:$N$33,G$2,0))+IF(ISNA(VLOOKUP($B75,Vehicles!$B$9:$O$50,G$2,0)),0,VLOOKUP($B75,Vehicles!$B$9:$O$50,G$2,0))</f>
        <v>0</v>
      </c>
      <c r="H75" s="8">
        <f>IF(ISNA(VLOOKUP($B75,'Other Capital Needs'!$C$51:$P$95,H$2,0)),0,VLOOKUP($B75,'Other Capital Needs'!$C$51:$P$95,H$2,0))+IF(ISNA(VLOOKUP('Project Details by Yr - MASTER'!$B75,'Public Grounds'!$A$11:$N$49,H$2,0)),0,VLOOKUP('Project Details by Yr - MASTER'!$B75,'Public Grounds'!$A$11:$N$49,H$2,0))+IF(ISNA(VLOOKUP('Project Details by Yr - MASTER'!$B75,'Public Buildings'!$A$10:$N$96,H$2,0)),0,VLOOKUP('Project Details by Yr - MASTER'!$B75,'Public Buildings'!$A$10:$N$96,H$2,0))+IF(ISNA(VLOOKUP('Project Details by Yr - MASTER'!$B75,Bridges!$A$9:$N$24,H$2,0)),0,VLOOKUP('Project Details by Yr - MASTER'!$B75,Bridges!$A$9:$N$24,H$2,0))+IF(ISNA(VLOOKUP('Project Details by Yr - MASTER'!$B75,'Parking Lots &amp; Playgrounds'!$A$9:$N$33,H$2,0)),0,VLOOKUP('Project Details by Yr - MASTER'!$B75,'Parking Lots &amp; Playgrounds'!$A$9:$N$33,H$2,0))+IF(ISNA(VLOOKUP($B75,Vehicles!$B$9:$O$50,H$2,0)),0,VLOOKUP($B75,Vehicles!$B$9:$O$50,H$2,0))</f>
        <v>0</v>
      </c>
      <c r="I75" s="8">
        <f>IF(ISNA(VLOOKUP($B75,'Other Capital Needs'!$C$51:$P$95,I$2,0)),0,VLOOKUP($B75,'Other Capital Needs'!$C$51:$P$95,I$2,0))+IF(ISNA(VLOOKUP('Project Details by Yr - MASTER'!$B75,'Public Grounds'!$A$11:$N$49,I$2,0)),0,VLOOKUP('Project Details by Yr - MASTER'!$B75,'Public Grounds'!$A$11:$N$49,I$2,0))+IF(ISNA(VLOOKUP('Project Details by Yr - MASTER'!$B75,'Public Buildings'!$A$10:$N$96,I$2,0)),0,VLOOKUP('Project Details by Yr - MASTER'!$B75,'Public Buildings'!$A$10:$N$96,I$2,0))+IF(ISNA(VLOOKUP('Project Details by Yr - MASTER'!$B75,Bridges!$A$9:$N$24,I$2,0)),0,VLOOKUP('Project Details by Yr - MASTER'!$B75,Bridges!$A$9:$N$24,I$2,0))+IF(ISNA(VLOOKUP('Project Details by Yr - MASTER'!$B75,'Parking Lots &amp; Playgrounds'!$A$9:$N$33,I$2,0)),0,VLOOKUP('Project Details by Yr - MASTER'!$B75,'Parking Lots &amp; Playgrounds'!$A$9:$N$33,I$2,0))+IF(ISNA(VLOOKUP($B75,Vehicles!$B$9:$O$50,I$2,0)),0,VLOOKUP($B75,Vehicles!$B$9:$O$50,I$2,0))</f>
        <v>0</v>
      </c>
      <c r="J75" s="8">
        <f>IF(ISNA(VLOOKUP($B75,'Other Capital Needs'!$C$51:$P$95,J$2,0)),0,VLOOKUP($B75,'Other Capital Needs'!$C$51:$P$95,J$2,0))+IF(ISNA(VLOOKUP('Project Details by Yr - MASTER'!$B75,'Public Grounds'!$A$11:$N$49,J$2,0)),0,VLOOKUP('Project Details by Yr - MASTER'!$B75,'Public Grounds'!$A$11:$N$49,J$2,0))+IF(ISNA(VLOOKUP('Project Details by Yr - MASTER'!$B75,'Public Buildings'!$A$10:$N$96,J$2,0)),0,VLOOKUP('Project Details by Yr - MASTER'!$B75,'Public Buildings'!$A$10:$N$96,J$2,0))+IF(ISNA(VLOOKUP('Project Details by Yr - MASTER'!$B75,Bridges!$A$9:$N$24,J$2,0)),0,VLOOKUP('Project Details by Yr - MASTER'!$B75,Bridges!$A$9:$N$24,J$2,0))+IF(ISNA(VLOOKUP('Project Details by Yr - MASTER'!$B75,'Parking Lots &amp; Playgrounds'!$A$9:$N$33,J$2,0)),0,VLOOKUP('Project Details by Yr - MASTER'!$B75,'Parking Lots &amp; Playgrounds'!$A$9:$N$33,J$2,0))+IF(ISNA(VLOOKUP($B75,Vehicles!$B$9:$O$50,J$2,0)),0,VLOOKUP($B75,Vehicles!$B$9:$O$50,J$2,0))</f>
        <v>0</v>
      </c>
      <c r="K75" s="8">
        <f>IF(ISNA(VLOOKUP($B75,'Other Capital Needs'!$C$51:$P$95,K$2,0)),0,VLOOKUP($B75,'Other Capital Needs'!$C$51:$P$95,K$2,0))+IF(ISNA(VLOOKUP('Project Details by Yr - MASTER'!$B75,'Public Grounds'!$A$11:$N$49,K$2,0)),0,VLOOKUP('Project Details by Yr - MASTER'!$B75,'Public Grounds'!$A$11:$N$49,K$2,0))+IF(ISNA(VLOOKUP('Project Details by Yr - MASTER'!$B75,'Public Buildings'!$A$10:$N$96,K$2,0)),0,VLOOKUP('Project Details by Yr - MASTER'!$B75,'Public Buildings'!$A$10:$N$96,K$2,0))+IF(ISNA(VLOOKUP('Project Details by Yr - MASTER'!$B75,Bridges!$A$9:$N$24,K$2,0)),0,VLOOKUP('Project Details by Yr - MASTER'!$B75,Bridges!$A$9:$N$24,K$2,0))+IF(ISNA(VLOOKUP('Project Details by Yr - MASTER'!$B75,'Parking Lots &amp; Playgrounds'!$A$9:$N$33,K$2,0)),0,VLOOKUP('Project Details by Yr - MASTER'!$B75,'Parking Lots &amp; Playgrounds'!$A$9:$N$33,K$2,0))+IF(ISNA(VLOOKUP($B75,Vehicles!$B$9:$O$50,K$2,0)),0,VLOOKUP($B75,Vehicles!$B$9:$O$50,K$2,0))</f>
        <v>0</v>
      </c>
    </row>
    <row r="76" spans="2:11" x14ac:dyDescent="0.25">
      <c r="B76" t="s">
        <v>41</v>
      </c>
      <c r="C76" s="26" t="s">
        <v>46</v>
      </c>
      <c r="D76" s="26" t="s">
        <v>272</v>
      </c>
      <c r="E76" s="1" t="s">
        <v>16</v>
      </c>
      <c r="G76" s="8">
        <f>IF(ISNA(VLOOKUP($B76,'Other Capital Needs'!$C$51:$P$95,G$2,0)),0,VLOOKUP($B76,'Other Capital Needs'!$C$51:$P$95,G$2,0))+IF(ISNA(VLOOKUP('Project Details by Yr - MASTER'!$B76,'Public Grounds'!$A$11:$N$49,G$2,0)),0,VLOOKUP('Project Details by Yr - MASTER'!$B76,'Public Grounds'!$A$11:$N$49,G$2,0))+IF(ISNA(VLOOKUP('Project Details by Yr - MASTER'!$B76,'Public Buildings'!$A$10:$N$96,G$2,0)),0,VLOOKUP('Project Details by Yr - MASTER'!$B76,'Public Buildings'!$A$10:$N$96,G$2,0))+IF(ISNA(VLOOKUP('Project Details by Yr - MASTER'!$B76,Bridges!$A$9:$N$24,G$2,0)),0,VLOOKUP('Project Details by Yr - MASTER'!$B76,Bridges!$A$9:$N$24,G$2,0))+IF(ISNA(VLOOKUP('Project Details by Yr - MASTER'!$B76,'Parking Lots &amp; Playgrounds'!$A$9:$N$33,G$2,0)),0,VLOOKUP('Project Details by Yr - MASTER'!$B76,'Parking Lots &amp; Playgrounds'!$A$9:$N$33,G$2,0))+IF(ISNA(VLOOKUP($B76,Vehicles!$B$9:$O$50,G$2,0)),0,VLOOKUP($B76,Vehicles!$B$9:$O$50,G$2,0))</f>
        <v>0</v>
      </c>
      <c r="H76" s="8">
        <f>IF(ISNA(VLOOKUP($B76,'Other Capital Needs'!$C$51:$P$95,H$2,0)),0,VLOOKUP($B76,'Other Capital Needs'!$C$51:$P$95,H$2,0))+IF(ISNA(VLOOKUP('Project Details by Yr - MASTER'!$B76,'Public Grounds'!$A$11:$N$49,H$2,0)),0,VLOOKUP('Project Details by Yr - MASTER'!$B76,'Public Grounds'!$A$11:$N$49,H$2,0))+IF(ISNA(VLOOKUP('Project Details by Yr - MASTER'!$B76,'Public Buildings'!$A$10:$N$96,H$2,0)),0,VLOOKUP('Project Details by Yr - MASTER'!$B76,'Public Buildings'!$A$10:$N$96,H$2,0))+IF(ISNA(VLOOKUP('Project Details by Yr - MASTER'!$B76,Bridges!$A$9:$N$24,H$2,0)),0,VLOOKUP('Project Details by Yr - MASTER'!$B76,Bridges!$A$9:$N$24,H$2,0))+IF(ISNA(VLOOKUP('Project Details by Yr - MASTER'!$B76,'Parking Lots &amp; Playgrounds'!$A$9:$N$33,H$2,0)),0,VLOOKUP('Project Details by Yr - MASTER'!$B76,'Parking Lots &amp; Playgrounds'!$A$9:$N$33,H$2,0))+IF(ISNA(VLOOKUP($B76,Vehicles!$B$9:$O$50,H$2,0)),0,VLOOKUP($B76,Vehicles!$B$9:$O$50,H$2,0))</f>
        <v>0</v>
      </c>
      <c r="I76" s="8">
        <f>IF(ISNA(VLOOKUP($B76,'Other Capital Needs'!$C$51:$P$95,I$2,0)),0,VLOOKUP($B76,'Other Capital Needs'!$C$51:$P$95,I$2,0))+IF(ISNA(VLOOKUP('Project Details by Yr - MASTER'!$B76,'Public Grounds'!$A$11:$N$49,I$2,0)),0,VLOOKUP('Project Details by Yr - MASTER'!$B76,'Public Grounds'!$A$11:$N$49,I$2,0))+IF(ISNA(VLOOKUP('Project Details by Yr - MASTER'!$B76,'Public Buildings'!$A$10:$N$96,I$2,0)),0,VLOOKUP('Project Details by Yr - MASTER'!$B76,'Public Buildings'!$A$10:$N$96,I$2,0))+IF(ISNA(VLOOKUP('Project Details by Yr - MASTER'!$B76,Bridges!$A$9:$N$24,I$2,0)),0,VLOOKUP('Project Details by Yr - MASTER'!$B76,Bridges!$A$9:$N$24,I$2,0))+IF(ISNA(VLOOKUP('Project Details by Yr - MASTER'!$B76,'Parking Lots &amp; Playgrounds'!$A$9:$N$33,I$2,0)),0,VLOOKUP('Project Details by Yr - MASTER'!$B76,'Parking Lots &amp; Playgrounds'!$A$9:$N$33,I$2,0))+IF(ISNA(VLOOKUP($B76,Vehicles!$B$9:$O$50,I$2,0)),0,VLOOKUP($B76,Vehicles!$B$9:$O$50,I$2,0))</f>
        <v>0</v>
      </c>
      <c r="J76" s="8">
        <f>IF(ISNA(VLOOKUP($B76,'Other Capital Needs'!$C$51:$P$95,J$2,0)),0,VLOOKUP($B76,'Other Capital Needs'!$C$51:$P$95,J$2,0))+IF(ISNA(VLOOKUP('Project Details by Yr - MASTER'!$B76,'Public Grounds'!$A$11:$N$49,J$2,0)),0,VLOOKUP('Project Details by Yr - MASTER'!$B76,'Public Grounds'!$A$11:$N$49,J$2,0))+IF(ISNA(VLOOKUP('Project Details by Yr - MASTER'!$B76,'Public Buildings'!$A$10:$N$96,J$2,0)),0,VLOOKUP('Project Details by Yr - MASTER'!$B76,'Public Buildings'!$A$10:$N$96,J$2,0))+IF(ISNA(VLOOKUP('Project Details by Yr - MASTER'!$B76,Bridges!$A$9:$N$24,J$2,0)),0,VLOOKUP('Project Details by Yr - MASTER'!$B76,Bridges!$A$9:$N$24,J$2,0))+IF(ISNA(VLOOKUP('Project Details by Yr - MASTER'!$B76,'Parking Lots &amp; Playgrounds'!$A$9:$N$33,J$2,0)),0,VLOOKUP('Project Details by Yr - MASTER'!$B76,'Parking Lots &amp; Playgrounds'!$A$9:$N$33,J$2,0))+IF(ISNA(VLOOKUP($B76,Vehicles!$B$9:$O$50,J$2,0)),0,VLOOKUP($B76,Vehicles!$B$9:$O$50,J$2,0))</f>
        <v>0</v>
      </c>
      <c r="K76" s="8">
        <f>IF(ISNA(VLOOKUP($B76,'Other Capital Needs'!$C$51:$P$95,K$2,0)),0,VLOOKUP($B76,'Other Capital Needs'!$C$51:$P$95,K$2,0))+IF(ISNA(VLOOKUP('Project Details by Yr - MASTER'!$B76,'Public Grounds'!$A$11:$N$49,K$2,0)),0,VLOOKUP('Project Details by Yr - MASTER'!$B76,'Public Grounds'!$A$11:$N$49,K$2,0))+IF(ISNA(VLOOKUP('Project Details by Yr - MASTER'!$B76,'Public Buildings'!$A$10:$N$96,K$2,0)),0,VLOOKUP('Project Details by Yr - MASTER'!$B76,'Public Buildings'!$A$10:$N$96,K$2,0))+IF(ISNA(VLOOKUP('Project Details by Yr - MASTER'!$B76,Bridges!$A$9:$N$24,K$2,0)),0,VLOOKUP('Project Details by Yr - MASTER'!$B76,Bridges!$A$9:$N$24,K$2,0))+IF(ISNA(VLOOKUP('Project Details by Yr - MASTER'!$B76,'Parking Lots &amp; Playgrounds'!$A$9:$N$33,K$2,0)),0,VLOOKUP('Project Details by Yr - MASTER'!$B76,'Parking Lots &amp; Playgrounds'!$A$9:$N$33,K$2,0))+IF(ISNA(VLOOKUP($B76,Vehicles!$B$9:$O$50,K$2,0)),0,VLOOKUP($B76,Vehicles!$B$9:$O$50,K$2,0))</f>
        <v>0</v>
      </c>
    </row>
    <row r="77" spans="2:11" x14ac:dyDescent="0.25">
      <c r="B77" t="s">
        <v>42</v>
      </c>
      <c r="C77" s="26" t="s">
        <v>46</v>
      </c>
      <c r="D77" s="26" t="s">
        <v>272</v>
      </c>
      <c r="E77" s="1" t="s">
        <v>16</v>
      </c>
      <c r="G77" s="8">
        <f>IF(ISNA(VLOOKUP($B77,'Other Capital Needs'!$C$51:$P$95,G$2,0)),0,VLOOKUP($B77,'Other Capital Needs'!$C$51:$P$95,G$2,0))+IF(ISNA(VLOOKUP('Project Details by Yr - MASTER'!$B77,'Public Grounds'!$A$11:$N$49,G$2,0)),0,VLOOKUP('Project Details by Yr - MASTER'!$B77,'Public Grounds'!$A$11:$N$49,G$2,0))+IF(ISNA(VLOOKUP('Project Details by Yr - MASTER'!$B77,'Public Buildings'!$A$10:$N$96,G$2,0)),0,VLOOKUP('Project Details by Yr - MASTER'!$B77,'Public Buildings'!$A$10:$N$96,G$2,0))+IF(ISNA(VLOOKUP('Project Details by Yr - MASTER'!$B77,Bridges!$A$9:$N$24,G$2,0)),0,VLOOKUP('Project Details by Yr - MASTER'!$B77,Bridges!$A$9:$N$24,G$2,0))+IF(ISNA(VLOOKUP('Project Details by Yr - MASTER'!$B77,'Parking Lots &amp; Playgrounds'!$A$9:$N$33,G$2,0)),0,VLOOKUP('Project Details by Yr - MASTER'!$B77,'Parking Lots &amp; Playgrounds'!$A$9:$N$33,G$2,0))+IF(ISNA(VLOOKUP($B77,Vehicles!$B$9:$O$50,G$2,0)),0,VLOOKUP($B77,Vehicles!$B$9:$O$50,G$2,0))</f>
        <v>0</v>
      </c>
      <c r="H77" s="8">
        <f>IF(ISNA(VLOOKUP($B77,'Other Capital Needs'!$C$51:$P$95,H$2,0)),0,VLOOKUP($B77,'Other Capital Needs'!$C$51:$P$95,H$2,0))+IF(ISNA(VLOOKUP('Project Details by Yr - MASTER'!$B77,'Public Grounds'!$A$11:$N$49,H$2,0)),0,VLOOKUP('Project Details by Yr - MASTER'!$B77,'Public Grounds'!$A$11:$N$49,H$2,0))+IF(ISNA(VLOOKUP('Project Details by Yr - MASTER'!$B77,'Public Buildings'!$A$10:$N$96,H$2,0)),0,VLOOKUP('Project Details by Yr - MASTER'!$B77,'Public Buildings'!$A$10:$N$96,H$2,0))+IF(ISNA(VLOOKUP('Project Details by Yr - MASTER'!$B77,Bridges!$A$9:$N$24,H$2,0)),0,VLOOKUP('Project Details by Yr - MASTER'!$B77,Bridges!$A$9:$N$24,H$2,0))+IF(ISNA(VLOOKUP('Project Details by Yr - MASTER'!$B77,'Parking Lots &amp; Playgrounds'!$A$9:$N$33,H$2,0)),0,VLOOKUP('Project Details by Yr - MASTER'!$B77,'Parking Lots &amp; Playgrounds'!$A$9:$N$33,H$2,0))+IF(ISNA(VLOOKUP($B77,Vehicles!$B$9:$O$50,H$2,0)),0,VLOOKUP($B77,Vehicles!$B$9:$O$50,H$2,0))</f>
        <v>0</v>
      </c>
      <c r="I77" s="8">
        <f>IF(ISNA(VLOOKUP($B77,'Other Capital Needs'!$C$51:$P$95,I$2,0)),0,VLOOKUP($B77,'Other Capital Needs'!$C$51:$P$95,I$2,0))+IF(ISNA(VLOOKUP('Project Details by Yr - MASTER'!$B77,'Public Grounds'!$A$11:$N$49,I$2,0)),0,VLOOKUP('Project Details by Yr - MASTER'!$B77,'Public Grounds'!$A$11:$N$49,I$2,0))+IF(ISNA(VLOOKUP('Project Details by Yr - MASTER'!$B77,'Public Buildings'!$A$10:$N$96,I$2,0)),0,VLOOKUP('Project Details by Yr - MASTER'!$B77,'Public Buildings'!$A$10:$N$96,I$2,0))+IF(ISNA(VLOOKUP('Project Details by Yr - MASTER'!$B77,Bridges!$A$9:$N$24,I$2,0)),0,VLOOKUP('Project Details by Yr - MASTER'!$B77,Bridges!$A$9:$N$24,I$2,0))+IF(ISNA(VLOOKUP('Project Details by Yr - MASTER'!$B77,'Parking Lots &amp; Playgrounds'!$A$9:$N$33,I$2,0)),0,VLOOKUP('Project Details by Yr - MASTER'!$B77,'Parking Lots &amp; Playgrounds'!$A$9:$N$33,I$2,0))+IF(ISNA(VLOOKUP($B77,Vehicles!$B$9:$O$50,I$2,0)),0,VLOOKUP($B77,Vehicles!$B$9:$O$50,I$2,0))</f>
        <v>0</v>
      </c>
      <c r="J77" s="8">
        <f>IF(ISNA(VLOOKUP($B77,'Other Capital Needs'!$C$51:$P$95,J$2,0)),0,VLOOKUP($B77,'Other Capital Needs'!$C$51:$P$95,J$2,0))+IF(ISNA(VLOOKUP('Project Details by Yr - MASTER'!$B77,'Public Grounds'!$A$11:$N$49,J$2,0)),0,VLOOKUP('Project Details by Yr - MASTER'!$B77,'Public Grounds'!$A$11:$N$49,J$2,0))+IF(ISNA(VLOOKUP('Project Details by Yr - MASTER'!$B77,'Public Buildings'!$A$10:$N$96,J$2,0)),0,VLOOKUP('Project Details by Yr - MASTER'!$B77,'Public Buildings'!$A$10:$N$96,J$2,0))+IF(ISNA(VLOOKUP('Project Details by Yr - MASTER'!$B77,Bridges!$A$9:$N$24,J$2,0)),0,VLOOKUP('Project Details by Yr - MASTER'!$B77,Bridges!$A$9:$N$24,J$2,0))+IF(ISNA(VLOOKUP('Project Details by Yr - MASTER'!$B77,'Parking Lots &amp; Playgrounds'!$A$9:$N$33,J$2,0)),0,VLOOKUP('Project Details by Yr - MASTER'!$B77,'Parking Lots &amp; Playgrounds'!$A$9:$N$33,J$2,0))+IF(ISNA(VLOOKUP($B77,Vehicles!$B$9:$O$50,J$2,0)),0,VLOOKUP($B77,Vehicles!$B$9:$O$50,J$2,0))</f>
        <v>16000</v>
      </c>
      <c r="K77" s="8">
        <f>IF(ISNA(VLOOKUP($B77,'Other Capital Needs'!$C$51:$P$95,K$2,0)),0,VLOOKUP($B77,'Other Capital Needs'!$C$51:$P$95,K$2,0))+IF(ISNA(VLOOKUP('Project Details by Yr - MASTER'!$B77,'Public Grounds'!$A$11:$N$49,K$2,0)),0,VLOOKUP('Project Details by Yr - MASTER'!$B77,'Public Grounds'!$A$11:$N$49,K$2,0))+IF(ISNA(VLOOKUP('Project Details by Yr - MASTER'!$B77,'Public Buildings'!$A$10:$N$96,K$2,0)),0,VLOOKUP('Project Details by Yr - MASTER'!$B77,'Public Buildings'!$A$10:$N$96,K$2,0))+IF(ISNA(VLOOKUP('Project Details by Yr - MASTER'!$B77,Bridges!$A$9:$N$24,K$2,0)),0,VLOOKUP('Project Details by Yr - MASTER'!$B77,Bridges!$A$9:$N$24,K$2,0))+IF(ISNA(VLOOKUP('Project Details by Yr - MASTER'!$B77,'Parking Lots &amp; Playgrounds'!$A$9:$N$33,K$2,0)),0,VLOOKUP('Project Details by Yr - MASTER'!$B77,'Parking Lots &amp; Playgrounds'!$A$9:$N$33,K$2,0))+IF(ISNA(VLOOKUP($B77,Vehicles!$B$9:$O$50,K$2,0)),0,VLOOKUP($B77,Vehicles!$B$9:$O$50,K$2,0))</f>
        <v>0</v>
      </c>
    </row>
    <row r="78" spans="2:11" x14ac:dyDescent="0.25">
      <c r="B78" t="s">
        <v>43</v>
      </c>
      <c r="C78" s="26" t="s">
        <v>46</v>
      </c>
      <c r="D78" s="26" t="s">
        <v>272</v>
      </c>
      <c r="E78" s="1" t="s">
        <v>16</v>
      </c>
      <c r="G78" s="8">
        <f>IF(ISNA(VLOOKUP($B78,'Other Capital Needs'!$C$51:$P$95,G$2,0)),0,VLOOKUP($B78,'Other Capital Needs'!$C$51:$P$95,G$2,0))+IF(ISNA(VLOOKUP('Project Details by Yr - MASTER'!$B78,'Public Grounds'!$A$11:$N$49,G$2,0)),0,VLOOKUP('Project Details by Yr - MASTER'!$B78,'Public Grounds'!$A$11:$N$49,G$2,0))+IF(ISNA(VLOOKUP('Project Details by Yr - MASTER'!$B78,'Public Buildings'!$A$10:$N$96,G$2,0)),0,VLOOKUP('Project Details by Yr - MASTER'!$B78,'Public Buildings'!$A$10:$N$96,G$2,0))+IF(ISNA(VLOOKUP('Project Details by Yr - MASTER'!$B78,Bridges!$A$9:$N$24,G$2,0)),0,VLOOKUP('Project Details by Yr - MASTER'!$B78,Bridges!$A$9:$N$24,G$2,0))+IF(ISNA(VLOOKUP('Project Details by Yr - MASTER'!$B78,'Parking Lots &amp; Playgrounds'!$A$9:$N$33,G$2,0)),0,VLOOKUP('Project Details by Yr - MASTER'!$B78,'Parking Lots &amp; Playgrounds'!$A$9:$N$33,G$2,0))+IF(ISNA(VLOOKUP($B78,Vehicles!$B$9:$O$50,G$2,0)),0,VLOOKUP($B78,Vehicles!$B$9:$O$50,G$2,0))</f>
        <v>0</v>
      </c>
      <c r="H78" s="8">
        <f>IF(ISNA(VLOOKUP($B78,'Other Capital Needs'!$C$51:$P$95,H$2,0)),0,VLOOKUP($B78,'Other Capital Needs'!$C$51:$P$95,H$2,0))+IF(ISNA(VLOOKUP('Project Details by Yr - MASTER'!$B78,'Public Grounds'!$A$11:$N$49,H$2,0)),0,VLOOKUP('Project Details by Yr - MASTER'!$B78,'Public Grounds'!$A$11:$N$49,H$2,0))+IF(ISNA(VLOOKUP('Project Details by Yr - MASTER'!$B78,'Public Buildings'!$A$10:$N$96,H$2,0)),0,VLOOKUP('Project Details by Yr - MASTER'!$B78,'Public Buildings'!$A$10:$N$96,H$2,0))+IF(ISNA(VLOOKUP('Project Details by Yr - MASTER'!$B78,Bridges!$A$9:$N$24,H$2,0)),0,VLOOKUP('Project Details by Yr - MASTER'!$B78,Bridges!$A$9:$N$24,H$2,0))+IF(ISNA(VLOOKUP('Project Details by Yr - MASTER'!$B78,'Parking Lots &amp; Playgrounds'!$A$9:$N$33,H$2,0)),0,VLOOKUP('Project Details by Yr - MASTER'!$B78,'Parking Lots &amp; Playgrounds'!$A$9:$N$33,H$2,0))+IF(ISNA(VLOOKUP($B78,Vehicles!$B$9:$O$50,H$2,0)),0,VLOOKUP($B78,Vehicles!$B$9:$O$50,H$2,0))</f>
        <v>0</v>
      </c>
      <c r="I78" s="8">
        <f>IF(ISNA(VLOOKUP($B78,'Other Capital Needs'!$C$51:$P$95,I$2,0)),0,VLOOKUP($B78,'Other Capital Needs'!$C$51:$P$95,I$2,0))+IF(ISNA(VLOOKUP('Project Details by Yr - MASTER'!$B78,'Public Grounds'!$A$11:$N$49,I$2,0)),0,VLOOKUP('Project Details by Yr - MASTER'!$B78,'Public Grounds'!$A$11:$N$49,I$2,0))+IF(ISNA(VLOOKUP('Project Details by Yr - MASTER'!$B78,'Public Buildings'!$A$10:$N$96,I$2,0)),0,VLOOKUP('Project Details by Yr - MASTER'!$B78,'Public Buildings'!$A$10:$N$96,I$2,0))+IF(ISNA(VLOOKUP('Project Details by Yr - MASTER'!$B78,Bridges!$A$9:$N$24,I$2,0)),0,VLOOKUP('Project Details by Yr - MASTER'!$B78,Bridges!$A$9:$N$24,I$2,0))+IF(ISNA(VLOOKUP('Project Details by Yr - MASTER'!$B78,'Parking Lots &amp; Playgrounds'!$A$9:$N$33,I$2,0)),0,VLOOKUP('Project Details by Yr - MASTER'!$B78,'Parking Lots &amp; Playgrounds'!$A$9:$N$33,I$2,0))+IF(ISNA(VLOOKUP($B78,Vehicles!$B$9:$O$50,I$2,0)),0,VLOOKUP($B78,Vehicles!$B$9:$O$50,I$2,0))</f>
        <v>0</v>
      </c>
      <c r="J78" s="8">
        <f>IF(ISNA(VLOOKUP($B78,'Other Capital Needs'!$C$51:$P$95,J$2,0)),0,VLOOKUP($B78,'Other Capital Needs'!$C$51:$P$95,J$2,0))+IF(ISNA(VLOOKUP('Project Details by Yr - MASTER'!$B78,'Public Grounds'!$A$11:$N$49,J$2,0)),0,VLOOKUP('Project Details by Yr - MASTER'!$B78,'Public Grounds'!$A$11:$N$49,J$2,0))+IF(ISNA(VLOOKUP('Project Details by Yr - MASTER'!$B78,'Public Buildings'!$A$10:$N$96,J$2,0)),0,VLOOKUP('Project Details by Yr - MASTER'!$B78,'Public Buildings'!$A$10:$N$96,J$2,0))+IF(ISNA(VLOOKUP('Project Details by Yr - MASTER'!$B78,Bridges!$A$9:$N$24,J$2,0)),0,VLOOKUP('Project Details by Yr - MASTER'!$B78,Bridges!$A$9:$N$24,J$2,0))+IF(ISNA(VLOOKUP('Project Details by Yr - MASTER'!$B78,'Parking Lots &amp; Playgrounds'!$A$9:$N$33,J$2,0)),0,VLOOKUP('Project Details by Yr - MASTER'!$B78,'Parking Lots &amp; Playgrounds'!$A$9:$N$33,J$2,0))+IF(ISNA(VLOOKUP($B78,Vehicles!$B$9:$O$50,J$2,0)),0,VLOOKUP($B78,Vehicles!$B$9:$O$50,J$2,0))</f>
        <v>0</v>
      </c>
      <c r="K78" s="8">
        <f>IF(ISNA(VLOOKUP($B78,'Other Capital Needs'!$C$51:$P$95,K$2,0)),0,VLOOKUP($B78,'Other Capital Needs'!$C$51:$P$95,K$2,0))+IF(ISNA(VLOOKUP('Project Details by Yr - MASTER'!$B78,'Public Grounds'!$A$11:$N$49,K$2,0)),0,VLOOKUP('Project Details by Yr - MASTER'!$B78,'Public Grounds'!$A$11:$N$49,K$2,0))+IF(ISNA(VLOOKUP('Project Details by Yr - MASTER'!$B78,'Public Buildings'!$A$10:$N$96,K$2,0)),0,VLOOKUP('Project Details by Yr - MASTER'!$B78,'Public Buildings'!$A$10:$N$96,K$2,0))+IF(ISNA(VLOOKUP('Project Details by Yr - MASTER'!$B78,Bridges!$A$9:$N$24,K$2,0)),0,VLOOKUP('Project Details by Yr - MASTER'!$B78,Bridges!$A$9:$N$24,K$2,0))+IF(ISNA(VLOOKUP('Project Details by Yr - MASTER'!$B78,'Parking Lots &amp; Playgrounds'!$A$9:$N$33,K$2,0)),0,VLOOKUP('Project Details by Yr - MASTER'!$B78,'Parking Lots &amp; Playgrounds'!$A$9:$N$33,K$2,0))+IF(ISNA(VLOOKUP($B78,Vehicles!$B$9:$O$50,K$2,0)),0,VLOOKUP($B78,Vehicles!$B$9:$O$50,K$2,0))</f>
        <v>0</v>
      </c>
    </row>
    <row r="79" spans="2:11" x14ac:dyDescent="0.25">
      <c r="B79" t="s">
        <v>44</v>
      </c>
      <c r="C79" s="26" t="s">
        <v>46</v>
      </c>
      <c r="D79" s="26" t="s">
        <v>272</v>
      </c>
      <c r="E79" s="1" t="s">
        <v>19</v>
      </c>
      <c r="G79" s="8">
        <f>IF(ISNA(VLOOKUP($B79,'Other Capital Needs'!$C$51:$P$95,G$2,0)),0,VLOOKUP($B79,'Other Capital Needs'!$C$51:$P$95,G$2,0))+IF(ISNA(VLOOKUP('Project Details by Yr - MASTER'!$B79,'Public Grounds'!$A$11:$N$49,G$2,0)),0,VLOOKUP('Project Details by Yr - MASTER'!$B79,'Public Grounds'!$A$11:$N$49,G$2,0))+IF(ISNA(VLOOKUP('Project Details by Yr - MASTER'!$B79,'Public Buildings'!$A$10:$N$96,G$2,0)),0,VLOOKUP('Project Details by Yr - MASTER'!$B79,'Public Buildings'!$A$10:$N$96,G$2,0))+IF(ISNA(VLOOKUP('Project Details by Yr - MASTER'!$B79,Bridges!$A$9:$N$24,G$2,0)),0,VLOOKUP('Project Details by Yr - MASTER'!$B79,Bridges!$A$9:$N$24,G$2,0))+IF(ISNA(VLOOKUP('Project Details by Yr - MASTER'!$B79,'Parking Lots &amp; Playgrounds'!$A$9:$N$33,G$2,0)),0,VLOOKUP('Project Details by Yr - MASTER'!$B79,'Parking Lots &amp; Playgrounds'!$A$9:$N$33,G$2,0))+IF(ISNA(VLOOKUP($B79,Vehicles!$B$9:$O$50,G$2,0)),0,VLOOKUP($B79,Vehicles!$B$9:$O$50,G$2,0))</f>
        <v>0</v>
      </c>
      <c r="H79" s="8">
        <f>IF(ISNA(VLOOKUP($B79,'Other Capital Needs'!$C$51:$P$95,H$2,0)),0,VLOOKUP($B79,'Other Capital Needs'!$C$51:$P$95,H$2,0))+IF(ISNA(VLOOKUP('Project Details by Yr - MASTER'!$B79,'Public Grounds'!$A$11:$N$49,H$2,0)),0,VLOOKUP('Project Details by Yr - MASTER'!$B79,'Public Grounds'!$A$11:$N$49,H$2,0))+IF(ISNA(VLOOKUP('Project Details by Yr - MASTER'!$B79,'Public Buildings'!$A$10:$N$96,H$2,0)),0,VLOOKUP('Project Details by Yr - MASTER'!$B79,'Public Buildings'!$A$10:$N$96,H$2,0))+IF(ISNA(VLOOKUP('Project Details by Yr - MASTER'!$B79,Bridges!$A$9:$N$24,H$2,0)),0,VLOOKUP('Project Details by Yr - MASTER'!$B79,Bridges!$A$9:$N$24,H$2,0))+IF(ISNA(VLOOKUP('Project Details by Yr - MASTER'!$B79,'Parking Lots &amp; Playgrounds'!$A$9:$N$33,H$2,0)),0,VLOOKUP('Project Details by Yr - MASTER'!$B79,'Parking Lots &amp; Playgrounds'!$A$9:$N$33,H$2,0))+IF(ISNA(VLOOKUP($B79,Vehicles!$B$9:$O$50,H$2,0)),0,VLOOKUP($B79,Vehicles!$B$9:$O$50,H$2,0))</f>
        <v>0</v>
      </c>
      <c r="I79" s="8">
        <f>IF(ISNA(VLOOKUP($B79,'Other Capital Needs'!$C$51:$P$95,I$2,0)),0,VLOOKUP($B79,'Other Capital Needs'!$C$51:$P$95,I$2,0))+IF(ISNA(VLOOKUP('Project Details by Yr - MASTER'!$B79,'Public Grounds'!$A$11:$N$49,I$2,0)),0,VLOOKUP('Project Details by Yr - MASTER'!$B79,'Public Grounds'!$A$11:$N$49,I$2,0))+IF(ISNA(VLOOKUP('Project Details by Yr - MASTER'!$B79,'Public Buildings'!$A$10:$N$96,I$2,0)),0,VLOOKUP('Project Details by Yr - MASTER'!$B79,'Public Buildings'!$A$10:$N$96,I$2,0))+IF(ISNA(VLOOKUP('Project Details by Yr - MASTER'!$B79,Bridges!$A$9:$N$24,I$2,0)),0,VLOOKUP('Project Details by Yr - MASTER'!$B79,Bridges!$A$9:$N$24,I$2,0))+IF(ISNA(VLOOKUP('Project Details by Yr - MASTER'!$B79,'Parking Lots &amp; Playgrounds'!$A$9:$N$33,I$2,0)),0,VLOOKUP('Project Details by Yr - MASTER'!$B79,'Parking Lots &amp; Playgrounds'!$A$9:$N$33,I$2,0))+IF(ISNA(VLOOKUP($B79,Vehicles!$B$9:$O$50,I$2,0)),0,VLOOKUP($B79,Vehicles!$B$9:$O$50,I$2,0))</f>
        <v>0</v>
      </c>
      <c r="J79" s="8">
        <f>IF(ISNA(VLOOKUP($B79,'Other Capital Needs'!$C$51:$P$95,J$2,0)),0,VLOOKUP($B79,'Other Capital Needs'!$C$51:$P$95,J$2,0))+IF(ISNA(VLOOKUP('Project Details by Yr - MASTER'!$B79,'Public Grounds'!$A$11:$N$49,J$2,0)),0,VLOOKUP('Project Details by Yr - MASTER'!$B79,'Public Grounds'!$A$11:$N$49,J$2,0))+IF(ISNA(VLOOKUP('Project Details by Yr - MASTER'!$B79,'Public Buildings'!$A$10:$N$96,J$2,0)),0,VLOOKUP('Project Details by Yr - MASTER'!$B79,'Public Buildings'!$A$10:$N$96,J$2,0))+IF(ISNA(VLOOKUP('Project Details by Yr - MASTER'!$B79,Bridges!$A$9:$N$24,J$2,0)),0,VLOOKUP('Project Details by Yr - MASTER'!$B79,Bridges!$A$9:$N$24,J$2,0))+IF(ISNA(VLOOKUP('Project Details by Yr - MASTER'!$B79,'Parking Lots &amp; Playgrounds'!$A$9:$N$33,J$2,0)),0,VLOOKUP('Project Details by Yr - MASTER'!$B79,'Parking Lots &amp; Playgrounds'!$A$9:$N$33,J$2,0))+IF(ISNA(VLOOKUP($B79,Vehicles!$B$9:$O$50,J$2,0)),0,VLOOKUP($B79,Vehicles!$B$9:$O$50,J$2,0))</f>
        <v>0</v>
      </c>
      <c r="K79" s="8">
        <f>IF(ISNA(VLOOKUP($B79,'Other Capital Needs'!$C$51:$P$95,K$2,0)),0,VLOOKUP($B79,'Other Capital Needs'!$C$51:$P$95,K$2,0))+IF(ISNA(VLOOKUP('Project Details by Yr - MASTER'!$B79,'Public Grounds'!$A$11:$N$49,K$2,0)),0,VLOOKUP('Project Details by Yr - MASTER'!$B79,'Public Grounds'!$A$11:$N$49,K$2,0))+IF(ISNA(VLOOKUP('Project Details by Yr - MASTER'!$B79,'Public Buildings'!$A$10:$N$96,K$2,0)),0,VLOOKUP('Project Details by Yr - MASTER'!$B79,'Public Buildings'!$A$10:$N$96,K$2,0))+IF(ISNA(VLOOKUP('Project Details by Yr - MASTER'!$B79,Bridges!$A$9:$N$24,K$2,0)),0,VLOOKUP('Project Details by Yr - MASTER'!$B79,Bridges!$A$9:$N$24,K$2,0))+IF(ISNA(VLOOKUP('Project Details by Yr - MASTER'!$B79,'Parking Lots &amp; Playgrounds'!$A$9:$N$33,K$2,0)),0,VLOOKUP('Project Details by Yr - MASTER'!$B79,'Parking Lots &amp; Playgrounds'!$A$9:$N$33,K$2,0))+IF(ISNA(VLOOKUP($B79,Vehicles!$B$9:$O$50,K$2,0)),0,VLOOKUP($B79,Vehicles!$B$9:$O$50,K$2,0))</f>
        <v>0</v>
      </c>
    </row>
    <row r="80" spans="2:11" x14ac:dyDescent="0.25">
      <c r="B80" t="s">
        <v>17</v>
      </c>
      <c r="C80" s="26" t="s">
        <v>46</v>
      </c>
      <c r="D80" s="26" t="s">
        <v>272</v>
      </c>
      <c r="E80" s="1" t="s">
        <v>16</v>
      </c>
      <c r="G80" s="8">
        <f>IF(ISNA(VLOOKUP($B80,'Other Capital Needs'!$C$51:$P$95,G$2,0)),0,VLOOKUP($B80,'Other Capital Needs'!$C$51:$P$95,G$2,0))+IF(ISNA(VLOOKUP('Project Details by Yr - MASTER'!$B80,'Public Grounds'!$A$11:$N$49,G$2,0)),0,VLOOKUP('Project Details by Yr - MASTER'!$B80,'Public Grounds'!$A$11:$N$49,G$2,0))+IF(ISNA(VLOOKUP('Project Details by Yr - MASTER'!$B80,'Public Buildings'!$A$10:$N$96,G$2,0)),0,VLOOKUP('Project Details by Yr - MASTER'!$B80,'Public Buildings'!$A$10:$N$96,G$2,0))+IF(ISNA(VLOOKUP('Project Details by Yr - MASTER'!$B80,Bridges!$A$9:$N$24,G$2,0)),0,VLOOKUP('Project Details by Yr - MASTER'!$B80,Bridges!$A$9:$N$24,G$2,0))+IF(ISNA(VLOOKUP('Project Details by Yr - MASTER'!$B80,'Parking Lots &amp; Playgrounds'!$A$9:$N$33,G$2,0)),0,VLOOKUP('Project Details by Yr - MASTER'!$B80,'Parking Lots &amp; Playgrounds'!$A$9:$N$33,G$2,0))+IF(ISNA(VLOOKUP($B80,Vehicles!$B$9:$O$50,G$2,0)),0,VLOOKUP($B80,Vehicles!$B$9:$O$50,G$2,0))</f>
        <v>0</v>
      </c>
      <c r="H80" s="8">
        <f>IF(ISNA(VLOOKUP($B80,'Other Capital Needs'!$C$51:$P$95,H$2,0)),0,VLOOKUP($B80,'Other Capital Needs'!$C$51:$P$95,H$2,0))+IF(ISNA(VLOOKUP('Project Details by Yr - MASTER'!$B80,'Public Grounds'!$A$11:$N$49,H$2,0)),0,VLOOKUP('Project Details by Yr - MASTER'!$B80,'Public Grounds'!$A$11:$N$49,H$2,0))+IF(ISNA(VLOOKUP('Project Details by Yr - MASTER'!$B80,'Public Buildings'!$A$10:$N$96,H$2,0)),0,VLOOKUP('Project Details by Yr - MASTER'!$B80,'Public Buildings'!$A$10:$N$96,H$2,0))+IF(ISNA(VLOOKUP('Project Details by Yr - MASTER'!$B80,Bridges!$A$9:$N$24,H$2,0)),0,VLOOKUP('Project Details by Yr - MASTER'!$B80,Bridges!$A$9:$N$24,H$2,0))+IF(ISNA(VLOOKUP('Project Details by Yr - MASTER'!$B80,'Parking Lots &amp; Playgrounds'!$A$9:$N$33,H$2,0)),0,VLOOKUP('Project Details by Yr - MASTER'!$B80,'Parking Lots &amp; Playgrounds'!$A$9:$N$33,H$2,0))+IF(ISNA(VLOOKUP($B80,Vehicles!$B$9:$O$50,H$2,0)),0,VLOOKUP($B80,Vehicles!$B$9:$O$50,H$2,0))</f>
        <v>0</v>
      </c>
      <c r="I80" s="8">
        <f>IF(ISNA(VLOOKUP($B80,'Other Capital Needs'!$C$51:$P$95,I$2,0)),0,VLOOKUP($B80,'Other Capital Needs'!$C$51:$P$95,I$2,0))+IF(ISNA(VLOOKUP('Project Details by Yr - MASTER'!$B80,'Public Grounds'!$A$11:$N$49,I$2,0)),0,VLOOKUP('Project Details by Yr - MASTER'!$B80,'Public Grounds'!$A$11:$N$49,I$2,0))+IF(ISNA(VLOOKUP('Project Details by Yr - MASTER'!$B80,'Public Buildings'!$A$10:$N$96,I$2,0)),0,VLOOKUP('Project Details by Yr - MASTER'!$B80,'Public Buildings'!$A$10:$N$96,I$2,0))+IF(ISNA(VLOOKUP('Project Details by Yr - MASTER'!$B80,Bridges!$A$9:$N$24,I$2,0)),0,VLOOKUP('Project Details by Yr - MASTER'!$B80,Bridges!$A$9:$N$24,I$2,0))+IF(ISNA(VLOOKUP('Project Details by Yr - MASTER'!$B80,'Parking Lots &amp; Playgrounds'!$A$9:$N$33,I$2,0)),0,VLOOKUP('Project Details by Yr - MASTER'!$B80,'Parking Lots &amp; Playgrounds'!$A$9:$N$33,I$2,0))+IF(ISNA(VLOOKUP($B80,Vehicles!$B$9:$O$50,I$2,0)),0,VLOOKUP($B80,Vehicles!$B$9:$O$50,I$2,0))</f>
        <v>0</v>
      </c>
      <c r="J80" s="8">
        <f>IF(ISNA(VLOOKUP($B80,'Other Capital Needs'!$C$51:$P$95,J$2,0)),0,VLOOKUP($B80,'Other Capital Needs'!$C$51:$P$95,J$2,0))+IF(ISNA(VLOOKUP('Project Details by Yr - MASTER'!$B80,'Public Grounds'!$A$11:$N$49,J$2,0)),0,VLOOKUP('Project Details by Yr - MASTER'!$B80,'Public Grounds'!$A$11:$N$49,J$2,0))+IF(ISNA(VLOOKUP('Project Details by Yr - MASTER'!$B80,'Public Buildings'!$A$10:$N$96,J$2,0)),0,VLOOKUP('Project Details by Yr - MASTER'!$B80,'Public Buildings'!$A$10:$N$96,J$2,0))+IF(ISNA(VLOOKUP('Project Details by Yr - MASTER'!$B80,Bridges!$A$9:$N$24,J$2,0)),0,VLOOKUP('Project Details by Yr - MASTER'!$B80,Bridges!$A$9:$N$24,J$2,0))+IF(ISNA(VLOOKUP('Project Details by Yr - MASTER'!$B80,'Parking Lots &amp; Playgrounds'!$A$9:$N$33,J$2,0)),0,VLOOKUP('Project Details by Yr - MASTER'!$B80,'Parking Lots &amp; Playgrounds'!$A$9:$N$33,J$2,0))+IF(ISNA(VLOOKUP($B80,Vehicles!$B$9:$O$50,J$2,0)),0,VLOOKUP($B80,Vehicles!$B$9:$O$50,J$2,0))</f>
        <v>0</v>
      </c>
      <c r="K80" s="8">
        <f>IF(ISNA(VLOOKUP($B80,'Other Capital Needs'!$C$51:$P$95,K$2,0)),0,VLOOKUP($B80,'Other Capital Needs'!$C$51:$P$95,K$2,0))+IF(ISNA(VLOOKUP('Project Details by Yr - MASTER'!$B80,'Public Grounds'!$A$11:$N$49,K$2,0)),0,VLOOKUP('Project Details by Yr - MASTER'!$B80,'Public Grounds'!$A$11:$N$49,K$2,0))+IF(ISNA(VLOOKUP('Project Details by Yr - MASTER'!$B80,'Public Buildings'!$A$10:$N$96,K$2,0)),0,VLOOKUP('Project Details by Yr - MASTER'!$B80,'Public Buildings'!$A$10:$N$96,K$2,0))+IF(ISNA(VLOOKUP('Project Details by Yr - MASTER'!$B80,Bridges!$A$9:$N$24,K$2,0)),0,VLOOKUP('Project Details by Yr - MASTER'!$B80,Bridges!$A$9:$N$24,K$2,0))+IF(ISNA(VLOOKUP('Project Details by Yr - MASTER'!$B80,'Parking Lots &amp; Playgrounds'!$A$9:$N$33,K$2,0)),0,VLOOKUP('Project Details by Yr - MASTER'!$B80,'Parking Lots &amp; Playgrounds'!$A$9:$N$33,K$2,0))+IF(ISNA(VLOOKUP($B80,Vehicles!$B$9:$O$50,K$2,0)),0,VLOOKUP($B80,Vehicles!$B$9:$O$50,K$2,0))</f>
        <v>0</v>
      </c>
    </row>
    <row r="81" spans="2:11" x14ac:dyDescent="0.25">
      <c r="B81" t="s">
        <v>18</v>
      </c>
      <c r="C81" s="26" t="s">
        <v>46</v>
      </c>
      <c r="D81" s="26" t="s">
        <v>272</v>
      </c>
      <c r="E81" s="1" t="s">
        <v>19</v>
      </c>
      <c r="G81" s="8">
        <f>IF(ISNA(VLOOKUP($B81,'Other Capital Needs'!$C$51:$P$95,G$2,0)),0,VLOOKUP($B81,'Other Capital Needs'!$C$51:$P$95,G$2,0))+IF(ISNA(VLOOKUP('Project Details by Yr - MASTER'!$B81,'Public Grounds'!$A$11:$N$49,G$2,0)),0,VLOOKUP('Project Details by Yr - MASTER'!$B81,'Public Grounds'!$A$11:$N$49,G$2,0))+IF(ISNA(VLOOKUP('Project Details by Yr - MASTER'!$B81,'Public Buildings'!$A$10:$N$96,G$2,0)),0,VLOOKUP('Project Details by Yr - MASTER'!$B81,'Public Buildings'!$A$10:$N$96,G$2,0))+IF(ISNA(VLOOKUP('Project Details by Yr - MASTER'!$B81,Bridges!$A$9:$N$24,G$2,0)),0,VLOOKUP('Project Details by Yr - MASTER'!$B81,Bridges!$A$9:$N$24,G$2,0))+IF(ISNA(VLOOKUP('Project Details by Yr - MASTER'!$B81,'Parking Lots &amp; Playgrounds'!$A$9:$N$33,G$2,0)),0,VLOOKUP('Project Details by Yr - MASTER'!$B81,'Parking Lots &amp; Playgrounds'!$A$9:$N$33,G$2,0))+IF(ISNA(VLOOKUP($B81,Vehicles!$B$9:$O$50,G$2,0)),0,VLOOKUP($B81,Vehicles!$B$9:$O$50,G$2,0))</f>
        <v>0</v>
      </c>
      <c r="H81" s="8">
        <f>IF(ISNA(VLOOKUP($B81,'Other Capital Needs'!$C$51:$P$95,H$2,0)),0,VLOOKUP($B81,'Other Capital Needs'!$C$51:$P$95,H$2,0))+IF(ISNA(VLOOKUP('Project Details by Yr - MASTER'!$B81,'Public Grounds'!$A$11:$N$49,H$2,0)),0,VLOOKUP('Project Details by Yr - MASTER'!$B81,'Public Grounds'!$A$11:$N$49,H$2,0))+IF(ISNA(VLOOKUP('Project Details by Yr - MASTER'!$B81,'Public Buildings'!$A$10:$N$96,H$2,0)),0,VLOOKUP('Project Details by Yr - MASTER'!$B81,'Public Buildings'!$A$10:$N$96,H$2,0))+IF(ISNA(VLOOKUP('Project Details by Yr - MASTER'!$B81,Bridges!$A$9:$N$24,H$2,0)),0,VLOOKUP('Project Details by Yr - MASTER'!$B81,Bridges!$A$9:$N$24,H$2,0))+IF(ISNA(VLOOKUP('Project Details by Yr - MASTER'!$B81,'Parking Lots &amp; Playgrounds'!$A$9:$N$33,H$2,0)),0,VLOOKUP('Project Details by Yr - MASTER'!$B81,'Parking Lots &amp; Playgrounds'!$A$9:$N$33,H$2,0))+IF(ISNA(VLOOKUP($B81,Vehicles!$B$9:$O$50,H$2,0)),0,VLOOKUP($B81,Vehicles!$B$9:$O$50,H$2,0))</f>
        <v>0</v>
      </c>
      <c r="I81" s="8">
        <f>IF(ISNA(VLOOKUP($B81,'Other Capital Needs'!$C$51:$P$95,I$2,0)),0,VLOOKUP($B81,'Other Capital Needs'!$C$51:$P$95,I$2,0))+IF(ISNA(VLOOKUP('Project Details by Yr - MASTER'!$B81,'Public Grounds'!$A$11:$N$49,I$2,0)),0,VLOOKUP('Project Details by Yr - MASTER'!$B81,'Public Grounds'!$A$11:$N$49,I$2,0))+IF(ISNA(VLOOKUP('Project Details by Yr - MASTER'!$B81,'Public Buildings'!$A$10:$N$96,I$2,0)),0,VLOOKUP('Project Details by Yr - MASTER'!$B81,'Public Buildings'!$A$10:$N$96,I$2,0))+IF(ISNA(VLOOKUP('Project Details by Yr - MASTER'!$B81,Bridges!$A$9:$N$24,I$2,0)),0,VLOOKUP('Project Details by Yr - MASTER'!$B81,Bridges!$A$9:$N$24,I$2,0))+IF(ISNA(VLOOKUP('Project Details by Yr - MASTER'!$B81,'Parking Lots &amp; Playgrounds'!$A$9:$N$33,I$2,0)),0,VLOOKUP('Project Details by Yr - MASTER'!$B81,'Parking Lots &amp; Playgrounds'!$A$9:$N$33,I$2,0))+IF(ISNA(VLOOKUP($B81,Vehicles!$B$9:$O$50,I$2,0)),0,VLOOKUP($B81,Vehicles!$B$9:$O$50,I$2,0))</f>
        <v>0</v>
      </c>
      <c r="J81" s="8">
        <f>IF(ISNA(VLOOKUP($B81,'Other Capital Needs'!$C$51:$P$95,J$2,0)),0,VLOOKUP($B81,'Other Capital Needs'!$C$51:$P$95,J$2,0))+IF(ISNA(VLOOKUP('Project Details by Yr - MASTER'!$B81,'Public Grounds'!$A$11:$N$49,J$2,0)),0,VLOOKUP('Project Details by Yr - MASTER'!$B81,'Public Grounds'!$A$11:$N$49,J$2,0))+IF(ISNA(VLOOKUP('Project Details by Yr - MASTER'!$B81,'Public Buildings'!$A$10:$N$96,J$2,0)),0,VLOOKUP('Project Details by Yr - MASTER'!$B81,'Public Buildings'!$A$10:$N$96,J$2,0))+IF(ISNA(VLOOKUP('Project Details by Yr - MASTER'!$B81,Bridges!$A$9:$N$24,J$2,0)),0,VLOOKUP('Project Details by Yr - MASTER'!$B81,Bridges!$A$9:$N$24,J$2,0))+IF(ISNA(VLOOKUP('Project Details by Yr - MASTER'!$B81,'Parking Lots &amp; Playgrounds'!$A$9:$N$33,J$2,0)),0,VLOOKUP('Project Details by Yr - MASTER'!$B81,'Parking Lots &amp; Playgrounds'!$A$9:$N$33,J$2,0))+IF(ISNA(VLOOKUP($B81,Vehicles!$B$9:$O$50,J$2,0)),0,VLOOKUP($B81,Vehicles!$B$9:$O$50,J$2,0))</f>
        <v>0</v>
      </c>
      <c r="K81" s="8">
        <f>IF(ISNA(VLOOKUP($B81,'Other Capital Needs'!$C$51:$P$95,K$2,0)),0,VLOOKUP($B81,'Other Capital Needs'!$C$51:$P$95,K$2,0))+IF(ISNA(VLOOKUP('Project Details by Yr - MASTER'!$B81,'Public Grounds'!$A$11:$N$49,K$2,0)),0,VLOOKUP('Project Details by Yr - MASTER'!$B81,'Public Grounds'!$A$11:$N$49,K$2,0))+IF(ISNA(VLOOKUP('Project Details by Yr - MASTER'!$B81,'Public Buildings'!$A$10:$N$96,K$2,0)),0,VLOOKUP('Project Details by Yr - MASTER'!$B81,'Public Buildings'!$A$10:$N$96,K$2,0))+IF(ISNA(VLOOKUP('Project Details by Yr - MASTER'!$B81,Bridges!$A$9:$N$24,K$2,0)),0,VLOOKUP('Project Details by Yr - MASTER'!$B81,Bridges!$A$9:$N$24,K$2,0))+IF(ISNA(VLOOKUP('Project Details by Yr - MASTER'!$B81,'Parking Lots &amp; Playgrounds'!$A$9:$N$33,K$2,0)),0,VLOOKUP('Project Details by Yr - MASTER'!$B81,'Parking Lots &amp; Playgrounds'!$A$9:$N$33,K$2,0))+IF(ISNA(VLOOKUP($B81,Vehicles!$B$9:$O$50,K$2,0)),0,VLOOKUP($B81,Vehicles!$B$9:$O$50,K$2,0))</f>
        <v>0</v>
      </c>
    </row>
    <row r="82" spans="2:11" x14ac:dyDescent="0.25">
      <c r="B82" t="s">
        <v>211</v>
      </c>
      <c r="C82" t="s">
        <v>47</v>
      </c>
      <c r="D82" t="s">
        <v>272</v>
      </c>
      <c r="E82" s="1" t="s">
        <v>38</v>
      </c>
      <c r="G82" s="8">
        <f>IF(ISNA(VLOOKUP($B82,'Other Capital Needs'!$C$51:$P$95,G$2,0)),0,VLOOKUP($B82,'Other Capital Needs'!$C$51:$P$95,G$2,0))+IF(ISNA(VLOOKUP('Project Details by Yr - MASTER'!$B82,'Public Grounds'!$A$11:$N$49,G$2,0)),0,VLOOKUP('Project Details by Yr - MASTER'!$B82,'Public Grounds'!$A$11:$N$49,G$2,0))+IF(ISNA(VLOOKUP('Project Details by Yr - MASTER'!$B82,'Public Buildings'!$A$10:$N$96,G$2,0)),0,VLOOKUP('Project Details by Yr - MASTER'!$B82,'Public Buildings'!$A$10:$N$96,G$2,0))+IF(ISNA(VLOOKUP('Project Details by Yr - MASTER'!$B82,Bridges!$A$9:$N$24,G$2,0)),0,VLOOKUP('Project Details by Yr - MASTER'!$B82,Bridges!$A$9:$N$24,G$2,0))+IF(ISNA(VLOOKUP('Project Details by Yr - MASTER'!$B82,'Parking Lots &amp; Playgrounds'!$A$9:$N$33,G$2,0)),0,VLOOKUP('Project Details by Yr - MASTER'!$B82,'Parking Lots &amp; Playgrounds'!$A$9:$N$33,G$2,0))+IF(ISNA(VLOOKUP($B82,Vehicles!$B$9:$O$50,G$2,0)),0,VLOOKUP($B82,Vehicles!$B$9:$O$50,G$2,0))</f>
        <v>0</v>
      </c>
      <c r="H82" s="8">
        <f>IF(ISNA(VLOOKUP($B82,'Other Capital Needs'!$C$51:$P$95,H$2,0)),0,VLOOKUP($B82,'Other Capital Needs'!$C$51:$P$95,H$2,0))+IF(ISNA(VLOOKUP('Project Details by Yr - MASTER'!$B82,'Public Grounds'!$A$11:$N$49,H$2,0)),0,VLOOKUP('Project Details by Yr - MASTER'!$B82,'Public Grounds'!$A$11:$N$49,H$2,0))+IF(ISNA(VLOOKUP('Project Details by Yr - MASTER'!$B82,'Public Buildings'!$A$10:$N$96,H$2,0)),0,VLOOKUP('Project Details by Yr - MASTER'!$B82,'Public Buildings'!$A$10:$N$96,H$2,0))+IF(ISNA(VLOOKUP('Project Details by Yr - MASTER'!$B82,Bridges!$A$9:$N$24,H$2,0)),0,VLOOKUP('Project Details by Yr - MASTER'!$B82,Bridges!$A$9:$N$24,H$2,0))+IF(ISNA(VLOOKUP('Project Details by Yr - MASTER'!$B82,'Parking Lots &amp; Playgrounds'!$A$9:$N$33,H$2,0)),0,VLOOKUP('Project Details by Yr - MASTER'!$B82,'Parking Lots &amp; Playgrounds'!$A$9:$N$33,H$2,0))+IF(ISNA(VLOOKUP($B82,Vehicles!$B$9:$O$50,H$2,0)),0,VLOOKUP($B82,Vehicles!$B$9:$O$50,H$2,0))</f>
        <v>0</v>
      </c>
      <c r="I82" s="8">
        <f>IF(ISNA(VLOOKUP($B82,'Other Capital Needs'!$C$51:$P$95,I$2,0)),0,VLOOKUP($B82,'Other Capital Needs'!$C$51:$P$95,I$2,0))+IF(ISNA(VLOOKUP('Project Details by Yr - MASTER'!$B82,'Public Grounds'!$A$11:$N$49,I$2,0)),0,VLOOKUP('Project Details by Yr - MASTER'!$B82,'Public Grounds'!$A$11:$N$49,I$2,0))+IF(ISNA(VLOOKUP('Project Details by Yr - MASTER'!$B82,'Public Buildings'!$A$10:$N$96,I$2,0)),0,VLOOKUP('Project Details by Yr - MASTER'!$B82,'Public Buildings'!$A$10:$N$96,I$2,0))+IF(ISNA(VLOOKUP('Project Details by Yr - MASTER'!$B82,Bridges!$A$9:$N$24,I$2,0)),0,VLOOKUP('Project Details by Yr - MASTER'!$B82,Bridges!$A$9:$N$24,I$2,0))+IF(ISNA(VLOOKUP('Project Details by Yr - MASTER'!$B82,'Parking Lots &amp; Playgrounds'!$A$9:$N$33,I$2,0)),0,VLOOKUP('Project Details by Yr - MASTER'!$B82,'Parking Lots &amp; Playgrounds'!$A$9:$N$33,I$2,0))+IF(ISNA(VLOOKUP($B82,Vehicles!$B$9:$O$50,I$2,0)),0,VLOOKUP($B82,Vehicles!$B$9:$O$50,I$2,0))</f>
        <v>0</v>
      </c>
      <c r="J82" s="8">
        <f>IF(ISNA(VLOOKUP($B82,'Other Capital Needs'!$C$51:$P$95,J$2,0)),0,VLOOKUP($B82,'Other Capital Needs'!$C$51:$P$95,J$2,0))+IF(ISNA(VLOOKUP('Project Details by Yr - MASTER'!$B82,'Public Grounds'!$A$11:$N$49,J$2,0)),0,VLOOKUP('Project Details by Yr - MASTER'!$B82,'Public Grounds'!$A$11:$N$49,J$2,0))+IF(ISNA(VLOOKUP('Project Details by Yr - MASTER'!$B82,'Public Buildings'!$A$10:$N$96,J$2,0)),0,VLOOKUP('Project Details by Yr - MASTER'!$B82,'Public Buildings'!$A$10:$N$96,J$2,0))+IF(ISNA(VLOOKUP('Project Details by Yr - MASTER'!$B82,Bridges!$A$9:$N$24,J$2,0)),0,VLOOKUP('Project Details by Yr - MASTER'!$B82,Bridges!$A$9:$N$24,J$2,0))+IF(ISNA(VLOOKUP('Project Details by Yr - MASTER'!$B82,'Parking Lots &amp; Playgrounds'!$A$9:$N$33,J$2,0)),0,VLOOKUP('Project Details by Yr - MASTER'!$B82,'Parking Lots &amp; Playgrounds'!$A$9:$N$33,J$2,0))+IF(ISNA(VLOOKUP($B82,Vehicles!$B$9:$O$50,J$2,0)),0,VLOOKUP($B82,Vehicles!$B$9:$O$50,J$2,0))</f>
        <v>0</v>
      </c>
      <c r="K82" s="8">
        <f>IF(ISNA(VLOOKUP($B82,'Other Capital Needs'!$C$51:$P$95,K$2,0)),0,VLOOKUP($B82,'Other Capital Needs'!$C$51:$P$95,K$2,0))+IF(ISNA(VLOOKUP('Project Details by Yr - MASTER'!$B82,'Public Grounds'!$A$11:$N$49,K$2,0)),0,VLOOKUP('Project Details by Yr - MASTER'!$B82,'Public Grounds'!$A$11:$N$49,K$2,0))+IF(ISNA(VLOOKUP('Project Details by Yr - MASTER'!$B82,'Public Buildings'!$A$10:$N$96,K$2,0)),0,VLOOKUP('Project Details by Yr - MASTER'!$B82,'Public Buildings'!$A$10:$N$96,K$2,0))+IF(ISNA(VLOOKUP('Project Details by Yr - MASTER'!$B82,Bridges!$A$9:$N$24,K$2,0)),0,VLOOKUP('Project Details by Yr - MASTER'!$B82,Bridges!$A$9:$N$24,K$2,0))+IF(ISNA(VLOOKUP('Project Details by Yr - MASTER'!$B82,'Parking Lots &amp; Playgrounds'!$A$9:$N$33,K$2,0)),0,VLOOKUP('Project Details by Yr - MASTER'!$B82,'Parking Lots &amp; Playgrounds'!$A$9:$N$33,K$2,0))+IF(ISNA(VLOOKUP($B82,Vehicles!$B$9:$O$50,K$2,0)),0,VLOOKUP($B82,Vehicles!$B$9:$O$50,K$2,0))</f>
        <v>0</v>
      </c>
    </row>
    <row r="83" spans="2:11" x14ac:dyDescent="0.25">
      <c r="B83" t="s">
        <v>212</v>
      </c>
      <c r="C83" t="s">
        <v>47</v>
      </c>
      <c r="D83" t="s">
        <v>272</v>
      </c>
      <c r="E83" s="1" t="s">
        <v>16</v>
      </c>
      <c r="G83" s="8">
        <f>IF(ISNA(VLOOKUP($B83,'Other Capital Needs'!$C$51:$P$95,G$2,0)),0,VLOOKUP($B83,'Other Capital Needs'!$C$51:$P$95,G$2,0))+IF(ISNA(VLOOKUP('Project Details by Yr - MASTER'!$B83,'Public Grounds'!$A$11:$N$49,G$2,0)),0,VLOOKUP('Project Details by Yr - MASTER'!$B83,'Public Grounds'!$A$11:$N$49,G$2,0))+IF(ISNA(VLOOKUP('Project Details by Yr - MASTER'!$B83,'Public Buildings'!$A$10:$N$96,G$2,0)),0,VLOOKUP('Project Details by Yr - MASTER'!$B83,'Public Buildings'!$A$10:$N$96,G$2,0))+IF(ISNA(VLOOKUP('Project Details by Yr - MASTER'!$B83,Bridges!$A$9:$N$24,G$2,0)),0,VLOOKUP('Project Details by Yr - MASTER'!$B83,Bridges!$A$9:$N$24,G$2,0))+IF(ISNA(VLOOKUP('Project Details by Yr - MASTER'!$B83,'Parking Lots &amp; Playgrounds'!$A$9:$N$33,G$2,0)),0,VLOOKUP('Project Details by Yr - MASTER'!$B83,'Parking Lots &amp; Playgrounds'!$A$9:$N$33,G$2,0))+IF(ISNA(VLOOKUP($B83,Vehicles!$B$9:$O$50,G$2,0)),0,VLOOKUP($B83,Vehicles!$B$9:$O$50,G$2,0))</f>
        <v>0</v>
      </c>
      <c r="H83" s="8">
        <f>IF(ISNA(VLOOKUP($B83,'Other Capital Needs'!$C$51:$P$95,H$2,0)),0,VLOOKUP($B83,'Other Capital Needs'!$C$51:$P$95,H$2,0))+IF(ISNA(VLOOKUP('Project Details by Yr - MASTER'!$B83,'Public Grounds'!$A$11:$N$49,H$2,0)),0,VLOOKUP('Project Details by Yr - MASTER'!$B83,'Public Grounds'!$A$11:$N$49,H$2,0))+IF(ISNA(VLOOKUP('Project Details by Yr - MASTER'!$B83,'Public Buildings'!$A$10:$N$96,H$2,0)),0,VLOOKUP('Project Details by Yr - MASTER'!$B83,'Public Buildings'!$A$10:$N$96,H$2,0))+IF(ISNA(VLOOKUP('Project Details by Yr - MASTER'!$B83,Bridges!$A$9:$N$24,H$2,0)),0,VLOOKUP('Project Details by Yr - MASTER'!$B83,Bridges!$A$9:$N$24,H$2,0))+IF(ISNA(VLOOKUP('Project Details by Yr - MASTER'!$B83,'Parking Lots &amp; Playgrounds'!$A$9:$N$33,H$2,0)),0,VLOOKUP('Project Details by Yr - MASTER'!$B83,'Parking Lots &amp; Playgrounds'!$A$9:$N$33,H$2,0))+IF(ISNA(VLOOKUP($B83,Vehicles!$B$9:$O$50,H$2,0)),0,VLOOKUP($B83,Vehicles!$B$9:$O$50,H$2,0))</f>
        <v>35000</v>
      </c>
      <c r="I83" s="8">
        <f>IF(ISNA(VLOOKUP($B83,'Other Capital Needs'!$C$51:$P$95,I$2,0)),0,VLOOKUP($B83,'Other Capital Needs'!$C$51:$P$95,I$2,0))+IF(ISNA(VLOOKUP('Project Details by Yr - MASTER'!$B83,'Public Grounds'!$A$11:$N$49,I$2,0)),0,VLOOKUP('Project Details by Yr - MASTER'!$B83,'Public Grounds'!$A$11:$N$49,I$2,0))+IF(ISNA(VLOOKUP('Project Details by Yr - MASTER'!$B83,'Public Buildings'!$A$10:$N$96,I$2,0)),0,VLOOKUP('Project Details by Yr - MASTER'!$B83,'Public Buildings'!$A$10:$N$96,I$2,0))+IF(ISNA(VLOOKUP('Project Details by Yr - MASTER'!$B83,Bridges!$A$9:$N$24,I$2,0)),0,VLOOKUP('Project Details by Yr - MASTER'!$B83,Bridges!$A$9:$N$24,I$2,0))+IF(ISNA(VLOOKUP('Project Details by Yr - MASTER'!$B83,'Parking Lots &amp; Playgrounds'!$A$9:$N$33,I$2,0)),0,VLOOKUP('Project Details by Yr - MASTER'!$B83,'Parking Lots &amp; Playgrounds'!$A$9:$N$33,I$2,0))+IF(ISNA(VLOOKUP($B83,Vehicles!$B$9:$O$50,I$2,0)),0,VLOOKUP($B83,Vehicles!$B$9:$O$50,I$2,0))</f>
        <v>0</v>
      </c>
      <c r="J83" s="8">
        <f>IF(ISNA(VLOOKUP($B83,'Other Capital Needs'!$C$51:$P$95,J$2,0)),0,VLOOKUP($B83,'Other Capital Needs'!$C$51:$P$95,J$2,0))+IF(ISNA(VLOOKUP('Project Details by Yr - MASTER'!$B83,'Public Grounds'!$A$11:$N$49,J$2,0)),0,VLOOKUP('Project Details by Yr - MASTER'!$B83,'Public Grounds'!$A$11:$N$49,J$2,0))+IF(ISNA(VLOOKUP('Project Details by Yr - MASTER'!$B83,'Public Buildings'!$A$10:$N$96,J$2,0)),0,VLOOKUP('Project Details by Yr - MASTER'!$B83,'Public Buildings'!$A$10:$N$96,J$2,0))+IF(ISNA(VLOOKUP('Project Details by Yr - MASTER'!$B83,Bridges!$A$9:$N$24,J$2,0)),0,VLOOKUP('Project Details by Yr - MASTER'!$B83,Bridges!$A$9:$N$24,J$2,0))+IF(ISNA(VLOOKUP('Project Details by Yr - MASTER'!$B83,'Parking Lots &amp; Playgrounds'!$A$9:$N$33,J$2,0)),0,VLOOKUP('Project Details by Yr - MASTER'!$B83,'Parking Lots &amp; Playgrounds'!$A$9:$N$33,J$2,0))+IF(ISNA(VLOOKUP($B83,Vehicles!$B$9:$O$50,J$2,0)),0,VLOOKUP($B83,Vehicles!$B$9:$O$50,J$2,0))</f>
        <v>0</v>
      </c>
      <c r="K83" s="8">
        <f>IF(ISNA(VLOOKUP($B83,'Other Capital Needs'!$C$51:$P$95,K$2,0)),0,VLOOKUP($B83,'Other Capital Needs'!$C$51:$P$95,K$2,0))+IF(ISNA(VLOOKUP('Project Details by Yr - MASTER'!$B83,'Public Grounds'!$A$11:$N$49,K$2,0)),0,VLOOKUP('Project Details by Yr - MASTER'!$B83,'Public Grounds'!$A$11:$N$49,K$2,0))+IF(ISNA(VLOOKUP('Project Details by Yr - MASTER'!$B83,'Public Buildings'!$A$10:$N$96,K$2,0)),0,VLOOKUP('Project Details by Yr - MASTER'!$B83,'Public Buildings'!$A$10:$N$96,K$2,0))+IF(ISNA(VLOOKUP('Project Details by Yr - MASTER'!$B83,Bridges!$A$9:$N$24,K$2,0)),0,VLOOKUP('Project Details by Yr - MASTER'!$B83,Bridges!$A$9:$N$24,K$2,0))+IF(ISNA(VLOOKUP('Project Details by Yr - MASTER'!$B83,'Parking Lots &amp; Playgrounds'!$A$9:$N$33,K$2,0)),0,VLOOKUP('Project Details by Yr - MASTER'!$B83,'Parking Lots &amp; Playgrounds'!$A$9:$N$33,K$2,0))+IF(ISNA(VLOOKUP($B83,Vehicles!$B$9:$O$50,K$2,0)),0,VLOOKUP($B83,Vehicles!$B$9:$O$50,K$2,0))</f>
        <v>0</v>
      </c>
    </row>
    <row r="84" spans="2:11" x14ac:dyDescent="0.25">
      <c r="B84" t="s">
        <v>264</v>
      </c>
      <c r="C84" t="s">
        <v>47</v>
      </c>
      <c r="D84" t="s">
        <v>272</v>
      </c>
      <c r="E84" s="1" t="s">
        <v>13</v>
      </c>
      <c r="G84" s="8">
        <f>IF(ISNA(VLOOKUP($B84,'Other Capital Needs'!$C$51:$P$95,G$2,0)),0,VLOOKUP($B84,'Other Capital Needs'!$C$51:$P$95,G$2,0))+IF(ISNA(VLOOKUP('Project Details by Yr - MASTER'!$B84,'Public Grounds'!$A$11:$N$49,G$2,0)),0,VLOOKUP('Project Details by Yr - MASTER'!$B84,'Public Grounds'!$A$11:$N$49,G$2,0))+IF(ISNA(VLOOKUP('Project Details by Yr - MASTER'!$B84,'Public Buildings'!$A$10:$N$96,G$2,0)),0,VLOOKUP('Project Details by Yr - MASTER'!$B84,'Public Buildings'!$A$10:$N$96,G$2,0))+IF(ISNA(VLOOKUP('Project Details by Yr - MASTER'!$B84,Bridges!$A$9:$N$24,G$2,0)),0,VLOOKUP('Project Details by Yr - MASTER'!$B84,Bridges!$A$9:$N$24,G$2,0))+IF(ISNA(VLOOKUP('Project Details by Yr - MASTER'!$B84,'Parking Lots &amp; Playgrounds'!$A$9:$N$33,G$2,0)),0,VLOOKUP('Project Details by Yr - MASTER'!$B84,'Parking Lots &amp; Playgrounds'!$A$9:$N$33,G$2,0))+IF(ISNA(VLOOKUP($B84,Vehicles!$B$9:$O$50,G$2,0)),0,VLOOKUP($B84,Vehicles!$B$9:$O$50,G$2,0))</f>
        <v>0</v>
      </c>
      <c r="H84" s="8">
        <f>IF(ISNA(VLOOKUP($B84,'Other Capital Needs'!$C$51:$P$95,H$2,0)),0,VLOOKUP($B84,'Other Capital Needs'!$C$51:$P$95,H$2,0))+IF(ISNA(VLOOKUP('Project Details by Yr - MASTER'!$B84,'Public Grounds'!$A$11:$N$49,H$2,0)),0,VLOOKUP('Project Details by Yr - MASTER'!$B84,'Public Grounds'!$A$11:$N$49,H$2,0))+IF(ISNA(VLOOKUP('Project Details by Yr - MASTER'!$B84,'Public Buildings'!$A$10:$N$96,H$2,0)),0,VLOOKUP('Project Details by Yr - MASTER'!$B84,'Public Buildings'!$A$10:$N$96,H$2,0))+IF(ISNA(VLOOKUP('Project Details by Yr - MASTER'!$B84,Bridges!$A$9:$N$24,H$2,0)),0,VLOOKUP('Project Details by Yr - MASTER'!$B84,Bridges!$A$9:$N$24,H$2,0))+IF(ISNA(VLOOKUP('Project Details by Yr - MASTER'!$B84,'Parking Lots &amp; Playgrounds'!$A$9:$N$33,H$2,0)),0,VLOOKUP('Project Details by Yr - MASTER'!$B84,'Parking Lots &amp; Playgrounds'!$A$9:$N$33,H$2,0))+IF(ISNA(VLOOKUP($B84,Vehicles!$B$9:$O$50,H$2,0)),0,VLOOKUP($B84,Vehicles!$B$9:$O$50,H$2,0))</f>
        <v>0</v>
      </c>
      <c r="I84" s="8">
        <f>IF(ISNA(VLOOKUP($B84,'Other Capital Needs'!$C$51:$P$95,I$2,0)),0,VLOOKUP($B84,'Other Capital Needs'!$C$51:$P$95,I$2,0))+IF(ISNA(VLOOKUP('Project Details by Yr - MASTER'!$B84,'Public Grounds'!$A$11:$N$49,I$2,0)),0,VLOOKUP('Project Details by Yr - MASTER'!$B84,'Public Grounds'!$A$11:$N$49,I$2,0))+IF(ISNA(VLOOKUP('Project Details by Yr - MASTER'!$B84,'Public Buildings'!$A$10:$N$96,I$2,0)),0,VLOOKUP('Project Details by Yr - MASTER'!$B84,'Public Buildings'!$A$10:$N$96,I$2,0))+IF(ISNA(VLOOKUP('Project Details by Yr - MASTER'!$B84,Bridges!$A$9:$N$24,I$2,0)),0,VLOOKUP('Project Details by Yr - MASTER'!$B84,Bridges!$A$9:$N$24,I$2,0))+IF(ISNA(VLOOKUP('Project Details by Yr - MASTER'!$B84,'Parking Lots &amp; Playgrounds'!$A$9:$N$33,I$2,0)),0,VLOOKUP('Project Details by Yr - MASTER'!$B84,'Parking Lots &amp; Playgrounds'!$A$9:$N$33,I$2,0))+IF(ISNA(VLOOKUP($B84,Vehicles!$B$9:$O$50,I$2,0)),0,VLOOKUP($B84,Vehicles!$B$9:$O$50,I$2,0))</f>
        <v>450000</v>
      </c>
      <c r="J84" s="8">
        <f>IF(ISNA(VLOOKUP($B84,'Other Capital Needs'!$C$51:$P$95,J$2,0)),0,VLOOKUP($B84,'Other Capital Needs'!$C$51:$P$95,J$2,0))+IF(ISNA(VLOOKUP('Project Details by Yr - MASTER'!$B84,'Public Grounds'!$A$11:$N$49,J$2,0)),0,VLOOKUP('Project Details by Yr - MASTER'!$B84,'Public Grounds'!$A$11:$N$49,J$2,0))+IF(ISNA(VLOOKUP('Project Details by Yr - MASTER'!$B84,'Public Buildings'!$A$10:$N$96,J$2,0)),0,VLOOKUP('Project Details by Yr - MASTER'!$B84,'Public Buildings'!$A$10:$N$96,J$2,0))+IF(ISNA(VLOOKUP('Project Details by Yr - MASTER'!$B84,Bridges!$A$9:$N$24,J$2,0)),0,VLOOKUP('Project Details by Yr - MASTER'!$B84,Bridges!$A$9:$N$24,J$2,0))+IF(ISNA(VLOOKUP('Project Details by Yr - MASTER'!$B84,'Parking Lots &amp; Playgrounds'!$A$9:$N$33,J$2,0)),0,VLOOKUP('Project Details by Yr - MASTER'!$B84,'Parking Lots &amp; Playgrounds'!$A$9:$N$33,J$2,0))+IF(ISNA(VLOOKUP($B84,Vehicles!$B$9:$O$50,J$2,0)),0,VLOOKUP($B84,Vehicles!$B$9:$O$50,J$2,0))</f>
        <v>0</v>
      </c>
      <c r="K84" s="8">
        <f>IF(ISNA(VLOOKUP($B84,'Other Capital Needs'!$C$51:$P$95,K$2,0)),0,VLOOKUP($B84,'Other Capital Needs'!$C$51:$P$95,K$2,0))+IF(ISNA(VLOOKUP('Project Details by Yr - MASTER'!$B84,'Public Grounds'!$A$11:$N$49,K$2,0)),0,VLOOKUP('Project Details by Yr - MASTER'!$B84,'Public Grounds'!$A$11:$N$49,K$2,0))+IF(ISNA(VLOOKUP('Project Details by Yr - MASTER'!$B84,'Public Buildings'!$A$10:$N$96,K$2,0)),0,VLOOKUP('Project Details by Yr - MASTER'!$B84,'Public Buildings'!$A$10:$N$96,K$2,0))+IF(ISNA(VLOOKUP('Project Details by Yr - MASTER'!$B84,Bridges!$A$9:$N$24,K$2,0)),0,VLOOKUP('Project Details by Yr - MASTER'!$B84,Bridges!$A$9:$N$24,K$2,0))+IF(ISNA(VLOOKUP('Project Details by Yr - MASTER'!$B84,'Parking Lots &amp; Playgrounds'!$A$9:$N$33,K$2,0)),0,VLOOKUP('Project Details by Yr - MASTER'!$B84,'Parking Lots &amp; Playgrounds'!$A$9:$N$33,K$2,0))+IF(ISNA(VLOOKUP($B84,Vehicles!$B$9:$O$50,K$2,0)),0,VLOOKUP($B84,Vehicles!$B$9:$O$50,K$2,0))</f>
        <v>0</v>
      </c>
    </row>
    <row r="85" spans="2:11" x14ac:dyDescent="0.25">
      <c r="B85" t="s">
        <v>265</v>
      </c>
      <c r="C85" t="s">
        <v>47</v>
      </c>
      <c r="D85" t="s">
        <v>272</v>
      </c>
      <c r="E85" s="1" t="s">
        <v>13</v>
      </c>
      <c r="G85" s="8">
        <f>IF(ISNA(VLOOKUP($B85,'Other Capital Needs'!$C$51:$P$95,G$2,0)),0,VLOOKUP($B85,'Other Capital Needs'!$C$51:$P$95,G$2,0))+IF(ISNA(VLOOKUP('Project Details by Yr - MASTER'!$B85,'Public Grounds'!$A$11:$N$49,G$2,0)),0,VLOOKUP('Project Details by Yr - MASTER'!$B85,'Public Grounds'!$A$11:$N$49,G$2,0))+IF(ISNA(VLOOKUP('Project Details by Yr - MASTER'!$B85,'Public Buildings'!$A$10:$N$96,G$2,0)),0,VLOOKUP('Project Details by Yr - MASTER'!$B85,'Public Buildings'!$A$10:$N$96,G$2,0))+IF(ISNA(VLOOKUP('Project Details by Yr - MASTER'!$B85,Bridges!$A$9:$N$24,G$2,0)),0,VLOOKUP('Project Details by Yr - MASTER'!$B85,Bridges!$A$9:$N$24,G$2,0))+IF(ISNA(VLOOKUP('Project Details by Yr - MASTER'!$B85,'Parking Lots &amp; Playgrounds'!$A$9:$N$33,G$2,0)),0,VLOOKUP('Project Details by Yr - MASTER'!$B85,'Parking Lots &amp; Playgrounds'!$A$9:$N$33,G$2,0))+IF(ISNA(VLOOKUP($B85,Vehicles!$B$9:$O$50,G$2,0)),0,VLOOKUP($B85,Vehicles!$B$9:$O$50,G$2,0))</f>
        <v>0</v>
      </c>
      <c r="H85" s="8">
        <f>IF(ISNA(VLOOKUP($B85,'Other Capital Needs'!$C$51:$P$95,H$2,0)),0,VLOOKUP($B85,'Other Capital Needs'!$C$51:$P$95,H$2,0))+IF(ISNA(VLOOKUP('Project Details by Yr - MASTER'!$B85,'Public Grounds'!$A$11:$N$49,H$2,0)),0,VLOOKUP('Project Details by Yr - MASTER'!$B85,'Public Grounds'!$A$11:$N$49,H$2,0))+IF(ISNA(VLOOKUP('Project Details by Yr - MASTER'!$B85,'Public Buildings'!$A$10:$N$96,H$2,0)),0,VLOOKUP('Project Details by Yr - MASTER'!$B85,'Public Buildings'!$A$10:$N$96,H$2,0))+IF(ISNA(VLOOKUP('Project Details by Yr - MASTER'!$B85,Bridges!$A$9:$N$24,H$2,0)),0,VLOOKUP('Project Details by Yr - MASTER'!$B85,Bridges!$A$9:$N$24,H$2,0))+IF(ISNA(VLOOKUP('Project Details by Yr - MASTER'!$B85,'Parking Lots &amp; Playgrounds'!$A$9:$N$33,H$2,0)),0,VLOOKUP('Project Details by Yr - MASTER'!$B85,'Parking Lots &amp; Playgrounds'!$A$9:$N$33,H$2,0))+IF(ISNA(VLOOKUP($B85,Vehicles!$B$9:$O$50,H$2,0)),0,VLOOKUP($B85,Vehicles!$B$9:$O$50,H$2,0))</f>
        <v>0</v>
      </c>
      <c r="I85" s="8">
        <f>IF(ISNA(VLOOKUP($B85,'Other Capital Needs'!$C$51:$P$95,I$2,0)),0,VLOOKUP($B85,'Other Capital Needs'!$C$51:$P$95,I$2,0))+IF(ISNA(VLOOKUP('Project Details by Yr - MASTER'!$B85,'Public Grounds'!$A$11:$N$49,I$2,0)),0,VLOOKUP('Project Details by Yr - MASTER'!$B85,'Public Grounds'!$A$11:$N$49,I$2,0))+IF(ISNA(VLOOKUP('Project Details by Yr - MASTER'!$B85,'Public Buildings'!$A$10:$N$96,I$2,0)),0,VLOOKUP('Project Details by Yr - MASTER'!$B85,'Public Buildings'!$A$10:$N$96,I$2,0))+IF(ISNA(VLOOKUP('Project Details by Yr - MASTER'!$B85,Bridges!$A$9:$N$24,I$2,0)),0,VLOOKUP('Project Details by Yr - MASTER'!$B85,Bridges!$A$9:$N$24,I$2,0))+IF(ISNA(VLOOKUP('Project Details by Yr - MASTER'!$B85,'Parking Lots &amp; Playgrounds'!$A$9:$N$33,I$2,0)),0,VLOOKUP('Project Details by Yr - MASTER'!$B85,'Parking Lots &amp; Playgrounds'!$A$9:$N$33,I$2,0))+IF(ISNA(VLOOKUP($B85,Vehicles!$B$9:$O$50,I$2,0)),0,VLOOKUP($B85,Vehicles!$B$9:$O$50,I$2,0))</f>
        <v>350000</v>
      </c>
      <c r="J85" s="8">
        <f>IF(ISNA(VLOOKUP($B85,'Other Capital Needs'!$C$51:$P$95,J$2,0)),0,VLOOKUP($B85,'Other Capital Needs'!$C$51:$P$95,J$2,0))+IF(ISNA(VLOOKUP('Project Details by Yr - MASTER'!$B85,'Public Grounds'!$A$11:$N$49,J$2,0)),0,VLOOKUP('Project Details by Yr - MASTER'!$B85,'Public Grounds'!$A$11:$N$49,J$2,0))+IF(ISNA(VLOOKUP('Project Details by Yr - MASTER'!$B85,'Public Buildings'!$A$10:$N$96,J$2,0)),0,VLOOKUP('Project Details by Yr - MASTER'!$B85,'Public Buildings'!$A$10:$N$96,J$2,0))+IF(ISNA(VLOOKUP('Project Details by Yr - MASTER'!$B85,Bridges!$A$9:$N$24,J$2,0)),0,VLOOKUP('Project Details by Yr - MASTER'!$B85,Bridges!$A$9:$N$24,J$2,0))+IF(ISNA(VLOOKUP('Project Details by Yr - MASTER'!$B85,'Parking Lots &amp; Playgrounds'!$A$9:$N$33,J$2,0)),0,VLOOKUP('Project Details by Yr - MASTER'!$B85,'Parking Lots &amp; Playgrounds'!$A$9:$N$33,J$2,0))+IF(ISNA(VLOOKUP($B85,Vehicles!$B$9:$O$50,J$2,0)),0,VLOOKUP($B85,Vehicles!$B$9:$O$50,J$2,0))</f>
        <v>0</v>
      </c>
      <c r="K85" s="8">
        <f>IF(ISNA(VLOOKUP($B85,'Other Capital Needs'!$C$51:$P$95,K$2,0)),0,VLOOKUP($B85,'Other Capital Needs'!$C$51:$P$95,K$2,0))+IF(ISNA(VLOOKUP('Project Details by Yr - MASTER'!$B85,'Public Grounds'!$A$11:$N$49,K$2,0)),0,VLOOKUP('Project Details by Yr - MASTER'!$B85,'Public Grounds'!$A$11:$N$49,K$2,0))+IF(ISNA(VLOOKUP('Project Details by Yr - MASTER'!$B85,'Public Buildings'!$A$10:$N$96,K$2,0)),0,VLOOKUP('Project Details by Yr - MASTER'!$B85,'Public Buildings'!$A$10:$N$96,K$2,0))+IF(ISNA(VLOOKUP('Project Details by Yr - MASTER'!$B85,Bridges!$A$9:$N$24,K$2,0)),0,VLOOKUP('Project Details by Yr - MASTER'!$B85,Bridges!$A$9:$N$24,K$2,0))+IF(ISNA(VLOOKUP('Project Details by Yr - MASTER'!$B85,'Parking Lots &amp; Playgrounds'!$A$9:$N$33,K$2,0)),0,VLOOKUP('Project Details by Yr - MASTER'!$B85,'Parking Lots &amp; Playgrounds'!$A$9:$N$33,K$2,0))+IF(ISNA(VLOOKUP($B85,Vehicles!$B$9:$O$50,K$2,0)),0,VLOOKUP($B85,Vehicles!$B$9:$O$50,K$2,0))</f>
        <v>0</v>
      </c>
    </row>
    <row r="86" spans="2:11" x14ac:dyDescent="0.25">
      <c r="B86" t="s">
        <v>213</v>
      </c>
      <c r="C86" t="s">
        <v>47</v>
      </c>
      <c r="D86" t="s">
        <v>272</v>
      </c>
      <c r="E86" s="1" t="s">
        <v>16</v>
      </c>
      <c r="G86" s="8">
        <f>IF(ISNA(VLOOKUP($B86,'Other Capital Needs'!$C$51:$P$95,G$2,0)),0,VLOOKUP($B86,'Other Capital Needs'!$C$51:$P$95,G$2,0))+IF(ISNA(VLOOKUP('Project Details by Yr - MASTER'!$B86,'Public Grounds'!$A$11:$N$49,G$2,0)),0,VLOOKUP('Project Details by Yr - MASTER'!$B86,'Public Grounds'!$A$11:$N$49,G$2,0))+IF(ISNA(VLOOKUP('Project Details by Yr - MASTER'!$B86,'Public Buildings'!$A$10:$N$96,G$2,0)),0,VLOOKUP('Project Details by Yr - MASTER'!$B86,'Public Buildings'!$A$10:$N$96,G$2,0))+IF(ISNA(VLOOKUP('Project Details by Yr - MASTER'!$B86,Bridges!$A$9:$N$24,G$2,0)),0,VLOOKUP('Project Details by Yr - MASTER'!$B86,Bridges!$A$9:$N$24,G$2,0))+IF(ISNA(VLOOKUP('Project Details by Yr - MASTER'!$B86,'Parking Lots &amp; Playgrounds'!$A$9:$N$33,G$2,0)),0,VLOOKUP('Project Details by Yr - MASTER'!$B86,'Parking Lots &amp; Playgrounds'!$A$9:$N$33,G$2,0))+IF(ISNA(VLOOKUP($B86,Vehicles!$B$9:$O$50,G$2,0)),0,VLOOKUP($B86,Vehicles!$B$9:$O$50,G$2,0))</f>
        <v>0</v>
      </c>
      <c r="H86" s="8">
        <f>IF(ISNA(VLOOKUP($B86,'Other Capital Needs'!$C$51:$P$95,H$2,0)),0,VLOOKUP($B86,'Other Capital Needs'!$C$51:$P$95,H$2,0))+IF(ISNA(VLOOKUP('Project Details by Yr - MASTER'!$B86,'Public Grounds'!$A$11:$N$49,H$2,0)),0,VLOOKUP('Project Details by Yr - MASTER'!$B86,'Public Grounds'!$A$11:$N$49,H$2,0))+IF(ISNA(VLOOKUP('Project Details by Yr - MASTER'!$B86,'Public Buildings'!$A$10:$N$96,H$2,0)),0,VLOOKUP('Project Details by Yr - MASTER'!$B86,'Public Buildings'!$A$10:$N$96,H$2,0))+IF(ISNA(VLOOKUP('Project Details by Yr - MASTER'!$B86,Bridges!$A$9:$N$24,H$2,0)),0,VLOOKUP('Project Details by Yr - MASTER'!$B86,Bridges!$A$9:$N$24,H$2,0))+IF(ISNA(VLOOKUP('Project Details by Yr - MASTER'!$B86,'Parking Lots &amp; Playgrounds'!$A$9:$N$33,H$2,0)),0,VLOOKUP('Project Details by Yr - MASTER'!$B86,'Parking Lots &amp; Playgrounds'!$A$9:$N$33,H$2,0))+IF(ISNA(VLOOKUP($B86,Vehicles!$B$9:$O$50,H$2,0)),0,VLOOKUP($B86,Vehicles!$B$9:$O$50,H$2,0))</f>
        <v>75000</v>
      </c>
      <c r="I86" s="8">
        <f>IF(ISNA(VLOOKUP($B86,'Other Capital Needs'!$C$51:$P$95,I$2,0)),0,VLOOKUP($B86,'Other Capital Needs'!$C$51:$P$95,I$2,0))+IF(ISNA(VLOOKUP('Project Details by Yr - MASTER'!$B86,'Public Grounds'!$A$11:$N$49,I$2,0)),0,VLOOKUP('Project Details by Yr - MASTER'!$B86,'Public Grounds'!$A$11:$N$49,I$2,0))+IF(ISNA(VLOOKUP('Project Details by Yr - MASTER'!$B86,'Public Buildings'!$A$10:$N$96,I$2,0)),0,VLOOKUP('Project Details by Yr - MASTER'!$B86,'Public Buildings'!$A$10:$N$96,I$2,0))+IF(ISNA(VLOOKUP('Project Details by Yr - MASTER'!$B86,Bridges!$A$9:$N$24,I$2,0)),0,VLOOKUP('Project Details by Yr - MASTER'!$B86,Bridges!$A$9:$N$24,I$2,0))+IF(ISNA(VLOOKUP('Project Details by Yr - MASTER'!$B86,'Parking Lots &amp; Playgrounds'!$A$9:$N$33,I$2,0)),0,VLOOKUP('Project Details by Yr - MASTER'!$B86,'Parking Lots &amp; Playgrounds'!$A$9:$N$33,I$2,0))+IF(ISNA(VLOOKUP($B86,Vehicles!$B$9:$O$50,I$2,0)),0,VLOOKUP($B86,Vehicles!$B$9:$O$50,I$2,0))</f>
        <v>0</v>
      </c>
      <c r="J86" s="8">
        <f>IF(ISNA(VLOOKUP($B86,'Other Capital Needs'!$C$51:$P$95,J$2,0)),0,VLOOKUP($B86,'Other Capital Needs'!$C$51:$P$95,J$2,0))+IF(ISNA(VLOOKUP('Project Details by Yr - MASTER'!$B86,'Public Grounds'!$A$11:$N$49,J$2,0)),0,VLOOKUP('Project Details by Yr - MASTER'!$B86,'Public Grounds'!$A$11:$N$49,J$2,0))+IF(ISNA(VLOOKUP('Project Details by Yr - MASTER'!$B86,'Public Buildings'!$A$10:$N$96,J$2,0)),0,VLOOKUP('Project Details by Yr - MASTER'!$B86,'Public Buildings'!$A$10:$N$96,J$2,0))+IF(ISNA(VLOOKUP('Project Details by Yr - MASTER'!$B86,Bridges!$A$9:$N$24,J$2,0)),0,VLOOKUP('Project Details by Yr - MASTER'!$B86,Bridges!$A$9:$N$24,J$2,0))+IF(ISNA(VLOOKUP('Project Details by Yr - MASTER'!$B86,'Parking Lots &amp; Playgrounds'!$A$9:$N$33,J$2,0)),0,VLOOKUP('Project Details by Yr - MASTER'!$B86,'Parking Lots &amp; Playgrounds'!$A$9:$N$33,J$2,0))+IF(ISNA(VLOOKUP($B86,Vehicles!$B$9:$O$50,J$2,0)),0,VLOOKUP($B86,Vehicles!$B$9:$O$50,J$2,0))</f>
        <v>0</v>
      </c>
      <c r="K86" s="8">
        <f>IF(ISNA(VLOOKUP($B86,'Other Capital Needs'!$C$51:$P$95,K$2,0)),0,VLOOKUP($B86,'Other Capital Needs'!$C$51:$P$95,K$2,0))+IF(ISNA(VLOOKUP('Project Details by Yr - MASTER'!$B86,'Public Grounds'!$A$11:$N$49,K$2,0)),0,VLOOKUP('Project Details by Yr - MASTER'!$B86,'Public Grounds'!$A$11:$N$49,K$2,0))+IF(ISNA(VLOOKUP('Project Details by Yr - MASTER'!$B86,'Public Buildings'!$A$10:$N$96,K$2,0)),0,VLOOKUP('Project Details by Yr - MASTER'!$B86,'Public Buildings'!$A$10:$N$96,K$2,0))+IF(ISNA(VLOOKUP('Project Details by Yr - MASTER'!$B86,Bridges!$A$9:$N$24,K$2,0)),0,VLOOKUP('Project Details by Yr - MASTER'!$B86,Bridges!$A$9:$N$24,K$2,0))+IF(ISNA(VLOOKUP('Project Details by Yr - MASTER'!$B86,'Parking Lots &amp; Playgrounds'!$A$9:$N$33,K$2,0)),0,VLOOKUP('Project Details by Yr - MASTER'!$B86,'Parking Lots &amp; Playgrounds'!$A$9:$N$33,K$2,0))+IF(ISNA(VLOOKUP($B86,Vehicles!$B$9:$O$50,K$2,0)),0,VLOOKUP($B86,Vehicles!$B$9:$O$50,K$2,0))</f>
        <v>0</v>
      </c>
    </row>
    <row r="87" spans="2:11" x14ac:dyDescent="0.25">
      <c r="B87" t="s">
        <v>214</v>
      </c>
      <c r="C87" t="s">
        <v>47</v>
      </c>
      <c r="D87" t="s">
        <v>272</v>
      </c>
      <c r="E87" s="1"/>
      <c r="G87" s="8">
        <f>IF(ISNA(VLOOKUP($B87,'Other Capital Needs'!$C$51:$P$95,G$2,0)),0,VLOOKUP($B87,'Other Capital Needs'!$C$51:$P$95,G$2,0))+IF(ISNA(VLOOKUP('Project Details by Yr - MASTER'!$B87,'Public Grounds'!$A$11:$N$49,G$2,0)),0,VLOOKUP('Project Details by Yr - MASTER'!$B87,'Public Grounds'!$A$11:$N$49,G$2,0))+IF(ISNA(VLOOKUP('Project Details by Yr - MASTER'!$B87,'Public Buildings'!$A$10:$N$96,G$2,0)),0,VLOOKUP('Project Details by Yr - MASTER'!$B87,'Public Buildings'!$A$10:$N$96,G$2,0))+IF(ISNA(VLOOKUP('Project Details by Yr - MASTER'!$B87,Bridges!$A$9:$N$24,G$2,0)),0,VLOOKUP('Project Details by Yr - MASTER'!$B87,Bridges!$A$9:$N$24,G$2,0))+IF(ISNA(VLOOKUP('Project Details by Yr - MASTER'!$B87,'Parking Lots &amp; Playgrounds'!$A$9:$N$33,G$2,0)),0,VLOOKUP('Project Details by Yr - MASTER'!$B87,'Parking Lots &amp; Playgrounds'!$A$9:$N$33,G$2,0))+IF(ISNA(VLOOKUP($B87,Vehicles!$B$9:$O$50,G$2,0)),0,VLOOKUP($B87,Vehicles!$B$9:$O$50,G$2,0))</f>
        <v>0</v>
      </c>
      <c r="H87" s="8">
        <f>IF(ISNA(VLOOKUP($B87,'Other Capital Needs'!$C$51:$P$95,H$2,0)),0,VLOOKUP($B87,'Other Capital Needs'!$C$51:$P$95,H$2,0))+IF(ISNA(VLOOKUP('Project Details by Yr - MASTER'!$B87,'Public Grounds'!$A$11:$N$49,H$2,0)),0,VLOOKUP('Project Details by Yr - MASTER'!$B87,'Public Grounds'!$A$11:$N$49,H$2,0))+IF(ISNA(VLOOKUP('Project Details by Yr - MASTER'!$B87,'Public Buildings'!$A$10:$N$96,H$2,0)),0,VLOOKUP('Project Details by Yr - MASTER'!$B87,'Public Buildings'!$A$10:$N$96,H$2,0))+IF(ISNA(VLOOKUP('Project Details by Yr - MASTER'!$B87,Bridges!$A$9:$N$24,H$2,0)),0,VLOOKUP('Project Details by Yr - MASTER'!$B87,Bridges!$A$9:$N$24,H$2,0))+IF(ISNA(VLOOKUP('Project Details by Yr - MASTER'!$B87,'Parking Lots &amp; Playgrounds'!$A$9:$N$33,H$2,0)),0,VLOOKUP('Project Details by Yr - MASTER'!$B87,'Parking Lots &amp; Playgrounds'!$A$9:$N$33,H$2,0))+IF(ISNA(VLOOKUP($B87,Vehicles!$B$9:$O$50,H$2,0)),0,VLOOKUP($B87,Vehicles!$B$9:$O$50,H$2,0))</f>
        <v>0</v>
      </c>
      <c r="I87" s="8">
        <f>IF(ISNA(VLOOKUP($B87,'Other Capital Needs'!$C$51:$P$95,I$2,0)),0,VLOOKUP($B87,'Other Capital Needs'!$C$51:$P$95,I$2,0))+IF(ISNA(VLOOKUP('Project Details by Yr - MASTER'!$B87,'Public Grounds'!$A$11:$N$49,I$2,0)),0,VLOOKUP('Project Details by Yr - MASTER'!$B87,'Public Grounds'!$A$11:$N$49,I$2,0))+IF(ISNA(VLOOKUP('Project Details by Yr - MASTER'!$B87,'Public Buildings'!$A$10:$N$96,I$2,0)),0,VLOOKUP('Project Details by Yr - MASTER'!$B87,'Public Buildings'!$A$10:$N$96,I$2,0))+IF(ISNA(VLOOKUP('Project Details by Yr - MASTER'!$B87,Bridges!$A$9:$N$24,I$2,0)),0,VLOOKUP('Project Details by Yr - MASTER'!$B87,Bridges!$A$9:$N$24,I$2,0))+IF(ISNA(VLOOKUP('Project Details by Yr - MASTER'!$B87,'Parking Lots &amp; Playgrounds'!$A$9:$N$33,I$2,0)),0,VLOOKUP('Project Details by Yr - MASTER'!$B87,'Parking Lots &amp; Playgrounds'!$A$9:$N$33,I$2,0))+IF(ISNA(VLOOKUP($B87,Vehicles!$B$9:$O$50,I$2,0)),0,VLOOKUP($B87,Vehicles!$B$9:$O$50,I$2,0))</f>
        <v>0</v>
      </c>
      <c r="J87" s="8">
        <f>IF(ISNA(VLOOKUP($B87,'Other Capital Needs'!$C$51:$P$95,J$2,0)),0,VLOOKUP($B87,'Other Capital Needs'!$C$51:$P$95,J$2,0))+IF(ISNA(VLOOKUP('Project Details by Yr - MASTER'!$B87,'Public Grounds'!$A$11:$N$49,J$2,0)),0,VLOOKUP('Project Details by Yr - MASTER'!$B87,'Public Grounds'!$A$11:$N$49,J$2,0))+IF(ISNA(VLOOKUP('Project Details by Yr - MASTER'!$B87,'Public Buildings'!$A$10:$N$96,J$2,0)),0,VLOOKUP('Project Details by Yr - MASTER'!$B87,'Public Buildings'!$A$10:$N$96,J$2,0))+IF(ISNA(VLOOKUP('Project Details by Yr - MASTER'!$B87,Bridges!$A$9:$N$24,J$2,0)),0,VLOOKUP('Project Details by Yr - MASTER'!$B87,Bridges!$A$9:$N$24,J$2,0))+IF(ISNA(VLOOKUP('Project Details by Yr - MASTER'!$B87,'Parking Lots &amp; Playgrounds'!$A$9:$N$33,J$2,0)),0,VLOOKUP('Project Details by Yr - MASTER'!$B87,'Parking Lots &amp; Playgrounds'!$A$9:$N$33,J$2,0))+IF(ISNA(VLOOKUP($B87,Vehicles!$B$9:$O$50,J$2,0)),0,VLOOKUP($B87,Vehicles!$B$9:$O$50,J$2,0))</f>
        <v>0</v>
      </c>
      <c r="K87" s="8">
        <f>IF(ISNA(VLOOKUP($B87,'Other Capital Needs'!$C$51:$P$95,K$2,0)),0,VLOOKUP($B87,'Other Capital Needs'!$C$51:$P$95,K$2,0))+IF(ISNA(VLOOKUP('Project Details by Yr - MASTER'!$B87,'Public Grounds'!$A$11:$N$49,K$2,0)),0,VLOOKUP('Project Details by Yr - MASTER'!$B87,'Public Grounds'!$A$11:$N$49,K$2,0))+IF(ISNA(VLOOKUP('Project Details by Yr - MASTER'!$B87,'Public Buildings'!$A$10:$N$96,K$2,0)),0,VLOOKUP('Project Details by Yr - MASTER'!$B87,'Public Buildings'!$A$10:$N$96,K$2,0))+IF(ISNA(VLOOKUP('Project Details by Yr - MASTER'!$B87,Bridges!$A$9:$N$24,K$2,0)),0,VLOOKUP('Project Details by Yr - MASTER'!$B87,Bridges!$A$9:$N$24,K$2,0))+IF(ISNA(VLOOKUP('Project Details by Yr - MASTER'!$B87,'Parking Lots &amp; Playgrounds'!$A$9:$N$33,K$2,0)),0,VLOOKUP('Project Details by Yr - MASTER'!$B87,'Parking Lots &amp; Playgrounds'!$A$9:$N$33,K$2,0))+IF(ISNA(VLOOKUP($B87,Vehicles!$B$9:$O$50,K$2,0)),0,VLOOKUP($B87,Vehicles!$B$9:$O$50,K$2,0))</f>
        <v>0</v>
      </c>
    </row>
    <row r="88" spans="2:11" x14ac:dyDescent="0.25">
      <c r="B88" t="s">
        <v>215</v>
      </c>
      <c r="C88" t="s">
        <v>47</v>
      </c>
      <c r="D88" t="s">
        <v>272</v>
      </c>
      <c r="E88" s="1"/>
      <c r="G88" s="8">
        <f>IF(ISNA(VLOOKUP($B88,'Other Capital Needs'!$C$51:$P$95,G$2,0)),0,VLOOKUP($B88,'Other Capital Needs'!$C$51:$P$95,G$2,0))+IF(ISNA(VLOOKUP('Project Details by Yr - MASTER'!$B88,'Public Grounds'!$A$11:$N$49,G$2,0)),0,VLOOKUP('Project Details by Yr - MASTER'!$B88,'Public Grounds'!$A$11:$N$49,G$2,0))+IF(ISNA(VLOOKUP('Project Details by Yr - MASTER'!$B88,'Public Buildings'!$A$10:$N$96,G$2,0)),0,VLOOKUP('Project Details by Yr - MASTER'!$B88,'Public Buildings'!$A$10:$N$96,G$2,0))+IF(ISNA(VLOOKUP('Project Details by Yr - MASTER'!$B88,Bridges!$A$9:$N$24,G$2,0)),0,VLOOKUP('Project Details by Yr - MASTER'!$B88,Bridges!$A$9:$N$24,G$2,0))+IF(ISNA(VLOOKUP('Project Details by Yr - MASTER'!$B88,'Parking Lots &amp; Playgrounds'!$A$9:$N$33,G$2,0)),0,VLOOKUP('Project Details by Yr - MASTER'!$B88,'Parking Lots &amp; Playgrounds'!$A$9:$N$33,G$2,0))+IF(ISNA(VLOOKUP($B88,Vehicles!$B$9:$O$50,G$2,0)),0,VLOOKUP($B88,Vehicles!$B$9:$O$50,G$2,0))</f>
        <v>0</v>
      </c>
      <c r="H88" s="8">
        <f>IF(ISNA(VLOOKUP($B88,'Other Capital Needs'!$C$51:$P$95,H$2,0)),0,VLOOKUP($B88,'Other Capital Needs'!$C$51:$P$95,H$2,0))+IF(ISNA(VLOOKUP('Project Details by Yr - MASTER'!$B88,'Public Grounds'!$A$11:$N$49,H$2,0)),0,VLOOKUP('Project Details by Yr - MASTER'!$B88,'Public Grounds'!$A$11:$N$49,H$2,0))+IF(ISNA(VLOOKUP('Project Details by Yr - MASTER'!$B88,'Public Buildings'!$A$10:$N$96,H$2,0)),0,VLOOKUP('Project Details by Yr - MASTER'!$B88,'Public Buildings'!$A$10:$N$96,H$2,0))+IF(ISNA(VLOOKUP('Project Details by Yr - MASTER'!$B88,Bridges!$A$9:$N$24,H$2,0)),0,VLOOKUP('Project Details by Yr - MASTER'!$B88,Bridges!$A$9:$N$24,H$2,0))+IF(ISNA(VLOOKUP('Project Details by Yr - MASTER'!$B88,'Parking Lots &amp; Playgrounds'!$A$9:$N$33,H$2,0)),0,VLOOKUP('Project Details by Yr - MASTER'!$B88,'Parking Lots &amp; Playgrounds'!$A$9:$N$33,H$2,0))+IF(ISNA(VLOOKUP($B88,Vehicles!$B$9:$O$50,H$2,0)),0,VLOOKUP($B88,Vehicles!$B$9:$O$50,H$2,0))</f>
        <v>0</v>
      </c>
      <c r="I88" s="8">
        <f>IF(ISNA(VLOOKUP($B88,'Other Capital Needs'!$C$51:$P$95,I$2,0)),0,VLOOKUP($B88,'Other Capital Needs'!$C$51:$P$95,I$2,0))+IF(ISNA(VLOOKUP('Project Details by Yr - MASTER'!$B88,'Public Grounds'!$A$11:$N$49,I$2,0)),0,VLOOKUP('Project Details by Yr - MASTER'!$B88,'Public Grounds'!$A$11:$N$49,I$2,0))+IF(ISNA(VLOOKUP('Project Details by Yr - MASTER'!$B88,'Public Buildings'!$A$10:$N$96,I$2,0)),0,VLOOKUP('Project Details by Yr - MASTER'!$B88,'Public Buildings'!$A$10:$N$96,I$2,0))+IF(ISNA(VLOOKUP('Project Details by Yr - MASTER'!$B88,Bridges!$A$9:$N$24,I$2,0)),0,VLOOKUP('Project Details by Yr - MASTER'!$B88,Bridges!$A$9:$N$24,I$2,0))+IF(ISNA(VLOOKUP('Project Details by Yr - MASTER'!$B88,'Parking Lots &amp; Playgrounds'!$A$9:$N$33,I$2,0)),0,VLOOKUP('Project Details by Yr - MASTER'!$B88,'Parking Lots &amp; Playgrounds'!$A$9:$N$33,I$2,0))+IF(ISNA(VLOOKUP($B88,Vehicles!$B$9:$O$50,I$2,0)),0,VLOOKUP($B88,Vehicles!$B$9:$O$50,I$2,0))</f>
        <v>0</v>
      </c>
      <c r="J88" s="8">
        <f>IF(ISNA(VLOOKUP($B88,'Other Capital Needs'!$C$51:$P$95,J$2,0)),0,VLOOKUP($B88,'Other Capital Needs'!$C$51:$P$95,J$2,0))+IF(ISNA(VLOOKUP('Project Details by Yr - MASTER'!$B88,'Public Grounds'!$A$11:$N$49,J$2,0)),0,VLOOKUP('Project Details by Yr - MASTER'!$B88,'Public Grounds'!$A$11:$N$49,J$2,0))+IF(ISNA(VLOOKUP('Project Details by Yr - MASTER'!$B88,'Public Buildings'!$A$10:$N$96,J$2,0)),0,VLOOKUP('Project Details by Yr - MASTER'!$B88,'Public Buildings'!$A$10:$N$96,J$2,0))+IF(ISNA(VLOOKUP('Project Details by Yr - MASTER'!$B88,Bridges!$A$9:$N$24,J$2,0)),0,VLOOKUP('Project Details by Yr - MASTER'!$B88,Bridges!$A$9:$N$24,J$2,0))+IF(ISNA(VLOOKUP('Project Details by Yr - MASTER'!$B88,'Parking Lots &amp; Playgrounds'!$A$9:$N$33,J$2,0)),0,VLOOKUP('Project Details by Yr - MASTER'!$B88,'Parking Lots &amp; Playgrounds'!$A$9:$N$33,J$2,0))+IF(ISNA(VLOOKUP($B88,Vehicles!$B$9:$O$50,J$2,0)),0,VLOOKUP($B88,Vehicles!$B$9:$O$50,J$2,0))</f>
        <v>0</v>
      </c>
      <c r="K88" s="8">
        <f>IF(ISNA(VLOOKUP($B88,'Other Capital Needs'!$C$51:$P$95,K$2,0)),0,VLOOKUP($B88,'Other Capital Needs'!$C$51:$P$95,K$2,0))+IF(ISNA(VLOOKUP('Project Details by Yr - MASTER'!$B88,'Public Grounds'!$A$11:$N$49,K$2,0)),0,VLOOKUP('Project Details by Yr - MASTER'!$B88,'Public Grounds'!$A$11:$N$49,K$2,0))+IF(ISNA(VLOOKUP('Project Details by Yr - MASTER'!$B88,'Public Buildings'!$A$10:$N$96,K$2,0)),0,VLOOKUP('Project Details by Yr - MASTER'!$B88,'Public Buildings'!$A$10:$N$96,K$2,0))+IF(ISNA(VLOOKUP('Project Details by Yr - MASTER'!$B88,Bridges!$A$9:$N$24,K$2,0)),0,VLOOKUP('Project Details by Yr - MASTER'!$B88,Bridges!$A$9:$N$24,K$2,0))+IF(ISNA(VLOOKUP('Project Details by Yr - MASTER'!$B88,'Parking Lots &amp; Playgrounds'!$A$9:$N$33,K$2,0)),0,VLOOKUP('Project Details by Yr - MASTER'!$B88,'Parking Lots &amp; Playgrounds'!$A$9:$N$33,K$2,0))+IF(ISNA(VLOOKUP($B88,Vehicles!$B$9:$O$50,K$2,0)),0,VLOOKUP($B88,Vehicles!$B$9:$O$50,K$2,0))</f>
        <v>0</v>
      </c>
    </row>
    <row r="89" spans="2:11" x14ac:dyDescent="0.25">
      <c r="B89" t="s">
        <v>216</v>
      </c>
      <c r="C89" t="s">
        <v>47</v>
      </c>
      <c r="D89" t="s">
        <v>272</v>
      </c>
      <c r="E89" s="1" t="s">
        <v>16</v>
      </c>
      <c r="G89" s="8">
        <f>IF(ISNA(VLOOKUP($B89,'Other Capital Needs'!$C$51:$P$95,G$2,0)),0,VLOOKUP($B89,'Other Capital Needs'!$C$51:$P$95,G$2,0))+IF(ISNA(VLOOKUP('Project Details by Yr - MASTER'!$B89,'Public Grounds'!$A$11:$N$49,G$2,0)),0,VLOOKUP('Project Details by Yr - MASTER'!$B89,'Public Grounds'!$A$11:$N$49,G$2,0))+IF(ISNA(VLOOKUP('Project Details by Yr - MASTER'!$B89,'Public Buildings'!$A$10:$N$96,G$2,0)),0,VLOOKUP('Project Details by Yr - MASTER'!$B89,'Public Buildings'!$A$10:$N$96,G$2,0))+IF(ISNA(VLOOKUP('Project Details by Yr - MASTER'!$B89,Bridges!$A$9:$N$24,G$2,0)),0,VLOOKUP('Project Details by Yr - MASTER'!$B89,Bridges!$A$9:$N$24,G$2,0))+IF(ISNA(VLOOKUP('Project Details by Yr - MASTER'!$B89,'Parking Lots &amp; Playgrounds'!$A$9:$N$33,G$2,0)),0,VLOOKUP('Project Details by Yr - MASTER'!$B89,'Parking Lots &amp; Playgrounds'!$A$9:$N$33,G$2,0))+IF(ISNA(VLOOKUP($B89,Vehicles!$B$9:$O$50,G$2,0)),0,VLOOKUP($B89,Vehicles!$B$9:$O$50,G$2,0))</f>
        <v>0</v>
      </c>
      <c r="H89" s="8">
        <f>IF(ISNA(VLOOKUP($B89,'Other Capital Needs'!$C$51:$P$95,H$2,0)),0,VLOOKUP($B89,'Other Capital Needs'!$C$51:$P$95,H$2,0))+IF(ISNA(VLOOKUP('Project Details by Yr - MASTER'!$B89,'Public Grounds'!$A$11:$N$49,H$2,0)),0,VLOOKUP('Project Details by Yr - MASTER'!$B89,'Public Grounds'!$A$11:$N$49,H$2,0))+IF(ISNA(VLOOKUP('Project Details by Yr - MASTER'!$B89,'Public Buildings'!$A$10:$N$96,H$2,0)),0,VLOOKUP('Project Details by Yr - MASTER'!$B89,'Public Buildings'!$A$10:$N$96,H$2,0))+IF(ISNA(VLOOKUP('Project Details by Yr - MASTER'!$B89,Bridges!$A$9:$N$24,H$2,0)),0,VLOOKUP('Project Details by Yr - MASTER'!$B89,Bridges!$A$9:$N$24,H$2,0))+IF(ISNA(VLOOKUP('Project Details by Yr - MASTER'!$B89,'Parking Lots &amp; Playgrounds'!$A$9:$N$33,H$2,0)),0,VLOOKUP('Project Details by Yr - MASTER'!$B89,'Parking Lots &amp; Playgrounds'!$A$9:$N$33,H$2,0))+IF(ISNA(VLOOKUP($B89,Vehicles!$B$9:$O$50,H$2,0)),0,VLOOKUP($B89,Vehicles!$B$9:$O$50,H$2,0))</f>
        <v>0</v>
      </c>
      <c r="I89" s="8">
        <f>IF(ISNA(VLOOKUP($B89,'Other Capital Needs'!$C$51:$P$95,I$2,0)),0,VLOOKUP($B89,'Other Capital Needs'!$C$51:$P$95,I$2,0))+IF(ISNA(VLOOKUP('Project Details by Yr - MASTER'!$B89,'Public Grounds'!$A$11:$N$49,I$2,0)),0,VLOOKUP('Project Details by Yr - MASTER'!$B89,'Public Grounds'!$A$11:$N$49,I$2,0))+IF(ISNA(VLOOKUP('Project Details by Yr - MASTER'!$B89,'Public Buildings'!$A$10:$N$96,I$2,0)),0,VLOOKUP('Project Details by Yr - MASTER'!$B89,'Public Buildings'!$A$10:$N$96,I$2,0))+IF(ISNA(VLOOKUP('Project Details by Yr - MASTER'!$B89,Bridges!$A$9:$N$24,I$2,0)),0,VLOOKUP('Project Details by Yr - MASTER'!$B89,Bridges!$A$9:$N$24,I$2,0))+IF(ISNA(VLOOKUP('Project Details by Yr - MASTER'!$B89,'Parking Lots &amp; Playgrounds'!$A$9:$N$33,I$2,0)),0,VLOOKUP('Project Details by Yr - MASTER'!$B89,'Parking Lots &amp; Playgrounds'!$A$9:$N$33,I$2,0))+IF(ISNA(VLOOKUP($B89,Vehicles!$B$9:$O$50,I$2,0)),0,VLOOKUP($B89,Vehicles!$B$9:$O$50,I$2,0))</f>
        <v>0</v>
      </c>
      <c r="J89" s="8">
        <f>IF(ISNA(VLOOKUP($B89,'Other Capital Needs'!$C$51:$P$95,J$2,0)),0,VLOOKUP($B89,'Other Capital Needs'!$C$51:$P$95,J$2,0))+IF(ISNA(VLOOKUP('Project Details by Yr - MASTER'!$B89,'Public Grounds'!$A$11:$N$49,J$2,0)),0,VLOOKUP('Project Details by Yr - MASTER'!$B89,'Public Grounds'!$A$11:$N$49,J$2,0))+IF(ISNA(VLOOKUP('Project Details by Yr - MASTER'!$B89,'Public Buildings'!$A$10:$N$96,J$2,0)),0,VLOOKUP('Project Details by Yr - MASTER'!$B89,'Public Buildings'!$A$10:$N$96,J$2,0))+IF(ISNA(VLOOKUP('Project Details by Yr - MASTER'!$B89,Bridges!$A$9:$N$24,J$2,0)),0,VLOOKUP('Project Details by Yr - MASTER'!$B89,Bridges!$A$9:$N$24,J$2,0))+IF(ISNA(VLOOKUP('Project Details by Yr - MASTER'!$B89,'Parking Lots &amp; Playgrounds'!$A$9:$N$33,J$2,0)),0,VLOOKUP('Project Details by Yr - MASTER'!$B89,'Parking Lots &amp; Playgrounds'!$A$9:$N$33,J$2,0))+IF(ISNA(VLOOKUP($B89,Vehicles!$B$9:$O$50,J$2,0)),0,VLOOKUP($B89,Vehicles!$B$9:$O$50,J$2,0))</f>
        <v>0</v>
      </c>
      <c r="K89" s="8">
        <f>IF(ISNA(VLOOKUP($B89,'Other Capital Needs'!$C$51:$P$95,K$2,0)),0,VLOOKUP($B89,'Other Capital Needs'!$C$51:$P$95,K$2,0))+IF(ISNA(VLOOKUP('Project Details by Yr - MASTER'!$B89,'Public Grounds'!$A$11:$N$49,K$2,0)),0,VLOOKUP('Project Details by Yr - MASTER'!$B89,'Public Grounds'!$A$11:$N$49,K$2,0))+IF(ISNA(VLOOKUP('Project Details by Yr - MASTER'!$B89,'Public Buildings'!$A$10:$N$96,K$2,0)),0,VLOOKUP('Project Details by Yr - MASTER'!$B89,'Public Buildings'!$A$10:$N$96,K$2,0))+IF(ISNA(VLOOKUP('Project Details by Yr - MASTER'!$B89,Bridges!$A$9:$N$24,K$2,0)),0,VLOOKUP('Project Details by Yr - MASTER'!$B89,Bridges!$A$9:$N$24,K$2,0))+IF(ISNA(VLOOKUP('Project Details by Yr - MASTER'!$B89,'Parking Lots &amp; Playgrounds'!$A$9:$N$33,K$2,0)),0,VLOOKUP('Project Details by Yr - MASTER'!$B89,'Parking Lots &amp; Playgrounds'!$A$9:$N$33,K$2,0))+IF(ISNA(VLOOKUP($B89,Vehicles!$B$9:$O$50,K$2,0)),0,VLOOKUP($B89,Vehicles!$B$9:$O$50,K$2,0))</f>
        <v>0</v>
      </c>
    </row>
    <row r="90" spans="2:11" x14ac:dyDescent="0.25">
      <c r="B90" t="s">
        <v>224</v>
      </c>
      <c r="C90" t="s">
        <v>47</v>
      </c>
      <c r="D90" t="s">
        <v>272</v>
      </c>
      <c r="E90" s="1" t="s">
        <v>16</v>
      </c>
      <c r="G90" s="8">
        <f>IF(ISNA(VLOOKUP($B90,'Other Capital Needs'!$C$51:$P$95,G$2,0)),0,VLOOKUP($B90,'Other Capital Needs'!$C$51:$P$95,G$2,0))+IF(ISNA(VLOOKUP('Project Details by Yr - MASTER'!$B90,'Public Grounds'!$A$11:$N$49,G$2,0)),0,VLOOKUP('Project Details by Yr - MASTER'!$B90,'Public Grounds'!$A$11:$N$49,G$2,0))+IF(ISNA(VLOOKUP('Project Details by Yr - MASTER'!$B90,'Public Buildings'!$A$10:$N$96,G$2,0)),0,VLOOKUP('Project Details by Yr - MASTER'!$B90,'Public Buildings'!$A$10:$N$96,G$2,0))+IF(ISNA(VLOOKUP('Project Details by Yr - MASTER'!$B90,Bridges!$A$9:$N$24,G$2,0)),0,VLOOKUP('Project Details by Yr - MASTER'!$B90,Bridges!$A$9:$N$24,G$2,0))+IF(ISNA(VLOOKUP('Project Details by Yr - MASTER'!$B90,'Parking Lots &amp; Playgrounds'!$A$9:$N$33,G$2,0)),0,VLOOKUP('Project Details by Yr - MASTER'!$B90,'Parking Lots &amp; Playgrounds'!$A$9:$N$33,G$2,0))+IF(ISNA(VLOOKUP($B90,Vehicles!$B$9:$O$50,G$2,0)),0,VLOOKUP($B90,Vehicles!$B$9:$O$50,G$2,0))</f>
        <v>45000</v>
      </c>
      <c r="H90" s="8">
        <f>IF(ISNA(VLOOKUP($B90,'Other Capital Needs'!$C$51:$P$95,H$2,0)),0,VLOOKUP($B90,'Other Capital Needs'!$C$51:$P$95,H$2,0))+IF(ISNA(VLOOKUP('Project Details by Yr - MASTER'!$B90,'Public Grounds'!$A$11:$N$49,H$2,0)),0,VLOOKUP('Project Details by Yr - MASTER'!$B90,'Public Grounds'!$A$11:$N$49,H$2,0))+IF(ISNA(VLOOKUP('Project Details by Yr - MASTER'!$B90,'Public Buildings'!$A$10:$N$96,H$2,0)),0,VLOOKUP('Project Details by Yr - MASTER'!$B90,'Public Buildings'!$A$10:$N$96,H$2,0))+IF(ISNA(VLOOKUP('Project Details by Yr - MASTER'!$B90,Bridges!$A$9:$N$24,H$2,0)),0,VLOOKUP('Project Details by Yr - MASTER'!$B90,Bridges!$A$9:$N$24,H$2,0))+IF(ISNA(VLOOKUP('Project Details by Yr - MASTER'!$B90,'Parking Lots &amp; Playgrounds'!$A$9:$N$33,H$2,0)),0,VLOOKUP('Project Details by Yr - MASTER'!$B90,'Parking Lots &amp; Playgrounds'!$A$9:$N$33,H$2,0))+IF(ISNA(VLOOKUP($B90,Vehicles!$B$9:$O$50,H$2,0)),0,VLOOKUP($B90,Vehicles!$B$9:$O$50,H$2,0))</f>
        <v>45000</v>
      </c>
      <c r="I90" s="8">
        <f>IF(ISNA(VLOOKUP($B90,'Other Capital Needs'!$C$51:$P$95,I$2,0)),0,VLOOKUP($B90,'Other Capital Needs'!$C$51:$P$95,I$2,0))+IF(ISNA(VLOOKUP('Project Details by Yr - MASTER'!$B90,'Public Grounds'!$A$11:$N$49,I$2,0)),0,VLOOKUP('Project Details by Yr - MASTER'!$B90,'Public Grounds'!$A$11:$N$49,I$2,0))+IF(ISNA(VLOOKUP('Project Details by Yr - MASTER'!$B90,'Public Buildings'!$A$10:$N$96,I$2,0)),0,VLOOKUP('Project Details by Yr - MASTER'!$B90,'Public Buildings'!$A$10:$N$96,I$2,0))+IF(ISNA(VLOOKUP('Project Details by Yr - MASTER'!$B90,Bridges!$A$9:$N$24,I$2,0)),0,VLOOKUP('Project Details by Yr - MASTER'!$B90,Bridges!$A$9:$N$24,I$2,0))+IF(ISNA(VLOOKUP('Project Details by Yr - MASTER'!$B90,'Parking Lots &amp; Playgrounds'!$A$9:$N$33,I$2,0)),0,VLOOKUP('Project Details by Yr - MASTER'!$B90,'Parking Lots &amp; Playgrounds'!$A$9:$N$33,I$2,0))+IF(ISNA(VLOOKUP($B90,Vehicles!$B$9:$O$50,I$2,0)),0,VLOOKUP($B90,Vehicles!$B$9:$O$50,I$2,0))</f>
        <v>45000</v>
      </c>
      <c r="J90" s="8">
        <f>IF(ISNA(VLOOKUP($B90,'Other Capital Needs'!$C$51:$P$95,J$2,0)),0,VLOOKUP($B90,'Other Capital Needs'!$C$51:$P$95,J$2,0))+IF(ISNA(VLOOKUP('Project Details by Yr - MASTER'!$B90,'Public Grounds'!$A$11:$N$49,J$2,0)),0,VLOOKUP('Project Details by Yr - MASTER'!$B90,'Public Grounds'!$A$11:$N$49,J$2,0))+IF(ISNA(VLOOKUP('Project Details by Yr - MASTER'!$B90,'Public Buildings'!$A$10:$N$96,J$2,0)),0,VLOOKUP('Project Details by Yr - MASTER'!$B90,'Public Buildings'!$A$10:$N$96,J$2,0))+IF(ISNA(VLOOKUP('Project Details by Yr - MASTER'!$B90,Bridges!$A$9:$N$24,J$2,0)),0,VLOOKUP('Project Details by Yr - MASTER'!$B90,Bridges!$A$9:$N$24,J$2,0))+IF(ISNA(VLOOKUP('Project Details by Yr - MASTER'!$B90,'Parking Lots &amp; Playgrounds'!$A$9:$N$33,J$2,0)),0,VLOOKUP('Project Details by Yr - MASTER'!$B90,'Parking Lots &amp; Playgrounds'!$A$9:$N$33,J$2,0))+IF(ISNA(VLOOKUP($B90,Vehicles!$B$9:$O$50,J$2,0)),0,VLOOKUP($B90,Vehicles!$B$9:$O$50,J$2,0))</f>
        <v>45000</v>
      </c>
      <c r="K90" s="8">
        <f>IF(ISNA(VLOOKUP($B90,'Other Capital Needs'!$C$51:$P$95,K$2,0)),0,VLOOKUP($B90,'Other Capital Needs'!$C$51:$P$95,K$2,0))+IF(ISNA(VLOOKUP('Project Details by Yr - MASTER'!$B90,'Public Grounds'!$A$11:$N$49,K$2,0)),0,VLOOKUP('Project Details by Yr - MASTER'!$B90,'Public Grounds'!$A$11:$N$49,K$2,0))+IF(ISNA(VLOOKUP('Project Details by Yr - MASTER'!$B90,'Public Buildings'!$A$10:$N$96,K$2,0)),0,VLOOKUP('Project Details by Yr - MASTER'!$B90,'Public Buildings'!$A$10:$N$96,K$2,0))+IF(ISNA(VLOOKUP('Project Details by Yr - MASTER'!$B90,Bridges!$A$9:$N$24,K$2,0)),0,VLOOKUP('Project Details by Yr - MASTER'!$B90,Bridges!$A$9:$N$24,K$2,0))+IF(ISNA(VLOOKUP('Project Details by Yr - MASTER'!$B90,'Parking Lots &amp; Playgrounds'!$A$9:$N$33,K$2,0)),0,VLOOKUP('Project Details by Yr - MASTER'!$B90,'Parking Lots &amp; Playgrounds'!$A$9:$N$33,K$2,0))+IF(ISNA(VLOOKUP($B90,Vehicles!$B$9:$O$50,K$2,0)),0,VLOOKUP($B90,Vehicles!$B$9:$O$50,K$2,0))</f>
        <v>45000</v>
      </c>
    </row>
    <row r="91" spans="2:11" x14ac:dyDescent="0.25">
      <c r="B91" s="26" t="s">
        <v>217</v>
      </c>
      <c r="C91" s="26" t="s">
        <v>47</v>
      </c>
      <c r="D91" s="26" t="s">
        <v>272</v>
      </c>
      <c r="E91" s="31" t="s">
        <v>16</v>
      </c>
      <c r="F91" s="26"/>
      <c r="G91" s="8">
        <f>IF(ISNA(VLOOKUP($B91,'Other Capital Needs'!$C$51:$P$95,G$2,0)),0,VLOOKUP($B91,'Other Capital Needs'!$C$51:$P$95,G$2,0))+IF(ISNA(VLOOKUP('Project Details by Yr - MASTER'!$B91,'Public Grounds'!$A$11:$N$49,G$2,0)),0,VLOOKUP('Project Details by Yr - MASTER'!$B91,'Public Grounds'!$A$11:$N$49,G$2,0))+IF(ISNA(VLOOKUP('Project Details by Yr - MASTER'!$B91,'Public Buildings'!$A$10:$N$96,G$2,0)),0,VLOOKUP('Project Details by Yr - MASTER'!$B91,'Public Buildings'!$A$10:$N$96,G$2,0))+IF(ISNA(VLOOKUP('Project Details by Yr - MASTER'!$B91,Bridges!$A$9:$N$24,G$2,0)),0,VLOOKUP('Project Details by Yr - MASTER'!$B91,Bridges!$A$9:$N$24,G$2,0))+IF(ISNA(VLOOKUP('Project Details by Yr - MASTER'!$B91,'Parking Lots &amp; Playgrounds'!$A$9:$N$33,G$2,0)),0,VLOOKUP('Project Details by Yr - MASTER'!$B91,'Parking Lots &amp; Playgrounds'!$A$9:$N$33,G$2,0))+IF(ISNA(VLOOKUP($B91,Vehicles!$B$9:$O$50,G$2,0)),0,VLOOKUP($B91,Vehicles!$B$9:$O$50,G$2,0))</f>
        <v>0</v>
      </c>
      <c r="H91" s="8">
        <f>IF(ISNA(VLOOKUP($B91,'Other Capital Needs'!$C$51:$P$95,H$2,0)),0,VLOOKUP($B91,'Other Capital Needs'!$C$51:$P$95,H$2,0))+IF(ISNA(VLOOKUP('Project Details by Yr - MASTER'!$B91,'Public Grounds'!$A$11:$N$49,H$2,0)),0,VLOOKUP('Project Details by Yr - MASTER'!$B91,'Public Grounds'!$A$11:$N$49,H$2,0))+IF(ISNA(VLOOKUP('Project Details by Yr - MASTER'!$B91,'Public Buildings'!$A$10:$N$96,H$2,0)),0,VLOOKUP('Project Details by Yr - MASTER'!$B91,'Public Buildings'!$A$10:$N$96,H$2,0))+IF(ISNA(VLOOKUP('Project Details by Yr - MASTER'!$B91,Bridges!$A$9:$N$24,H$2,0)),0,VLOOKUP('Project Details by Yr - MASTER'!$B91,Bridges!$A$9:$N$24,H$2,0))+IF(ISNA(VLOOKUP('Project Details by Yr - MASTER'!$B91,'Parking Lots &amp; Playgrounds'!$A$9:$N$33,H$2,0)),0,VLOOKUP('Project Details by Yr - MASTER'!$B91,'Parking Lots &amp; Playgrounds'!$A$9:$N$33,H$2,0))+IF(ISNA(VLOOKUP($B91,Vehicles!$B$9:$O$50,H$2,0)),0,VLOOKUP($B91,Vehicles!$B$9:$O$50,H$2,0))</f>
        <v>475000</v>
      </c>
      <c r="I91" s="8">
        <f>IF(ISNA(VLOOKUP($B91,'Other Capital Needs'!$C$51:$P$95,I$2,0)),0,VLOOKUP($B91,'Other Capital Needs'!$C$51:$P$95,I$2,0))+IF(ISNA(VLOOKUP('Project Details by Yr - MASTER'!$B91,'Public Grounds'!$A$11:$N$49,I$2,0)),0,VLOOKUP('Project Details by Yr - MASTER'!$B91,'Public Grounds'!$A$11:$N$49,I$2,0))+IF(ISNA(VLOOKUP('Project Details by Yr - MASTER'!$B91,'Public Buildings'!$A$10:$N$96,I$2,0)),0,VLOOKUP('Project Details by Yr - MASTER'!$B91,'Public Buildings'!$A$10:$N$96,I$2,0))+IF(ISNA(VLOOKUP('Project Details by Yr - MASTER'!$B91,Bridges!$A$9:$N$24,I$2,0)),0,VLOOKUP('Project Details by Yr - MASTER'!$B91,Bridges!$A$9:$N$24,I$2,0))+IF(ISNA(VLOOKUP('Project Details by Yr - MASTER'!$B91,'Parking Lots &amp; Playgrounds'!$A$9:$N$33,I$2,0)),0,VLOOKUP('Project Details by Yr - MASTER'!$B91,'Parking Lots &amp; Playgrounds'!$A$9:$N$33,I$2,0))+IF(ISNA(VLOOKUP($B91,Vehicles!$B$9:$O$50,I$2,0)),0,VLOOKUP($B91,Vehicles!$B$9:$O$50,I$2,0))</f>
        <v>0</v>
      </c>
      <c r="J91" s="8">
        <f>IF(ISNA(VLOOKUP($B91,'Other Capital Needs'!$C$51:$P$95,J$2,0)),0,VLOOKUP($B91,'Other Capital Needs'!$C$51:$P$95,J$2,0))+IF(ISNA(VLOOKUP('Project Details by Yr - MASTER'!$B91,'Public Grounds'!$A$11:$N$49,J$2,0)),0,VLOOKUP('Project Details by Yr - MASTER'!$B91,'Public Grounds'!$A$11:$N$49,J$2,0))+IF(ISNA(VLOOKUP('Project Details by Yr - MASTER'!$B91,'Public Buildings'!$A$10:$N$96,J$2,0)),0,VLOOKUP('Project Details by Yr - MASTER'!$B91,'Public Buildings'!$A$10:$N$96,J$2,0))+IF(ISNA(VLOOKUP('Project Details by Yr - MASTER'!$B91,Bridges!$A$9:$N$24,J$2,0)),0,VLOOKUP('Project Details by Yr - MASTER'!$B91,Bridges!$A$9:$N$24,J$2,0))+IF(ISNA(VLOOKUP('Project Details by Yr - MASTER'!$B91,'Parking Lots &amp; Playgrounds'!$A$9:$N$33,J$2,0)),0,VLOOKUP('Project Details by Yr - MASTER'!$B91,'Parking Lots &amp; Playgrounds'!$A$9:$N$33,J$2,0))+IF(ISNA(VLOOKUP($B91,Vehicles!$B$9:$O$50,J$2,0)),0,VLOOKUP($B91,Vehicles!$B$9:$O$50,J$2,0))</f>
        <v>0</v>
      </c>
      <c r="K91" s="8">
        <f>IF(ISNA(VLOOKUP($B91,'Other Capital Needs'!$C$51:$P$95,K$2,0)),0,VLOOKUP($B91,'Other Capital Needs'!$C$51:$P$95,K$2,0))+IF(ISNA(VLOOKUP('Project Details by Yr - MASTER'!$B91,'Public Grounds'!$A$11:$N$49,K$2,0)),0,VLOOKUP('Project Details by Yr - MASTER'!$B91,'Public Grounds'!$A$11:$N$49,K$2,0))+IF(ISNA(VLOOKUP('Project Details by Yr - MASTER'!$B91,'Public Buildings'!$A$10:$N$96,K$2,0)),0,VLOOKUP('Project Details by Yr - MASTER'!$B91,'Public Buildings'!$A$10:$N$96,K$2,0))+IF(ISNA(VLOOKUP('Project Details by Yr - MASTER'!$B91,Bridges!$A$9:$N$24,K$2,0)),0,VLOOKUP('Project Details by Yr - MASTER'!$B91,Bridges!$A$9:$N$24,K$2,0))+IF(ISNA(VLOOKUP('Project Details by Yr - MASTER'!$B91,'Parking Lots &amp; Playgrounds'!$A$9:$N$33,K$2,0)),0,VLOOKUP('Project Details by Yr - MASTER'!$B91,'Parking Lots &amp; Playgrounds'!$A$9:$N$33,K$2,0))+IF(ISNA(VLOOKUP($B91,Vehicles!$B$9:$O$50,K$2,0)),0,VLOOKUP($B91,Vehicles!$B$9:$O$50,K$2,0))</f>
        <v>0</v>
      </c>
    </row>
    <row r="92" spans="2:11" x14ac:dyDescent="0.25">
      <c r="B92" s="34" t="s">
        <v>218</v>
      </c>
      <c r="C92" s="34"/>
      <c r="D92" s="34"/>
      <c r="E92" s="31"/>
      <c r="F92" s="26"/>
      <c r="G92" s="8">
        <f>IF(ISNA(VLOOKUP($B92,'Other Capital Needs'!$C$51:$P$95,G$2,0)),0,VLOOKUP($B92,'Other Capital Needs'!$C$51:$P$95,G$2,0))+IF(ISNA(VLOOKUP('Project Details by Yr - MASTER'!$B92,'Public Grounds'!$A$11:$N$49,G$2,0)),0,VLOOKUP('Project Details by Yr - MASTER'!$B92,'Public Grounds'!$A$11:$N$49,G$2,0))+IF(ISNA(VLOOKUP('Project Details by Yr - MASTER'!$B92,'Public Buildings'!$A$10:$N$96,G$2,0)),0,VLOOKUP('Project Details by Yr - MASTER'!$B92,'Public Buildings'!$A$10:$N$96,G$2,0))+IF(ISNA(VLOOKUP('Project Details by Yr - MASTER'!$B92,Bridges!$A$9:$N$24,G$2,0)),0,VLOOKUP('Project Details by Yr - MASTER'!$B92,Bridges!$A$9:$N$24,G$2,0))+IF(ISNA(VLOOKUP('Project Details by Yr - MASTER'!$B92,'Parking Lots &amp; Playgrounds'!$A$9:$N$33,G$2,0)),0,VLOOKUP('Project Details by Yr - MASTER'!$B92,'Parking Lots &amp; Playgrounds'!$A$9:$N$33,G$2,0))+IF(ISNA(VLOOKUP($B92,Vehicles!$B$9:$O$50,G$2,0)),0,VLOOKUP($B92,Vehicles!$B$9:$O$50,G$2,0))</f>
        <v>0</v>
      </c>
      <c r="H92" s="8">
        <f>IF(ISNA(VLOOKUP($B92,'Other Capital Needs'!$C$51:$P$95,H$2,0)),0,VLOOKUP($B92,'Other Capital Needs'!$C$51:$P$95,H$2,0))+IF(ISNA(VLOOKUP('Project Details by Yr - MASTER'!$B92,'Public Grounds'!$A$11:$N$49,H$2,0)),0,VLOOKUP('Project Details by Yr - MASTER'!$B92,'Public Grounds'!$A$11:$N$49,H$2,0))+IF(ISNA(VLOOKUP('Project Details by Yr - MASTER'!$B92,'Public Buildings'!$A$10:$N$96,H$2,0)),0,VLOOKUP('Project Details by Yr - MASTER'!$B92,'Public Buildings'!$A$10:$N$96,H$2,0))+IF(ISNA(VLOOKUP('Project Details by Yr - MASTER'!$B92,Bridges!$A$9:$N$24,H$2,0)),0,VLOOKUP('Project Details by Yr - MASTER'!$B92,Bridges!$A$9:$N$24,H$2,0))+IF(ISNA(VLOOKUP('Project Details by Yr - MASTER'!$B92,'Parking Lots &amp; Playgrounds'!$A$9:$N$33,H$2,0)),0,VLOOKUP('Project Details by Yr - MASTER'!$B92,'Parking Lots &amp; Playgrounds'!$A$9:$N$33,H$2,0))+IF(ISNA(VLOOKUP($B92,Vehicles!$B$9:$O$50,H$2,0)),0,VLOOKUP($B92,Vehicles!$B$9:$O$50,H$2,0))</f>
        <v>0</v>
      </c>
      <c r="I92" s="8">
        <f>IF(ISNA(VLOOKUP($B92,'Other Capital Needs'!$C$51:$P$95,I$2,0)),0,VLOOKUP($B92,'Other Capital Needs'!$C$51:$P$95,I$2,0))+IF(ISNA(VLOOKUP('Project Details by Yr - MASTER'!$B92,'Public Grounds'!$A$11:$N$49,I$2,0)),0,VLOOKUP('Project Details by Yr - MASTER'!$B92,'Public Grounds'!$A$11:$N$49,I$2,0))+IF(ISNA(VLOOKUP('Project Details by Yr - MASTER'!$B92,'Public Buildings'!$A$10:$N$96,I$2,0)),0,VLOOKUP('Project Details by Yr - MASTER'!$B92,'Public Buildings'!$A$10:$N$96,I$2,0))+IF(ISNA(VLOOKUP('Project Details by Yr - MASTER'!$B92,Bridges!$A$9:$N$24,I$2,0)),0,VLOOKUP('Project Details by Yr - MASTER'!$B92,Bridges!$A$9:$N$24,I$2,0))+IF(ISNA(VLOOKUP('Project Details by Yr - MASTER'!$B92,'Parking Lots &amp; Playgrounds'!$A$9:$N$33,I$2,0)),0,VLOOKUP('Project Details by Yr - MASTER'!$B92,'Parking Lots &amp; Playgrounds'!$A$9:$N$33,I$2,0))+IF(ISNA(VLOOKUP($B92,Vehicles!$B$9:$O$50,I$2,0)),0,VLOOKUP($B92,Vehicles!$B$9:$O$50,I$2,0))</f>
        <v>0</v>
      </c>
      <c r="J92" s="8">
        <f>IF(ISNA(VLOOKUP($B92,'Other Capital Needs'!$C$51:$P$95,J$2,0)),0,VLOOKUP($B92,'Other Capital Needs'!$C$51:$P$95,J$2,0))+IF(ISNA(VLOOKUP('Project Details by Yr - MASTER'!$B92,'Public Grounds'!$A$11:$N$49,J$2,0)),0,VLOOKUP('Project Details by Yr - MASTER'!$B92,'Public Grounds'!$A$11:$N$49,J$2,0))+IF(ISNA(VLOOKUP('Project Details by Yr - MASTER'!$B92,'Public Buildings'!$A$10:$N$96,J$2,0)),0,VLOOKUP('Project Details by Yr - MASTER'!$B92,'Public Buildings'!$A$10:$N$96,J$2,0))+IF(ISNA(VLOOKUP('Project Details by Yr - MASTER'!$B92,Bridges!$A$9:$N$24,J$2,0)),0,VLOOKUP('Project Details by Yr - MASTER'!$B92,Bridges!$A$9:$N$24,J$2,0))+IF(ISNA(VLOOKUP('Project Details by Yr - MASTER'!$B92,'Parking Lots &amp; Playgrounds'!$A$9:$N$33,J$2,0)),0,VLOOKUP('Project Details by Yr - MASTER'!$B92,'Parking Lots &amp; Playgrounds'!$A$9:$N$33,J$2,0))+IF(ISNA(VLOOKUP($B92,Vehicles!$B$9:$O$50,J$2,0)),0,VLOOKUP($B92,Vehicles!$B$9:$O$50,J$2,0))</f>
        <v>0</v>
      </c>
      <c r="K92" s="8">
        <f>IF(ISNA(VLOOKUP($B92,'Other Capital Needs'!$C$51:$P$95,K$2,0)),0,VLOOKUP($B92,'Other Capital Needs'!$C$51:$P$95,K$2,0))+IF(ISNA(VLOOKUP('Project Details by Yr - MASTER'!$B92,'Public Grounds'!$A$11:$N$49,K$2,0)),0,VLOOKUP('Project Details by Yr - MASTER'!$B92,'Public Grounds'!$A$11:$N$49,K$2,0))+IF(ISNA(VLOOKUP('Project Details by Yr - MASTER'!$B92,'Public Buildings'!$A$10:$N$96,K$2,0)),0,VLOOKUP('Project Details by Yr - MASTER'!$B92,'Public Buildings'!$A$10:$N$96,K$2,0))+IF(ISNA(VLOOKUP('Project Details by Yr - MASTER'!$B92,Bridges!$A$9:$N$24,K$2,0)),0,VLOOKUP('Project Details by Yr - MASTER'!$B92,Bridges!$A$9:$N$24,K$2,0))+IF(ISNA(VLOOKUP('Project Details by Yr - MASTER'!$B92,'Parking Lots &amp; Playgrounds'!$A$9:$N$33,K$2,0)),0,VLOOKUP('Project Details by Yr - MASTER'!$B92,'Parking Lots &amp; Playgrounds'!$A$9:$N$33,K$2,0))+IF(ISNA(VLOOKUP($B92,Vehicles!$B$9:$O$50,K$2,0)),0,VLOOKUP($B92,Vehicles!$B$9:$O$50,K$2,0))</f>
        <v>0</v>
      </c>
    </row>
    <row r="93" spans="2:11" x14ac:dyDescent="0.25">
      <c r="B93" s="26" t="s">
        <v>219</v>
      </c>
      <c r="C93" s="26" t="s">
        <v>47</v>
      </c>
      <c r="D93" s="26" t="s">
        <v>272</v>
      </c>
      <c r="E93" s="31" t="s">
        <v>16</v>
      </c>
      <c r="F93" s="26"/>
      <c r="G93" s="8">
        <f>IF(ISNA(VLOOKUP($B93,'Other Capital Needs'!$C$51:$P$95,G$2,0)),0,VLOOKUP($B93,'Other Capital Needs'!$C$51:$P$95,G$2,0))+IF(ISNA(VLOOKUP('Project Details by Yr - MASTER'!$B93,'Public Grounds'!$A$11:$N$49,G$2,0)),0,VLOOKUP('Project Details by Yr - MASTER'!$B93,'Public Grounds'!$A$11:$N$49,G$2,0))+IF(ISNA(VLOOKUP('Project Details by Yr - MASTER'!$B93,'Public Buildings'!$A$10:$N$96,G$2,0)),0,VLOOKUP('Project Details by Yr - MASTER'!$B93,'Public Buildings'!$A$10:$N$96,G$2,0))+IF(ISNA(VLOOKUP('Project Details by Yr - MASTER'!$B93,Bridges!$A$9:$N$24,G$2,0)),0,VLOOKUP('Project Details by Yr - MASTER'!$B93,Bridges!$A$9:$N$24,G$2,0))+IF(ISNA(VLOOKUP('Project Details by Yr - MASTER'!$B93,'Parking Lots &amp; Playgrounds'!$A$9:$N$33,G$2,0)),0,VLOOKUP('Project Details by Yr - MASTER'!$B93,'Parking Lots &amp; Playgrounds'!$A$9:$N$33,G$2,0))+IF(ISNA(VLOOKUP($B93,Vehicles!$B$9:$O$50,G$2,0)),0,VLOOKUP($B93,Vehicles!$B$9:$O$50,G$2,0))</f>
        <v>325000</v>
      </c>
      <c r="H93" s="8">
        <f>IF(ISNA(VLOOKUP($B93,'Other Capital Needs'!$C$51:$P$95,H$2,0)),0,VLOOKUP($B93,'Other Capital Needs'!$C$51:$P$95,H$2,0))+IF(ISNA(VLOOKUP('Project Details by Yr - MASTER'!$B93,'Public Grounds'!$A$11:$N$49,H$2,0)),0,VLOOKUP('Project Details by Yr - MASTER'!$B93,'Public Grounds'!$A$11:$N$49,H$2,0))+IF(ISNA(VLOOKUP('Project Details by Yr - MASTER'!$B93,'Public Buildings'!$A$10:$N$96,H$2,0)),0,VLOOKUP('Project Details by Yr - MASTER'!$B93,'Public Buildings'!$A$10:$N$96,H$2,0))+IF(ISNA(VLOOKUP('Project Details by Yr - MASTER'!$B93,Bridges!$A$9:$N$24,H$2,0)),0,VLOOKUP('Project Details by Yr - MASTER'!$B93,Bridges!$A$9:$N$24,H$2,0))+IF(ISNA(VLOOKUP('Project Details by Yr - MASTER'!$B93,'Parking Lots &amp; Playgrounds'!$A$9:$N$33,H$2,0)),0,VLOOKUP('Project Details by Yr - MASTER'!$B93,'Parking Lots &amp; Playgrounds'!$A$9:$N$33,H$2,0))+IF(ISNA(VLOOKUP($B93,Vehicles!$B$9:$O$50,H$2,0)),0,VLOOKUP($B93,Vehicles!$B$9:$O$50,H$2,0))</f>
        <v>0</v>
      </c>
      <c r="I93" s="8">
        <f>IF(ISNA(VLOOKUP($B93,'Other Capital Needs'!$C$51:$P$95,I$2,0)),0,VLOOKUP($B93,'Other Capital Needs'!$C$51:$P$95,I$2,0))+IF(ISNA(VLOOKUP('Project Details by Yr - MASTER'!$B93,'Public Grounds'!$A$11:$N$49,I$2,0)),0,VLOOKUP('Project Details by Yr - MASTER'!$B93,'Public Grounds'!$A$11:$N$49,I$2,0))+IF(ISNA(VLOOKUP('Project Details by Yr - MASTER'!$B93,'Public Buildings'!$A$10:$N$96,I$2,0)),0,VLOOKUP('Project Details by Yr - MASTER'!$B93,'Public Buildings'!$A$10:$N$96,I$2,0))+IF(ISNA(VLOOKUP('Project Details by Yr - MASTER'!$B93,Bridges!$A$9:$N$24,I$2,0)),0,VLOOKUP('Project Details by Yr - MASTER'!$B93,Bridges!$A$9:$N$24,I$2,0))+IF(ISNA(VLOOKUP('Project Details by Yr - MASTER'!$B93,'Parking Lots &amp; Playgrounds'!$A$9:$N$33,I$2,0)),0,VLOOKUP('Project Details by Yr - MASTER'!$B93,'Parking Lots &amp; Playgrounds'!$A$9:$N$33,I$2,0))+IF(ISNA(VLOOKUP($B93,Vehicles!$B$9:$O$50,I$2,0)),0,VLOOKUP($B93,Vehicles!$B$9:$O$50,I$2,0))</f>
        <v>0</v>
      </c>
      <c r="J93" s="8">
        <f>IF(ISNA(VLOOKUP($B93,'Other Capital Needs'!$C$51:$P$95,J$2,0)),0,VLOOKUP($B93,'Other Capital Needs'!$C$51:$P$95,J$2,0))+IF(ISNA(VLOOKUP('Project Details by Yr - MASTER'!$B93,'Public Grounds'!$A$11:$N$49,J$2,0)),0,VLOOKUP('Project Details by Yr - MASTER'!$B93,'Public Grounds'!$A$11:$N$49,J$2,0))+IF(ISNA(VLOOKUP('Project Details by Yr - MASTER'!$B93,'Public Buildings'!$A$10:$N$96,J$2,0)),0,VLOOKUP('Project Details by Yr - MASTER'!$B93,'Public Buildings'!$A$10:$N$96,J$2,0))+IF(ISNA(VLOOKUP('Project Details by Yr - MASTER'!$B93,Bridges!$A$9:$N$24,J$2,0)),0,VLOOKUP('Project Details by Yr - MASTER'!$B93,Bridges!$A$9:$N$24,J$2,0))+IF(ISNA(VLOOKUP('Project Details by Yr - MASTER'!$B93,'Parking Lots &amp; Playgrounds'!$A$9:$N$33,J$2,0)),0,VLOOKUP('Project Details by Yr - MASTER'!$B93,'Parking Lots &amp; Playgrounds'!$A$9:$N$33,J$2,0))+IF(ISNA(VLOOKUP($B93,Vehicles!$B$9:$O$50,J$2,0)),0,VLOOKUP($B93,Vehicles!$B$9:$O$50,J$2,0))</f>
        <v>0</v>
      </c>
      <c r="K93" s="8">
        <f>IF(ISNA(VLOOKUP($B93,'Other Capital Needs'!$C$51:$P$95,K$2,0)),0,VLOOKUP($B93,'Other Capital Needs'!$C$51:$P$95,K$2,0))+IF(ISNA(VLOOKUP('Project Details by Yr - MASTER'!$B93,'Public Grounds'!$A$11:$N$49,K$2,0)),0,VLOOKUP('Project Details by Yr - MASTER'!$B93,'Public Grounds'!$A$11:$N$49,K$2,0))+IF(ISNA(VLOOKUP('Project Details by Yr - MASTER'!$B93,'Public Buildings'!$A$10:$N$96,K$2,0)),0,VLOOKUP('Project Details by Yr - MASTER'!$B93,'Public Buildings'!$A$10:$N$96,K$2,0))+IF(ISNA(VLOOKUP('Project Details by Yr - MASTER'!$B93,Bridges!$A$9:$N$24,K$2,0)),0,VLOOKUP('Project Details by Yr - MASTER'!$B93,Bridges!$A$9:$N$24,K$2,0))+IF(ISNA(VLOOKUP('Project Details by Yr - MASTER'!$B93,'Parking Lots &amp; Playgrounds'!$A$9:$N$33,K$2,0)),0,VLOOKUP('Project Details by Yr - MASTER'!$B93,'Parking Lots &amp; Playgrounds'!$A$9:$N$33,K$2,0))+IF(ISNA(VLOOKUP($B93,Vehicles!$B$9:$O$50,K$2,0)),0,VLOOKUP($B93,Vehicles!$B$9:$O$50,K$2,0))</f>
        <v>0</v>
      </c>
    </row>
    <row r="94" spans="2:11" x14ac:dyDescent="0.25">
      <c r="B94" s="26" t="s">
        <v>220</v>
      </c>
      <c r="C94" s="26" t="s">
        <v>47</v>
      </c>
      <c r="D94" s="26" t="s">
        <v>272</v>
      </c>
      <c r="E94" s="31" t="s">
        <v>16</v>
      </c>
      <c r="F94" s="26"/>
      <c r="G94" s="8">
        <f>IF(ISNA(VLOOKUP($B94,'Other Capital Needs'!$C$51:$P$95,G$2,0)),0,VLOOKUP($B94,'Other Capital Needs'!$C$51:$P$95,G$2,0))+IF(ISNA(VLOOKUP('Project Details by Yr - MASTER'!$B94,'Public Grounds'!$A$11:$N$49,G$2,0)),0,VLOOKUP('Project Details by Yr - MASTER'!$B94,'Public Grounds'!$A$11:$N$49,G$2,0))+IF(ISNA(VLOOKUP('Project Details by Yr - MASTER'!$B94,'Public Buildings'!$A$10:$N$96,G$2,0)),0,VLOOKUP('Project Details by Yr - MASTER'!$B94,'Public Buildings'!$A$10:$N$96,G$2,0))+IF(ISNA(VLOOKUP('Project Details by Yr - MASTER'!$B94,Bridges!$A$9:$N$24,G$2,0)),0,VLOOKUP('Project Details by Yr - MASTER'!$B94,Bridges!$A$9:$N$24,G$2,0))+IF(ISNA(VLOOKUP('Project Details by Yr - MASTER'!$B94,'Parking Lots &amp; Playgrounds'!$A$9:$N$33,G$2,0)),0,VLOOKUP('Project Details by Yr - MASTER'!$B94,'Parking Lots &amp; Playgrounds'!$A$9:$N$33,G$2,0))+IF(ISNA(VLOOKUP($B94,Vehicles!$B$9:$O$50,G$2,0)),0,VLOOKUP($B94,Vehicles!$B$9:$O$50,G$2,0))</f>
        <v>0</v>
      </c>
      <c r="H94" s="8">
        <f>IF(ISNA(VLOOKUP($B94,'Other Capital Needs'!$C$51:$P$95,H$2,0)),0,VLOOKUP($B94,'Other Capital Needs'!$C$51:$P$95,H$2,0))+IF(ISNA(VLOOKUP('Project Details by Yr - MASTER'!$B94,'Public Grounds'!$A$11:$N$49,H$2,0)),0,VLOOKUP('Project Details by Yr - MASTER'!$B94,'Public Grounds'!$A$11:$N$49,H$2,0))+IF(ISNA(VLOOKUP('Project Details by Yr - MASTER'!$B94,'Public Buildings'!$A$10:$N$96,H$2,0)),0,VLOOKUP('Project Details by Yr - MASTER'!$B94,'Public Buildings'!$A$10:$N$96,H$2,0))+IF(ISNA(VLOOKUP('Project Details by Yr - MASTER'!$B94,Bridges!$A$9:$N$24,H$2,0)),0,VLOOKUP('Project Details by Yr - MASTER'!$B94,Bridges!$A$9:$N$24,H$2,0))+IF(ISNA(VLOOKUP('Project Details by Yr - MASTER'!$B94,'Parking Lots &amp; Playgrounds'!$A$9:$N$33,H$2,0)),0,VLOOKUP('Project Details by Yr - MASTER'!$B94,'Parking Lots &amp; Playgrounds'!$A$9:$N$33,H$2,0))+IF(ISNA(VLOOKUP($B94,Vehicles!$B$9:$O$50,H$2,0)),0,VLOOKUP($B94,Vehicles!$B$9:$O$50,H$2,0))</f>
        <v>0</v>
      </c>
      <c r="I94" s="8">
        <f>IF(ISNA(VLOOKUP($B94,'Other Capital Needs'!$C$51:$P$95,I$2,0)),0,VLOOKUP($B94,'Other Capital Needs'!$C$51:$P$95,I$2,0))+IF(ISNA(VLOOKUP('Project Details by Yr - MASTER'!$B94,'Public Grounds'!$A$11:$N$49,I$2,0)),0,VLOOKUP('Project Details by Yr - MASTER'!$B94,'Public Grounds'!$A$11:$N$49,I$2,0))+IF(ISNA(VLOOKUP('Project Details by Yr - MASTER'!$B94,'Public Buildings'!$A$10:$N$96,I$2,0)),0,VLOOKUP('Project Details by Yr - MASTER'!$B94,'Public Buildings'!$A$10:$N$96,I$2,0))+IF(ISNA(VLOOKUP('Project Details by Yr - MASTER'!$B94,Bridges!$A$9:$N$24,I$2,0)),0,VLOOKUP('Project Details by Yr - MASTER'!$B94,Bridges!$A$9:$N$24,I$2,0))+IF(ISNA(VLOOKUP('Project Details by Yr - MASTER'!$B94,'Parking Lots &amp; Playgrounds'!$A$9:$N$33,I$2,0)),0,VLOOKUP('Project Details by Yr - MASTER'!$B94,'Parking Lots &amp; Playgrounds'!$A$9:$N$33,I$2,0))+IF(ISNA(VLOOKUP($B94,Vehicles!$B$9:$O$50,I$2,0)),0,VLOOKUP($B94,Vehicles!$B$9:$O$50,I$2,0))</f>
        <v>308333</v>
      </c>
      <c r="J94" s="8">
        <f>IF(ISNA(VLOOKUP($B94,'Other Capital Needs'!$C$51:$P$95,J$2,0)),0,VLOOKUP($B94,'Other Capital Needs'!$C$51:$P$95,J$2,0))+IF(ISNA(VLOOKUP('Project Details by Yr - MASTER'!$B94,'Public Grounds'!$A$11:$N$49,J$2,0)),0,VLOOKUP('Project Details by Yr - MASTER'!$B94,'Public Grounds'!$A$11:$N$49,J$2,0))+IF(ISNA(VLOOKUP('Project Details by Yr - MASTER'!$B94,'Public Buildings'!$A$10:$N$96,J$2,0)),0,VLOOKUP('Project Details by Yr - MASTER'!$B94,'Public Buildings'!$A$10:$N$96,J$2,0))+IF(ISNA(VLOOKUP('Project Details by Yr - MASTER'!$B94,Bridges!$A$9:$N$24,J$2,0)),0,VLOOKUP('Project Details by Yr - MASTER'!$B94,Bridges!$A$9:$N$24,J$2,0))+IF(ISNA(VLOOKUP('Project Details by Yr - MASTER'!$B94,'Parking Lots &amp; Playgrounds'!$A$9:$N$33,J$2,0)),0,VLOOKUP('Project Details by Yr - MASTER'!$B94,'Parking Lots &amp; Playgrounds'!$A$9:$N$33,J$2,0))+IF(ISNA(VLOOKUP($B94,Vehicles!$B$9:$O$50,J$2,0)),0,VLOOKUP($B94,Vehicles!$B$9:$O$50,J$2,0))</f>
        <v>308333</v>
      </c>
      <c r="K94" s="8">
        <f>IF(ISNA(VLOOKUP($B94,'Other Capital Needs'!$C$51:$P$95,K$2,0)),0,VLOOKUP($B94,'Other Capital Needs'!$C$51:$P$95,K$2,0))+IF(ISNA(VLOOKUP('Project Details by Yr - MASTER'!$B94,'Public Grounds'!$A$11:$N$49,K$2,0)),0,VLOOKUP('Project Details by Yr - MASTER'!$B94,'Public Grounds'!$A$11:$N$49,K$2,0))+IF(ISNA(VLOOKUP('Project Details by Yr - MASTER'!$B94,'Public Buildings'!$A$10:$N$96,K$2,0)),0,VLOOKUP('Project Details by Yr - MASTER'!$B94,'Public Buildings'!$A$10:$N$96,K$2,0))+IF(ISNA(VLOOKUP('Project Details by Yr - MASTER'!$B94,Bridges!$A$9:$N$24,K$2,0)),0,VLOOKUP('Project Details by Yr - MASTER'!$B94,Bridges!$A$9:$N$24,K$2,0))+IF(ISNA(VLOOKUP('Project Details by Yr - MASTER'!$B94,'Parking Lots &amp; Playgrounds'!$A$9:$N$33,K$2,0)),0,VLOOKUP('Project Details by Yr - MASTER'!$B94,'Parking Lots &amp; Playgrounds'!$A$9:$N$33,K$2,0))+IF(ISNA(VLOOKUP($B94,Vehicles!$B$9:$O$50,K$2,0)),0,VLOOKUP($B94,Vehicles!$B$9:$O$50,K$2,0))</f>
        <v>308333</v>
      </c>
    </row>
    <row r="95" spans="2:11" x14ac:dyDescent="0.25">
      <c r="B95" s="26" t="s">
        <v>221</v>
      </c>
      <c r="C95" s="26" t="s">
        <v>47</v>
      </c>
      <c r="D95" s="26" t="s">
        <v>272</v>
      </c>
      <c r="E95" s="31" t="s">
        <v>16</v>
      </c>
      <c r="F95" s="26"/>
      <c r="G95" s="8">
        <f>IF(ISNA(VLOOKUP($B95,'Other Capital Needs'!$C$51:$P$95,G$2,0)),0,VLOOKUP($B95,'Other Capital Needs'!$C$51:$P$95,G$2,0))+IF(ISNA(VLOOKUP('Project Details by Yr - MASTER'!$B95,'Public Grounds'!$A$11:$N$49,G$2,0)),0,VLOOKUP('Project Details by Yr - MASTER'!$B95,'Public Grounds'!$A$11:$N$49,G$2,0))+IF(ISNA(VLOOKUP('Project Details by Yr - MASTER'!$B95,'Public Buildings'!$A$10:$N$96,G$2,0)),0,VLOOKUP('Project Details by Yr - MASTER'!$B95,'Public Buildings'!$A$10:$N$96,G$2,0))+IF(ISNA(VLOOKUP('Project Details by Yr - MASTER'!$B95,Bridges!$A$9:$N$24,G$2,0)),0,VLOOKUP('Project Details by Yr - MASTER'!$B95,Bridges!$A$9:$N$24,G$2,0))+IF(ISNA(VLOOKUP('Project Details by Yr - MASTER'!$B95,'Parking Lots &amp; Playgrounds'!$A$9:$N$33,G$2,0)),0,VLOOKUP('Project Details by Yr - MASTER'!$B95,'Parking Lots &amp; Playgrounds'!$A$9:$N$33,G$2,0))+IF(ISNA(VLOOKUP($B95,Vehicles!$B$9:$O$50,G$2,0)),0,VLOOKUP($B95,Vehicles!$B$9:$O$50,G$2,0))</f>
        <v>0</v>
      </c>
      <c r="H95" s="8">
        <f>IF(ISNA(VLOOKUP($B95,'Other Capital Needs'!$C$51:$P$95,H$2,0)),0,VLOOKUP($B95,'Other Capital Needs'!$C$51:$P$95,H$2,0))+IF(ISNA(VLOOKUP('Project Details by Yr - MASTER'!$B95,'Public Grounds'!$A$11:$N$49,H$2,0)),0,VLOOKUP('Project Details by Yr - MASTER'!$B95,'Public Grounds'!$A$11:$N$49,H$2,0))+IF(ISNA(VLOOKUP('Project Details by Yr - MASTER'!$B95,'Public Buildings'!$A$10:$N$96,H$2,0)),0,VLOOKUP('Project Details by Yr - MASTER'!$B95,'Public Buildings'!$A$10:$N$96,H$2,0))+IF(ISNA(VLOOKUP('Project Details by Yr - MASTER'!$B95,Bridges!$A$9:$N$24,H$2,0)),0,VLOOKUP('Project Details by Yr - MASTER'!$B95,Bridges!$A$9:$N$24,H$2,0))+IF(ISNA(VLOOKUP('Project Details by Yr - MASTER'!$B95,'Parking Lots &amp; Playgrounds'!$A$9:$N$33,H$2,0)),0,VLOOKUP('Project Details by Yr - MASTER'!$B95,'Parking Lots &amp; Playgrounds'!$A$9:$N$33,H$2,0))+IF(ISNA(VLOOKUP($B95,Vehicles!$B$9:$O$50,H$2,0)),0,VLOOKUP($B95,Vehicles!$B$9:$O$50,H$2,0))</f>
        <v>0</v>
      </c>
      <c r="I95" s="8">
        <f>IF(ISNA(VLOOKUP($B95,'Other Capital Needs'!$C$51:$P$95,I$2,0)),0,VLOOKUP($B95,'Other Capital Needs'!$C$51:$P$95,I$2,0))+IF(ISNA(VLOOKUP('Project Details by Yr - MASTER'!$B95,'Public Grounds'!$A$11:$N$49,I$2,0)),0,VLOOKUP('Project Details by Yr - MASTER'!$B95,'Public Grounds'!$A$11:$N$49,I$2,0))+IF(ISNA(VLOOKUP('Project Details by Yr - MASTER'!$B95,'Public Buildings'!$A$10:$N$96,I$2,0)),0,VLOOKUP('Project Details by Yr - MASTER'!$B95,'Public Buildings'!$A$10:$N$96,I$2,0))+IF(ISNA(VLOOKUP('Project Details by Yr - MASTER'!$B95,Bridges!$A$9:$N$24,I$2,0)),0,VLOOKUP('Project Details by Yr - MASTER'!$B95,Bridges!$A$9:$N$24,I$2,0))+IF(ISNA(VLOOKUP('Project Details by Yr - MASTER'!$B95,'Parking Lots &amp; Playgrounds'!$A$9:$N$33,I$2,0)),0,VLOOKUP('Project Details by Yr - MASTER'!$B95,'Parking Lots &amp; Playgrounds'!$A$9:$N$33,I$2,0))+IF(ISNA(VLOOKUP($B95,Vehicles!$B$9:$O$50,I$2,0)),0,VLOOKUP($B95,Vehicles!$B$9:$O$50,I$2,0))</f>
        <v>0</v>
      </c>
      <c r="J95" s="8">
        <f>IF(ISNA(VLOOKUP($B95,'Other Capital Needs'!$C$51:$P$95,J$2,0)),0,VLOOKUP($B95,'Other Capital Needs'!$C$51:$P$95,J$2,0))+IF(ISNA(VLOOKUP('Project Details by Yr - MASTER'!$B95,'Public Grounds'!$A$11:$N$49,J$2,0)),0,VLOOKUP('Project Details by Yr - MASTER'!$B95,'Public Grounds'!$A$11:$N$49,J$2,0))+IF(ISNA(VLOOKUP('Project Details by Yr - MASTER'!$B95,'Public Buildings'!$A$10:$N$96,J$2,0)),0,VLOOKUP('Project Details by Yr - MASTER'!$B95,'Public Buildings'!$A$10:$N$96,J$2,0))+IF(ISNA(VLOOKUP('Project Details by Yr - MASTER'!$B95,Bridges!$A$9:$N$24,J$2,0)),0,VLOOKUP('Project Details by Yr - MASTER'!$B95,Bridges!$A$9:$N$24,J$2,0))+IF(ISNA(VLOOKUP('Project Details by Yr - MASTER'!$B95,'Parking Lots &amp; Playgrounds'!$A$9:$N$33,J$2,0)),0,VLOOKUP('Project Details by Yr - MASTER'!$B95,'Parking Lots &amp; Playgrounds'!$A$9:$N$33,J$2,0))+IF(ISNA(VLOOKUP($B95,Vehicles!$B$9:$O$50,J$2,0)),0,VLOOKUP($B95,Vehicles!$B$9:$O$50,J$2,0))</f>
        <v>850000</v>
      </c>
      <c r="K95" s="8">
        <f>IF(ISNA(VLOOKUP($B95,'Other Capital Needs'!$C$51:$P$95,K$2,0)),0,VLOOKUP($B95,'Other Capital Needs'!$C$51:$P$95,K$2,0))+IF(ISNA(VLOOKUP('Project Details by Yr - MASTER'!$B95,'Public Grounds'!$A$11:$N$49,K$2,0)),0,VLOOKUP('Project Details by Yr - MASTER'!$B95,'Public Grounds'!$A$11:$N$49,K$2,0))+IF(ISNA(VLOOKUP('Project Details by Yr - MASTER'!$B95,'Public Buildings'!$A$10:$N$96,K$2,0)),0,VLOOKUP('Project Details by Yr - MASTER'!$B95,'Public Buildings'!$A$10:$N$96,K$2,0))+IF(ISNA(VLOOKUP('Project Details by Yr - MASTER'!$B95,Bridges!$A$9:$N$24,K$2,0)),0,VLOOKUP('Project Details by Yr - MASTER'!$B95,Bridges!$A$9:$N$24,K$2,0))+IF(ISNA(VLOOKUP('Project Details by Yr - MASTER'!$B95,'Parking Lots &amp; Playgrounds'!$A$9:$N$33,K$2,0)),0,VLOOKUP('Project Details by Yr - MASTER'!$B95,'Parking Lots &amp; Playgrounds'!$A$9:$N$33,K$2,0))+IF(ISNA(VLOOKUP($B95,Vehicles!$B$9:$O$50,K$2,0)),0,VLOOKUP($B95,Vehicles!$B$9:$O$50,K$2,0))</f>
        <v>0</v>
      </c>
    </row>
    <row r="96" spans="2:11" x14ac:dyDescent="0.25">
      <c r="B96" s="26" t="s">
        <v>222</v>
      </c>
      <c r="C96" s="26" t="s">
        <v>47</v>
      </c>
      <c r="D96" s="26" t="s">
        <v>272</v>
      </c>
      <c r="E96" s="31" t="s">
        <v>16</v>
      </c>
      <c r="F96" s="26"/>
      <c r="G96" s="8">
        <f>IF(ISNA(VLOOKUP($B96,'Other Capital Needs'!$C$51:$P$95,G$2,0)),0,VLOOKUP($B96,'Other Capital Needs'!$C$51:$P$95,G$2,0))+IF(ISNA(VLOOKUP('Project Details by Yr - MASTER'!$B96,'Public Grounds'!$A$11:$N$49,G$2,0)),0,VLOOKUP('Project Details by Yr - MASTER'!$B96,'Public Grounds'!$A$11:$N$49,G$2,0))+IF(ISNA(VLOOKUP('Project Details by Yr - MASTER'!$B96,'Public Buildings'!$A$10:$N$96,G$2,0)),0,VLOOKUP('Project Details by Yr - MASTER'!$B96,'Public Buildings'!$A$10:$N$96,G$2,0))+IF(ISNA(VLOOKUP('Project Details by Yr - MASTER'!$B96,Bridges!$A$9:$N$24,G$2,0)),0,VLOOKUP('Project Details by Yr - MASTER'!$B96,Bridges!$A$9:$N$24,G$2,0))+IF(ISNA(VLOOKUP('Project Details by Yr - MASTER'!$B96,'Parking Lots &amp; Playgrounds'!$A$9:$N$33,G$2,0)),0,VLOOKUP('Project Details by Yr - MASTER'!$B96,'Parking Lots &amp; Playgrounds'!$A$9:$N$33,G$2,0))+IF(ISNA(VLOOKUP($B96,Vehicles!$B$9:$O$50,G$2,0)),0,VLOOKUP($B96,Vehicles!$B$9:$O$50,G$2,0))</f>
        <v>0</v>
      </c>
      <c r="H96" s="8">
        <f>IF(ISNA(VLOOKUP($B96,'Other Capital Needs'!$C$51:$P$95,H$2,0)),0,VLOOKUP($B96,'Other Capital Needs'!$C$51:$P$95,H$2,0))+IF(ISNA(VLOOKUP('Project Details by Yr - MASTER'!$B96,'Public Grounds'!$A$11:$N$49,H$2,0)),0,VLOOKUP('Project Details by Yr - MASTER'!$B96,'Public Grounds'!$A$11:$N$49,H$2,0))+IF(ISNA(VLOOKUP('Project Details by Yr - MASTER'!$B96,'Public Buildings'!$A$10:$N$96,H$2,0)),0,VLOOKUP('Project Details by Yr - MASTER'!$B96,'Public Buildings'!$A$10:$N$96,H$2,0))+IF(ISNA(VLOOKUP('Project Details by Yr - MASTER'!$B96,Bridges!$A$9:$N$24,H$2,0)),0,VLOOKUP('Project Details by Yr - MASTER'!$B96,Bridges!$A$9:$N$24,H$2,0))+IF(ISNA(VLOOKUP('Project Details by Yr - MASTER'!$B96,'Parking Lots &amp; Playgrounds'!$A$9:$N$33,H$2,0)),0,VLOOKUP('Project Details by Yr - MASTER'!$B96,'Parking Lots &amp; Playgrounds'!$A$9:$N$33,H$2,0))+IF(ISNA(VLOOKUP($B96,Vehicles!$B$9:$O$50,H$2,0)),0,VLOOKUP($B96,Vehicles!$B$9:$O$50,H$2,0))</f>
        <v>0</v>
      </c>
      <c r="I96" s="8">
        <f>IF(ISNA(VLOOKUP($B96,'Other Capital Needs'!$C$51:$P$95,I$2,0)),0,VLOOKUP($B96,'Other Capital Needs'!$C$51:$P$95,I$2,0))+IF(ISNA(VLOOKUP('Project Details by Yr - MASTER'!$B96,'Public Grounds'!$A$11:$N$49,I$2,0)),0,VLOOKUP('Project Details by Yr - MASTER'!$B96,'Public Grounds'!$A$11:$N$49,I$2,0))+IF(ISNA(VLOOKUP('Project Details by Yr - MASTER'!$B96,'Public Buildings'!$A$10:$N$96,I$2,0)),0,VLOOKUP('Project Details by Yr - MASTER'!$B96,'Public Buildings'!$A$10:$N$96,I$2,0))+IF(ISNA(VLOOKUP('Project Details by Yr - MASTER'!$B96,Bridges!$A$9:$N$24,I$2,0)),0,VLOOKUP('Project Details by Yr - MASTER'!$B96,Bridges!$A$9:$N$24,I$2,0))+IF(ISNA(VLOOKUP('Project Details by Yr - MASTER'!$B96,'Parking Lots &amp; Playgrounds'!$A$9:$N$33,I$2,0)),0,VLOOKUP('Project Details by Yr - MASTER'!$B96,'Parking Lots &amp; Playgrounds'!$A$9:$N$33,I$2,0))+IF(ISNA(VLOOKUP($B96,Vehicles!$B$9:$O$50,I$2,0)),0,VLOOKUP($B96,Vehicles!$B$9:$O$50,I$2,0))</f>
        <v>0</v>
      </c>
      <c r="J96" s="8">
        <f>IF(ISNA(VLOOKUP($B96,'Other Capital Needs'!$C$51:$P$95,J$2,0)),0,VLOOKUP($B96,'Other Capital Needs'!$C$51:$P$95,J$2,0))+IF(ISNA(VLOOKUP('Project Details by Yr - MASTER'!$B96,'Public Grounds'!$A$11:$N$49,J$2,0)),0,VLOOKUP('Project Details by Yr - MASTER'!$B96,'Public Grounds'!$A$11:$N$49,J$2,0))+IF(ISNA(VLOOKUP('Project Details by Yr - MASTER'!$B96,'Public Buildings'!$A$10:$N$96,J$2,0)),0,VLOOKUP('Project Details by Yr - MASTER'!$B96,'Public Buildings'!$A$10:$N$96,J$2,0))+IF(ISNA(VLOOKUP('Project Details by Yr - MASTER'!$B96,Bridges!$A$9:$N$24,J$2,0)),0,VLOOKUP('Project Details by Yr - MASTER'!$B96,Bridges!$A$9:$N$24,J$2,0))+IF(ISNA(VLOOKUP('Project Details by Yr - MASTER'!$B96,'Parking Lots &amp; Playgrounds'!$A$9:$N$33,J$2,0)),0,VLOOKUP('Project Details by Yr - MASTER'!$B96,'Parking Lots &amp; Playgrounds'!$A$9:$N$33,J$2,0))+IF(ISNA(VLOOKUP($B96,Vehicles!$B$9:$O$50,J$2,0)),0,VLOOKUP($B96,Vehicles!$B$9:$O$50,J$2,0))</f>
        <v>0</v>
      </c>
      <c r="K96" s="8">
        <f>IF(ISNA(VLOOKUP($B96,'Other Capital Needs'!$C$51:$P$95,K$2,0)),0,VLOOKUP($B96,'Other Capital Needs'!$C$51:$P$95,K$2,0))+IF(ISNA(VLOOKUP('Project Details by Yr - MASTER'!$B96,'Public Grounds'!$A$11:$N$49,K$2,0)),0,VLOOKUP('Project Details by Yr - MASTER'!$B96,'Public Grounds'!$A$11:$N$49,K$2,0))+IF(ISNA(VLOOKUP('Project Details by Yr - MASTER'!$B96,'Public Buildings'!$A$10:$N$96,K$2,0)),0,VLOOKUP('Project Details by Yr - MASTER'!$B96,'Public Buildings'!$A$10:$N$96,K$2,0))+IF(ISNA(VLOOKUP('Project Details by Yr - MASTER'!$B96,Bridges!$A$9:$N$24,K$2,0)),0,VLOOKUP('Project Details by Yr - MASTER'!$B96,Bridges!$A$9:$N$24,K$2,0))+IF(ISNA(VLOOKUP('Project Details by Yr - MASTER'!$B96,'Parking Lots &amp; Playgrounds'!$A$9:$N$33,K$2,0)),0,VLOOKUP('Project Details by Yr - MASTER'!$B96,'Parking Lots &amp; Playgrounds'!$A$9:$N$33,K$2,0))+IF(ISNA(VLOOKUP($B96,Vehicles!$B$9:$O$50,K$2,0)),0,VLOOKUP($B96,Vehicles!$B$9:$O$50,K$2,0))</f>
        <v>0</v>
      </c>
    </row>
    <row r="97" spans="2:11" x14ac:dyDescent="0.25">
      <c r="B97" s="26" t="s">
        <v>223</v>
      </c>
      <c r="C97" s="26" t="s">
        <v>47</v>
      </c>
      <c r="D97" s="26" t="s">
        <v>272</v>
      </c>
      <c r="E97" s="31" t="s">
        <v>16</v>
      </c>
      <c r="F97" s="26"/>
      <c r="G97" s="8">
        <f>IF(ISNA(VLOOKUP($B97,'Other Capital Needs'!$C$51:$P$95,G$2,0)),0,VLOOKUP($B97,'Other Capital Needs'!$C$51:$P$95,G$2,0))+IF(ISNA(VLOOKUP('Project Details by Yr - MASTER'!$B97,'Public Grounds'!$A$11:$N$49,G$2,0)),0,VLOOKUP('Project Details by Yr - MASTER'!$B97,'Public Grounds'!$A$11:$N$49,G$2,0))+IF(ISNA(VLOOKUP('Project Details by Yr - MASTER'!$B97,'Public Buildings'!$A$10:$N$96,G$2,0)),0,VLOOKUP('Project Details by Yr - MASTER'!$B97,'Public Buildings'!$A$10:$N$96,G$2,0))+IF(ISNA(VLOOKUP('Project Details by Yr - MASTER'!$B97,Bridges!$A$9:$N$24,G$2,0)),0,VLOOKUP('Project Details by Yr - MASTER'!$B97,Bridges!$A$9:$N$24,G$2,0))+IF(ISNA(VLOOKUP('Project Details by Yr - MASTER'!$B97,'Parking Lots &amp; Playgrounds'!$A$9:$N$33,G$2,0)),0,VLOOKUP('Project Details by Yr - MASTER'!$B97,'Parking Lots &amp; Playgrounds'!$A$9:$N$33,G$2,0))+IF(ISNA(VLOOKUP($B97,Vehicles!$B$9:$O$50,G$2,0)),0,VLOOKUP($B97,Vehicles!$B$9:$O$50,G$2,0))</f>
        <v>0</v>
      </c>
      <c r="H97" s="8">
        <f>IF(ISNA(VLOOKUP($B97,'Other Capital Needs'!$C$51:$P$95,H$2,0)),0,VLOOKUP($B97,'Other Capital Needs'!$C$51:$P$95,H$2,0))+IF(ISNA(VLOOKUP('Project Details by Yr - MASTER'!$B97,'Public Grounds'!$A$11:$N$49,H$2,0)),0,VLOOKUP('Project Details by Yr - MASTER'!$B97,'Public Grounds'!$A$11:$N$49,H$2,0))+IF(ISNA(VLOOKUP('Project Details by Yr - MASTER'!$B97,'Public Buildings'!$A$10:$N$96,H$2,0)),0,VLOOKUP('Project Details by Yr - MASTER'!$B97,'Public Buildings'!$A$10:$N$96,H$2,0))+IF(ISNA(VLOOKUP('Project Details by Yr - MASTER'!$B97,Bridges!$A$9:$N$24,H$2,0)),0,VLOOKUP('Project Details by Yr - MASTER'!$B97,Bridges!$A$9:$N$24,H$2,0))+IF(ISNA(VLOOKUP('Project Details by Yr - MASTER'!$B97,'Parking Lots &amp; Playgrounds'!$A$9:$N$33,H$2,0)),0,VLOOKUP('Project Details by Yr - MASTER'!$B97,'Parking Lots &amp; Playgrounds'!$A$9:$N$33,H$2,0))+IF(ISNA(VLOOKUP($B97,Vehicles!$B$9:$O$50,H$2,0)),0,VLOOKUP($B97,Vehicles!$B$9:$O$50,H$2,0))</f>
        <v>0</v>
      </c>
      <c r="I97" s="8">
        <f>IF(ISNA(VLOOKUP($B97,'Other Capital Needs'!$C$51:$P$95,I$2,0)),0,VLOOKUP($B97,'Other Capital Needs'!$C$51:$P$95,I$2,0))+IF(ISNA(VLOOKUP('Project Details by Yr - MASTER'!$B97,'Public Grounds'!$A$11:$N$49,I$2,0)),0,VLOOKUP('Project Details by Yr - MASTER'!$B97,'Public Grounds'!$A$11:$N$49,I$2,0))+IF(ISNA(VLOOKUP('Project Details by Yr - MASTER'!$B97,'Public Buildings'!$A$10:$N$96,I$2,0)),0,VLOOKUP('Project Details by Yr - MASTER'!$B97,'Public Buildings'!$A$10:$N$96,I$2,0))+IF(ISNA(VLOOKUP('Project Details by Yr - MASTER'!$B97,Bridges!$A$9:$N$24,I$2,0)),0,VLOOKUP('Project Details by Yr - MASTER'!$B97,Bridges!$A$9:$N$24,I$2,0))+IF(ISNA(VLOOKUP('Project Details by Yr - MASTER'!$B97,'Parking Lots &amp; Playgrounds'!$A$9:$N$33,I$2,0)),0,VLOOKUP('Project Details by Yr - MASTER'!$B97,'Parking Lots &amp; Playgrounds'!$A$9:$N$33,I$2,0))+IF(ISNA(VLOOKUP($B97,Vehicles!$B$9:$O$50,I$2,0)),0,VLOOKUP($B97,Vehicles!$B$9:$O$50,I$2,0))</f>
        <v>0</v>
      </c>
      <c r="J97" s="8">
        <f>IF(ISNA(VLOOKUP($B97,'Other Capital Needs'!$C$51:$P$95,J$2,0)),0,VLOOKUP($B97,'Other Capital Needs'!$C$51:$P$95,J$2,0))+IF(ISNA(VLOOKUP('Project Details by Yr - MASTER'!$B97,'Public Grounds'!$A$11:$N$49,J$2,0)),0,VLOOKUP('Project Details by Yr - MASTER'!$B97,'Public Grounds'!$A$11:$N$49,J$2,0))+IF(ISNA(VLOOKUP('Project Details by Yr - MASTER'!$B97,'Public Buildings'!$A$10:$N$96,J$2,0)),0,VLOOKUP('Project Details by Yr - MASTER'!$B97,'Public Buildings'!$A$10:$N$96,J$2,0))+IF(ISNA(VLOOKUP('Project Details by Yr - MASTER'!$B97,Bridges!$A$9:$N$24,J$2,0)),0,VLOOKUP('Project Details by Yr - MASTER'!$B97,Bridges!$A$9:$N$24,J$2,0))+IF(ISNA(VLOOKUP('Project Details by Yr - MASTER'!$B97,'Parking Lots &amp; Playgrounds'!$A$9:$N$33,J$2,0)),0,VLOOKUP('Project Details by Yr - MASTER'!$B97,'Parking Lots &amp; Playgrounds'!$A$9:$N$33,J$2,0))+IF(ISNA(VLOOKUP($B97,Vehicles!$B$9:$O$50,J$2,0)),0,VLOOKUP($B97,Vehicles!$B$9:$O$50,J$2,0))</f>
        <v>0</v>
      </c>
      <c r="K97" s="8">
        <f>IF(ISNA(VLOOKUP($B97,'Other Capital Needs'!$C$51:$P$95,K$2,0)),0,VLOOKUP($B97,'Other Capital Needs'!$C$51:$P$95,K$2,0))+IF(ISNA(VLOOKUP('Project Details by Yr - MASTER'!$B97,'Public Grounds'!$A$11:$N$49,K$2,0)),0,VLOOKUP('Project Details by Yr - MASTER'!$B97,'Public Grounds'!$A$11:$N$49,K$2,0))+IF(ISNA(VLOOKUP('Project Details by Yr - MASTER'!$B97,'Public Buildings'!$A$10:$N$96,K$2,0)),0,VLOOKUP('Project Details by Yr - MASTER'!$B97,'Public Buildings'!$A$10:$N$96,K$2,0))+IF(ISNA(VLOOKUP('Project Details by Yr - MASTER'!$B97,Bridges!$A$9:$N$24,K$2,0)),0,VLOOKUP('Project Details by Yr - MASTER'!$B97,Bridges!$A$9:$N$24,K$2,0))+IF(ISNA(VLOOKUP('Project Details by Yr - MASTER'!$B97,'Parking Lots &amp; Playgrounds'!$A$9:$N$33,K$2,0)),0,VLOOKUP('Project Details by Yr - MASTER'!$B97,'Parking Lots &amp; Playgrounds'!$A$9:$N$33,K$2,0))+IF(ISNA(VLOOKUP($B97,Vehicles!$B$9:$O$50,K$2,0)),0,VLOOKUP($B97,Vehicles!$B$9:$O$50,K$2,0))</f>
        <v>0</v>
      </c>
    </row>
    <row r="98" spans="2:11" x14ac:dyDescent="0.25">
      <c r="B98" s="34" t="s">
        <v>226</v>
      </c>
      <c r="C98" s="34"/>
      <c r="D98" s="34"/>
      <c r="E98" s="31"/>
      <c r="F98" s="26"/>
      <c r="G98" s="8">
        <f>IF(ISNA(VLOOKUP($B98,'Other Capital Needs'!$C$51:$P$95,G$2,0)),0,VLOOKUP($B98,'Other Capital Needs'!$C$51:$P$95,G$2,0))+IF(ISNA(VLOOKUP('Project Details by Yr - MASTER'!$B98,'Public Grounds'!$A$11:$N$49,G$2,0)),0,VLOOKUP('Project Details by Yr - MASTER'!$B98,'Public Grounds'!$A$11:$N$49,G$2,0))+IF(ISNA(VLOOKUP('Project Details by Yr - MASTER'!$B98,'Public Buildings'!$A$10:$N$96,G$2,0)),0,VLOOKUP('Project Details by Yr - MASTER'!$B98,'Public Buildings'!$A$10:$N$96,G$2,0))+IF(ISNA(VLOOKUP('Project Details by Yr - MASTER'!$B98,Bridges!$A$9:$N$24,G$2,0)),0,VLOOKUP('Project Details by Yr - MASTER'!$B98,Bridges!$A$9:$N$24,G$2,0))+IF(ISNA(VLOOKUP('Project Details by Yr - MASTER'!$B98,'Parking Lots &amp; Playgrounds'!$A$9:$N$33,G$2,0)),0,VLOOKUP('Project Details by Yr - MASTER'!$B98,'Parking Lots &amp; Playgrounds'!$A$9:$N$33,G$2,0))+IF(ISNA(VLOOKUP($B98,Vehicles!$B$9:$O$50,G$2,0)),0,VLOOKUP($B98,Vehicles!$B$9:$O$50,G$2,0))</f>
        <v>0</v>
      </c>
      <c r="H98" s="8">
        <f>IF(ISNA(VLOOKUP($B98,'Other Capital Needs'!$C$51:$P$95,H$2,0)),0,VLOOKUP($B98,'Other Capital Needs'!$C$51:$P$95,H$2,0))+IF(ISNA(VLOOKUP('Project Details by Yr - MASTER'!$B98,'Public Grounds'!$A$11:$N$49,H$2,0)),0,VLOOKUP('Project Details by Yr - MASTER'!$B98,'Public Grounds'!$A$11:$N$49,H$2,0))+IF(ISNA(VLOOKUP('Project Details by Yr - MASTER'!$B98,'Public Buildings'!$A$10:$N$96,H$2,0)),0,VLOOKUP('Project Details by Yr - MASTER'!$B98,'Public Buildings'!$A$10:$N$96,H$2,0))+IF(ISNA(VLOOKUP('Project Details by Yr - MASTER'!$B98,Bridges!$A$9:$N$24,H$2,0)),0,VLOOKUP('Project Details by Yr - MASTER'!$B98,Bridges!$A$9:$N$24,H$2,0))+IF(ISNA(VLOOKUP('Project Details by Yr - MASTER'!$B98,'Parking Lots &amp; Playgrounds'!$A$9:$N$33,H$2,0)),0,VLOOKUP('Project Details by Yr - MASTER'!$B98,'Parking Lots &amp; Playgrounds'!$A$9:$N$33,H$2,0))+IF(ISNA(VLOOKUP($B98,Vehicles!$B$9:$O$50,H$2,0)),0,VLOOKUP($B98,Vehicles!$B$9:$O$50,H$2,0))</f>
        <v>0</v>
      </c>
      <c r="I98" s="8">
        <f>IF(ISNA(VLOOKUP($B98,'Other Capital Needs'!$C$51:$P$95,I$2,0)),0,VLOOKUP($B98,'Other Capital Needs'!$C$51:$P$95,I$2,0))+IF(ISNA(VLOOKUP('Project Details by Yr - MASTER'!$B98,'Public Grounds'!$A$11:$N$49,I$2,0)),0,VLOOKUP('Project Details by Yr - MASTER'!$B98,'Public Grounds'!$A$11:$N$49,I$2,0))+IF(ISNA(VLOOKUP('Project Details by Yr - MASTER'!$B98,'Public Buildings'!$A$10:$N$96,I$2,0)),0,VLOOKUP('Project Details by Yr - MASTER'!$B98,'Public Buildings'!$A$10:$N$96,I$2,0))+IF(ISNA(VLOOKUP('Project Details by Yr - MASTER'!$B98,Bridges!$A$9:$N$24,I$2,0)),0,VLOOKUP('Project Details by Yr - MASTER'!$B98,Bridges!$A$9:$N$24,I$2,0))+IF(ISNA(VLOOKUP('Project Details by Yr - MASTER'!$B98,'Parking Lots &amp; Playgrounds'!$A$9:$N$33,I$2,0)),0,VLOOKUP('Project Details by Yr - MASTER'!$B98,'Parking Lots &amp; Playgrounds'!$A$9:$N$33,I$2,0))+IF(ISNA(VLOOKUP($B98,Vehicles!$B$9:$O$50,I$2,0)),0,VLOOKUP($B98,Vehicles!$B$9:$O$50,I$2,0))</f>
        <v>0</v>
      </c>
      <c r="J98" s="8">
        <f>IF(ISNA(VLOOKUP($B98,'Other Capital Needs'!$C$51:$P$95,J$2,0)),0,VLOOKUP($B98,'Other Capital Needs'!$C$51:$P$95,J$2,0))+IF(ISNA(VLOOKUP('Project Details by Yr - MASTER'!$B98,'Public Grounds'!$A$11:$N$49,J$2,0)),0,VLOOKUP('Project Details by Yr - MASTER'!$B98,'Public Grounds'!$A$11:$N$49,J$2,0))+IF(ISNA(VLOOKUP('Project Details by Yr - MASTER'!$B98,'Public Buildings'!$A$10:$N$96,J$2,0)),0,VLOOKUP('Project Details by Yr - MASTER'!$B98,'Public Buildings'!$A$10:$N$96,J$2,0))+IF(ISNA(VLOOKUP('Project Details by Yr - MASTER'!$B98,Bridges!$A$9:$N$24,J$2,0)),0,VLOOKUP('Project Details by Yr - MASTER'!$B98,Bridges!$A$9:$N$24,J$2,0))+IF(ISNA(VLOOKUP('Project Details by Yr - MASTER'!$B98,'Parking Lots &amp; Playgrounds'!$A$9:$N$33,J$2,0)),0,VLOOKUP('Project Details by Yr - MASTER'!$B98,'Parking Lots &amp; Playgrounds'!$A$9:$N$33,J$2,0))+IF(ISNA(VLOOKUP($B98,Vehicles!$B$9:$O$50,J$2,0)),0,VLOOKUP($B98,Vehicles!$B$9:$O$50,J$2,0))</f>
        <v>0</v>
      </c>
      <c r="K98" s="8">
        <f>IF(ISNA(VLOOKUP($B98,'Other Capital Needs'!$C$51:$P$95,K$2,0)),0,VLOOKUP($B98,'Other Capital Needs'!$C$51:$P$95,K$2,0))+IF(ISNA(VLOOKUP('Project Details by Yr - MASTER'!$B98,'Public Grounds'!$A$11:$N$49,K$2,0)),0,VLOOKUP('Project Details by Yr - MASTER'!$B98,'Public Grounds'!$A$11:$N$49,K$2,0))+IF(ISNA(VLOOKUP('Project Details by Yr - MASTER'!$B98,'Public Buildings'!$A$10:$N$96,K$2,0)),0,VLOOKUP('Project Details by Yr - MASTER'!$B98,'Public Buildings'!$A$10:$N$96,K$2,0))+IF(ISNA(VLOOKUP('Project Details by Yr - MASTER'!$B98,Bridges!$A$9:$N$24,K$2,0)),0,VLOOKUP('Project Details by Yr - MASTER'!$B98,Bridges!$A$9:$N$24,K$2,0))+IF(ISNA(VLOOKUP('Project Details by Yr - MASTER'!$B98,'Parking Lots &amp; Playgrounds'!$A$9:$N$33,K$2,0)),0,VLOOKUP('Project Details by Yr - MASTER'!$B98,'Parking Lots &amp; Playgrounds'!$A$9:$N$33,K$2,0))+IF(ISNA(VLOOKUP($B98,Vehicles!$B$9:$O$50,K$2,0)),0,VLOOKUP($B98,Vehicles!$B$9:$O$50,K$2,0))</f>
        <v>0</v>
      </c>
    </row>
    <row r="99" spans="2:11" x14ac:dyDescent="0.25">
      <c r="B99" s="24" t="s">
        <v>227</v>
      </c>
      <c r="C99" t="s">
        <v>47</v>
      </c>
      <c r="D99" t="s">
        <v>272</v>
      </c>
      <c r="E99" s="1" t="s">
        <v>16</v>
      </c>
      <c r="G99" s="8">
        <f>IF(ISNA(VLOOKUP($B99,'Other Capital Needs'!$C$51:$P$95,G$2,0)),0,VLOOKUP($B99,'Other Capital Needs'!$C$51:$P$95,G$2,0))+IF(ISNA(VLOOKUP('Project Details by Yr - MASTER'!$B99,'Public Grounds'!$A$11:$N$49,G$2,0)),0,VLOOKUP('Project Details by Yr - MASTER'!$B99,'Public Grounds'!$A$11:$N$49,G$2,0))+IF(ISNA(VLOOKUP('Project Details by Yr - MASTER'!$B99,'Public Buildings'!$A$10:$N$96,G$2,0)),0,VLOOKUP('Project Details by Yr - MASTER'!$B99,'Public Buildings'!$A$10:$N$96,G$2,0))+IF(ISNA(VLOOKUP('Project Details by Yr - MASTER'!$B99,Bridges!$A$9:$N$24,G$2,0)),0,VLOOKUP('Project Details by Yr - MASTER'!$B99,Bridges!$A$9:$N$24,G$2,0))+IF(ISNA(VLOOKUP('Project Details by Yr - MASTER'!$B99,'Parking Lots &amp; Playgrounds'!$A$9:$N$33,G$2,0)),0,VLOOKUP('Project Details by Yr - MASTER'!$B99,'Parking Lots &amp; Playgrounds'!$A$9:$N$33,G$2,0))+IF(ISNA(VLOOKUP($B99,Vehicles!$B$9:$O$50,G$2,0)),0,VLOOKUP($B99,Vehicles!$B$9:$O$50,G$2,0))</f>
        <v>150000</v>
      </c>
      <c r="H99" s="8">
        <f>IF(ISNA(VLOOKUP($B99,'Other Capital Needs'!$C$51:$P$95,H$2,0)),0,VLOOKUP($B99,'Other Capital Needs'!$C$51:$P$95,H$2,0))+IF(ISNA(VLOOKUP('Project Details by Yr - MASTER'!$B99,'Public Grounds'!$A$11:$N$49,H$2,0)),0,VLOOKUP('Project Details by Yr - MASTER'!$B99,'Public Grounds'!$A$11:$N$49,H$2,0))+IF(ISNA(VLOOKUP('Project Details by Yr - MASTER'!$B99,'Public Buildings'!$A$10:$N$96,H$2,0)),0,VLOOKUP('Project Details by Yr - MASTER'!$B99,'Public Buildings'!$A$10:$N$96,H$2,0))+IF(ISNA(VLOOKUP('Project Details by Yr - MASTER'!$B99,Bridges!$A$9:$N$24,H$2,0)),0,VLOOKUP('Project Details by Yr - MASTER'!$B99,Bridges!$A$9:$N$24,H$2,0))+IF(ISNA(VLOOKUP('Project Details by Yr - MASTER'!$B99,'Parking Lots &amp; Playgrounds'!$A$9:$N$33,H$2,0)),0,VLOOKUP('Project Details by Yr - MASTER'!$B99,'Parking Lots &amp; Playgrounds'!$A$9:$N$33,H$2,0))+IF(ISNA(VLOOKUP($B99,Vehicles!$B$9:$O$50,H$2,0)),0,VLOOKUP($B99,Vehicles!$B$9:$O$50,H$2,0))</f>
        <v>0</v>
      </c>
      <c r="I99" s="8">
        <f>IF(ISNA(VLOOKUP($B99,'Other Capital Needs'!$C$51:$P$95,I$2,0)),0,VLOOKUP($B99,'Other Capital Needs'!$C$51:$P$95,I$2,0))+IF(ISNA(VLOOKUP('Project Details by Yr - MASTER'!$B99,'Public Grounds'!$A$11:$N$49,I$2,0)),0,VLOOKUP('Project Details by Yr - MASTER'!$B99,'Public Grounds'!$A$11:$N$49,I$2,0))+IF(ISNA(VLOOKUP('Project Details by Yr - MASTER'!$B99,'Public Buildings'!$A$10:$N$96,I$2,0)),0,VLOOKUP('Project Details by Yr - MASTER'!$B99,'Public Buildings'!$A$10:$N$96,I$2,0))+IF(ISNA(VLOOKUP('Project Details by Yr - MASTER'!$B99,Bridges!$A$9:$N$24,I$2,0)),0,VLOOKUP('Project Details by Yr - MASTER'!$B99,Bridges!$A$9:$N$24,I$2,0))+IF(ISNA(VLOOKUP('Project Details by Yr - MASTER'!$B99,'Parking Lots &amp; Playgrounds'!$A$9:$N$33,I$2,0)),0,VLOOKUP('Project Details by Yr - MASTER'!$B99,'Parking Lots &amp; Playgrounds'!$A$9:$N$33,I$2,0))+IF(ISNA(VLOOKUP($B99,Vehicles!$B$9:$O$50,I$2,0)),0,VLOOKUP($B99,Vehicles!$B$9:$O$50,I$2,0))</f>
        <v>0</v>
      </c>
      <c r="J99" s="8">
        <f>IF(ISNA(VLOOKUP($B99,'Other Capital Needs'!$C$51:$P$95,J$2,0)),0,VLOOKUP($B99,'Other Capital Needs'!$C$51:$P$95,J$2,0))+IF(ISNA(VLOOKUP('Project Details by Yr - MASTER'!$B99,'Public Grounds'!$A$11:$N$49,J$2,0)),0,VLOOKUP('Project Details by Yr - MASTER'!$B99,'Public Grounds'!$A$11:$N$49,J$2,0))+IF(ISNA(VLOOKUP('Project Details by Yr - MASTER'!$B99,'Public Buildings'!$A$10:$N$96,J$2,0)),0,VLOOKUP('Project Details by Yr - MASTER'!$B99,'Public Buildings'!$A$10:$N$96,J$2,0))+IF(ISNA(VLOOKUP('Project Details by Yr - MASTER'!$B99,Bridges!$A$9:$N$24,J$2,0)),0,VLOOKUP('Project Details by Yr - MASTER'!$B99,Bridges!$A$9:$N$24,J$2,0))+IF(ISNA(VLOOKUP('Project Details by Yr - MASTER'!$B99,'Parking Lots &amp; Playgrounds'!$A$9:$N$33,J$2,0)),0,VLOOKUP('Project Details by Yr - MASTER'!$B99,'Parking Lots &amp; Playgrounds'!$A$9:$N$33,J$2,0))+IF(ISNA(VLOOKUP($B99,Vehicles!$B$9:$O$50,J$2,0)),0,VLOOKUP($B99,Vehicles!$B$9:$O$50,J$2,0))</f>
        <v>0</v>
      </c>
      <c r="K99" s="8">
        <f>IF(ISNA(VLOOKUP($B99,'Other Capital Needs'!$C$51:$P$95,K$2,0)),0,VLOOKUP($B99,'Other Capital Needs'!$C$51:$P$95,K$2,0))+IF(ISNA(VLOOKUP('Project Details by Yr - MASTER'!$B99,'Public Grounds'!$A$11:$N$49,K$2,0)),0,VLOOKUP('Project Details by Yr - MASTER'!$B99,'Public Grounds'!$A$11:$N$49,K$2,0))+IF(ISNA(VLOOKUP('Project Details by Yr - MASTER'!$B99,'Public Buildings'!$A$10:$N$96,K$2,0)),0,VLOOKUP('Project Details by Yr - MASTER'!$B99,'Public Buildings'!$A$10:$N$96,K$2,0))+IF(ISNA(VLOOKUP('Project Details by Yr - MASTER'!$B99,Bridges!$A$9:$N$24,K$2,0)),0,VLOOKUP('Project Details by Yr - MASTER'!$B99,Bridges!$A$9:$N$24,K$2,0))+IF(ISNA(VLOOKUP('Project Details by Yr - MASTER'!$B99,'Parking Lots &amp; Playgrounds'!$A$9:$N$33,K$2,0)),0,VLOOKUP('Project Details by Yr - MASTER'!$B99,'Parking Lots &amp; Playgrounds'!$A$9:$N$33,K$2,0))+IF(ISNA(VLOOKUP($B99,Vehicles!$B$9:$O$50,K$2,0)),0,VLOOKUP($B99,Vehicles!$B$9:$O$50,K$2,0))</f>
        <v>0</v>
      </c>
    </row>
    <row r="100" spans="2:11" x14ac:dyDescent="0.25">
      <c r="B100" s="24" t="s">
        <v>232</v>
      </c>
      <c r="C100" t="s">
        <v>47</v>
      </c>
      <c r="D100" t="s">
        <v>272</v>
      </c>
      <c r="E100" s="1" t="s">
        <v>16</v>
      </c>
      <c r="G100" s="8">
        <f>IF(ISNA(VLOOKUP($B100,'Other Capital Needs'!$C$51:$P$95,G$2,0)),0,VLOOKUP($B100,'Other Capital Needs'!$C$51:$P$95,G$2,0))+IF(ISNA(VLOOKUP('Project Details by Yr - MASTER'!$B100,'Public Grounds'!$A$11:$N$49,G$2,0)),0,VLOOKUP('Project Details by Yr - MASTER'!$B100,'Public Grounds'!$A$11:$N$49,G$2,0))+IF(ISNA(VLOOKUP('Project Details by Yr - MASTER'!$B100,'Public Buildings'!$A$10:$N$96,G$2,0)),0,VLOOKUP('Project Details by Yr - MASTER'!$B100,'Public Buildings'!$A$10:$N$96,G$2,0))+IF(ISNA(VLOOKUP('Project Details by Yr - MASTER'!$B100,Bridges!$A$9:$N$24,G$2,0)),0,VLOOKUP('Project Details by Yr - MASTER'!$B100,Bridges!$A$9:$N$24,G$2,0))+IF(ISNA(VLOOKUP('Project Details by Yr - MASTER'!$B100,'Parking Lots &amp; Playgrounds'!$A$9:$N$33,G$2,0)),0,VLOOKUP('Project Details by Yr - MASTER'!$B100,'Parking Lots &amp; Playgrounds'!$A$9:$N$33,G$2,0))+IF(ISNA(VLOOKUP($B100,Vehicles!$B$9:$O$50,G$2,0)),0,VLOOKUP($B100,Vehicles!$B$9:$O$50,G$2,0))</f>
        <v>0</v>
      </c>
      <c r="H100" s="8">
        <f>IF(ISNA(VLOOKUP($B100,'Other Capital Needs'!$C$51:$P$95,H$2,0)),0,VLOOKUP($B100,'Other Capital Needs'!$C$51:$P$95,H$2,0))+IF(ISNA(VLOOKUP('Project Details by Yr - MASTER'!$B100,'Public Grounds'!$A$11:$N$49,H$2,0)),0,VLOOKUP('Project Details by Yr - MASTER'!$B100,'Public Grounds'!$A$11:$N$49,H$2,0))+IF(ISNA(VLOOKUP('Project Details by Yr - MASTER'!$B100,'Public Buildings'!$A$10:$N$96,H$2,0)),0,VLOOKUP('Project Details by Yr - MASTER'!$B100,'Public Buildings'!$A$10:$N$96,H$2,0))+IF(ISNA(VLOOKUP('Project Details by Yr - MASTER'!$B100,Bridges!$A$9:$N$24,H$2,0)),0,VLOOKUP('Project Details by Yr - MASTER'!$B100,Bridges!$A$9:$N$24,H$2,0))+IF(ISNA(VLOOKUP('Project Details by Yr - MASTER'!$B100,'Parking Lots &amp; Playgrounds'!$A$9:$N$33,H$2,0)),0,VLOOKUP('Project Details by Yr - MASTER'!$B100,'Parking Lots &amp; Playgrounds'!$A$9:$N$33,H$2,0))+IF(ISNA(VLOOKUP($B100,Vehicles!$B$9:$O$50,H$2,0)),0,VLOOKUP($B100,Vehicles!$B$9:$O$50,H$2,0))</f>
        <v>95000</v>
      </c>
      <c r="I100" s="8">
        <f>IF(ISNA(VLOOKUP($B100,'Other Capital Needs'!$C$51:$P$95,I$2,0)),0,VLOOKUP($B100,'Other Capital Needs'!$C$51:$P$95,I$2,0))+IF(ISNA(VLOOKUP('Project Details by Yr - MASTER'!$B100,'Public Grounds'!$A$11:$N$49,I$2,0)),0,VLOOKUP('Project Details by Yr - MASTER'!$B100,'Public Grounds'!$A$11:$N$49,I$2,0))+IF(ISNA(VLOOKUP('Project Details by Yr - MASTER'!$B100,'Public Buildings'!$A$10:$N$96,I$2,0)),0,VLOOKUP('Project Details by Yr - MASTER'!$B100,'Public Buildings'!$A$10:$N$96,I$2,0))+IF(ISNA(VLOOKUP('Project Details by Yr - MASTER'!$B100,Bridges!$A$9:$N$24,I$2,0)),0,VLOOKUP('Project Details by Yr - MASTER'!$B100,Bridges!$A$9:$N$24,I$2,0))+IF(ISNA(VLOOKUP('Project Details by Yr - MASTER'!$B100,'Parking Lots &amp; Playgrounds'!$A$9:$N$33,I$2,0)),0,VLOOKUP('Project Details by Yr - MASTER'!$B100,'Parking Lots &amp; Playgrounds'!$A$9:$N$33,I$2,0))+IF(ISNA(VLOOKUP($B100,Vehicles!$B$9:$O$50,I$2,0)),0,VLOOKUP($B100,Vehicles!$B$9:$O$50,I$2,0))</f>
        <v>0</v>
      </c>
      <c r="J100" s="8">
        <f>IF(ISNA(VLOOKUP($B100,'Other Capital Needs'!$C$51:$P$95,J$2,0)),0,VLOOKUP($B100,'Other Capital Needs'!$C$51:$P$95,J$2,0))+IF(ISNA(VLOOKUP('Project Details by Yr - MASTER'!$B100,'Public Grounds'!$A$11:$N$49,J$2,0)),0,VLOOKUP('Project Details by Yr - MASTER'!$B100,'Public Grounds'!$A$11:$N$49,J$2,0))+IF(ISNA(VLOOKUP('Project Details by Yr - MASTER'!$B100,'Public Buildings'!$A$10:$N$96,J$2,0)),0,VLOOKUP('Project Details by Yr - MASTER'!$B100,'Public Buildings'!$A$10:$N$96,J$2,0))+IF(ISNA(VLOOKUP('Project Details by Yr - MASTER'!$B100,Bridges!$A$9:$N$24,J$2,0)),0,VLOOKUP('Project Details by Yr - MASTER'!$B100,Bridges!$A$9:$N$24,J$2,0))+IF(ISNA(VLOOKUP('Project Details by Yr - MASTER'!$B100,'Parking Lots &amp; Playgrounds'!$A$9:$N$33,J$2,0)),0,VLOOKUP('Project Details by Yr - MASTER'!$B100,'Parking Lots &amp; Playgrounds'!$A$9:$N$33,J$2,0))+IF(ISNA(VLOOKUP($B100,Vehicles!$B$9:$O$50,J$2,0)),0,VLOOKUP($B100,Vehicles!$B$9:$O$50,J$2,0))</f>
        <v>0</v>
      </c>
      <c r="K100" s="8">
        <f>IF(ISNA(VLOOKUP($B100,'Other Capital Needs'!$C$51:$P$95,K$2,0)),0,VLOOKUP($B100,'Other Capital Needs'!$C$51:$P$95,K$2,0))+IF(ISNA(VLOOKUP('Project Details by Yr - MASTER'!$B100,'Public Grounds'!$A$11:$N$49,K$2,0)),0,VLOOKUP('Project Details by Yr - MASTER'!$B100,'Public Grounds'!$A$11:$N$49,K$2,0))+IF(ISNA(VLOOKUP('Project Details by Yr - MASTER'!$B100,'Public Buildings'!$A$10:$N$96,K$2,0)),0,VLOOKUP('Project Details by Yr - MASTER'!$B100,'Public Buildings'!$A$10:$N$96,K$2,0))+IF(ISNA(VLOOKUP('Project Details by Yr - MASTER'!$B100,Bridges!$A$9:$N$24,K$2,0)),0,VLOOKUP('Project Details by Yr - MASTER'!$B100,Bridges!$A$9:$N$24,K$2,0))+IF(ISNA(VLOOKUP('Project Details by Yr - MASTER'!$B100,'Parking Lots &amp; Playgrounds'!$A$9:$N$33,K$2,0)),0,VLOOKUP('Project Details by Yr - MASTER'!$B100,'Parking Lots &amp; Playgrounds'!$A$9:$N$33,K$2,0))+IF(ISNA(VLOOKUP($B100,Vehicles!$B$9:$O$50,K$2,0)),0,VLOOKUP($B100,Vehicles!$B$9:$O$50,K$2,0))</f>
        <v>0</v>
      </c>
    </row>
    <row r="101" spans="2:11" x14ac:dyDescent="0.25">
      <c r="B101" s="24" t="s">
        <v>228</v>
      </c>
      <c r="C101" t="s">
        <v>47</v>
      </c>
      <c r="D101" t="s">
        <v>272</v>
      </c>
      <c r="E101" s="1"/>
      <c r="G101" s="8">
        <f>IF(ISNA(VLOOKUP($B101,'Other Capital Needs'!$C$51:$P$95,G$2,0)),0,VLOOKUP($B101,'Other Capital Needs'!$C$51:$P$95,G$2,0))+IF(ISNA(VLOOKUP('Project Details by Yr - MASTER'!$B101,'Public Grounds'!$A$11:$N$49,G$2,0)),0,VLOOKUP('Project Details by Yr - MASTER'!$B101,'Public Grounds'!$A$11:$N$49,G$2,0))+IF(ISNA(VLOOKUP('Project Details by Yr - MASTER'!$B101,'Public Buildings'!$A$10:$N$96,G$2,0)),0,VLOOKUP('Project Details by Yr - MASTER'!$B101,'Public Buildings'!$A$10:$N$96,G$2,0))+IF(ISNA(VLOOKUP('Project Details by Yr - MASTER'!$B101,Bridges!$A$9:$N$24,G$2,0)),0,VLOOKUP('Project Details by Yr - MASTER'!$B101,Bridges!$A$9:$N$24,G$2,0))+IF(ISNA(VLOOKUP('Project Details by Yr - MASTER'!$B101,'Parking Lots &amp; Playgrounds'!$A$9:$N$33,G$2,0)),0,VLOOKUP('Project Details by Yr - MASTER'!$B101,'Parking Lots &amp; Playgrounds'!$A$9:$N$33,G$2,0))+IF(ISNA(VLOOKUP($B101,Vehicles!$B$9:$O$50,G$2,0)),0,VLOOKUP($B101,Vehicles!$B$9:$O$50,G$2,0))</f>
        <v>0</v>
      </c>
      <c r="H101" s="8">
        <f>IF(ISNA(VLOOKUP($B101,'Other Capital Needs'!$C$51:$P$95,H$2,0)),0,VLOOKUP($B101,'Other Capital Needs'!$C$51:$P$95,H$2,0))+IF(ISNA(VLOOKUP('Project Details by Yr - MASTER'!$B101,'Public Grounds'!$A$11:$N$49,H$2,0)),0,VLOOKUP('Project Details by Yr - MASTER'!$B101,'Public Grounds'!$A$11:$N$49,H$2,0))+IF(ISNA(VLOOKUP('Project Details by Yr - MASTER'!$B101,'Public Buildings'!$A$10:$N$96,H$2,0)),0,VLOOKUP('Project Details by Yr - MASTER'!$B101,'Public Buildings'!$A$10:$N$96,H$2,0))+IF(ISNA(VLOOKUP('Project Details by Yr - MASTER'!$B101,Bridges!$A$9:$N$24,H$2,0)),0,VLOOKUP('Project Details by Yr - MASTER'!$B101,Bridges!$A$9:$N$24,H$2,0))+IF(ISNA(VLOOKUP('Project Details by Yr - MASTER'!$B101,'Parking Lots &amp; Playgrounds'!$A$9:$N$33,H$2,0)),0,VLOOKUP('Project Details by Yr - MASTER'!$B101,'Parking Lots &amp; Playgrounds'!$A$9:$N$33,H$2,0))+IF(ISNA(VLOOKUP($B101,Vehicles!$B$9:$O$50,H$2,0)),0,VLOOKUP($B101,Vehicles!$B$9:$O$50,H$2,0))</f>
        <v>50000</v>
      </c>
      <c r="I101" s="8">
        <f>IF(ISNA(VLOOKUP($B101,'Other Capital Needs'!$C$51:$P$95,I$2,0)),0,VLOOKUP($B101,'Other Capital Needs'!$C$51:$P$95,I$2,0))+IF(ISNA(VLOOKUP('Project Details by Yr - MASTER'!$B101,'Public Grounds'!$A$11:$N$49,I$2,0)),0,VLOOKUP('Project Details by Yr - MASTER'!$B101,'Public Grounds'!$A$11:$N$49,I$2,0))+IF(ISNA(VLOOKUP('Project Details by Yr - MASTER'!$B101,'Public Buildings'!$A$10:$N$96,I$2,0)),0,VLOOKUP('Project Details by Yr - MASTER'!$B101,'Public Buildings'!$A$10:$N$96,I$2,0))+IF(ISNA(VLOOKUP('Project Details by Yr - MASTER'!$B101,Bridges!$A$9:$N$24,I$2,0)),0,VLOOKUP('Project Details by Yr - MASTER'!$B101,Bridges!$A$9:$N$24,I$2,0))+IF(ISNA(VLOOKUP('Project Details by Yr - MASTER'!$B101,'Parking Lots &amp; Playgrounds'!$A$9:$N$33,I$2,0)),0,VLOOKUP('Project Details by Yr - MASTER'!$B101,'Parking Lots &amp; Playgrounds'!$A$9:$N$33,I$2,0))+IF(ISNA(VLOOKUP($B101,Vehicles!$B$9:$O$50,I$2,0)),0,VLOOKUP($B101,Vehicles!$B$9:$O$50,I$2,0))</f>
        <v>0</v>
      </c>
      <c r="J101" s="8">
        <f>IF(ISNA(VLOOKUP($B101,'Other Capital Needs'!$C$51:$P$95,J$2,0)),0,VLOOKUP($B101,'Other Capital Needs'!$C$51:$P$95,J$2,0))+IF(ISNA(VLOOKUP('Project Details by Yr - MASTER'!$B101,'Public Grounds'!$A$11:$N$49,J$2,0)),0,VLOOKUP('Project Details by Yr - MASTER'!$B101,'Public Grounds'!$A$11:$N$49,J$2,0))+IF(ISNA(VLOOKUP('Project Details by Yr - MASTER'!$B101,'Public Buildings'!$A$10:$N$96,J$2,0)),0,VLOOKUP('Project Details by Yr - MASTER'!$B101,'Public Buildings'!$A$10:$N$96,J$2,0))+IF(ISNA(VLOOKUP('Project Details by Yr - MASTER'!$B101,Bridges!$A$9:$N$24,J$2,0)),0,VLOOKUP('Project Details by Yr - MASTER'!$B101,Bridges!$A$9:$N$24,J$2,0))+IF(ISNA(VLOOKUP('Project Details by Yr - MASTER'!$B101,'Parking Lots &amp; Playgrounds'!$A$9:$N$33,J$2,0)),0,VLOOKUP('Project Details by Yr - MASTER'!$B101,'Parking Lots &amp; Playgrounds'!$A$9:$N$33,J$2,0))+IF(ISNA(VLOOKUP($B101,Vehicles!$B$9:$O$50,J$2,0)),0,VLOOKUP($B101,Vehicles!$B$9:$O$50,J$2,0))</f>
        <v>0</v>
      </c>
      <c r="K101" s="8">
        <f>IF(ISNA(VLOOKUP($B101,'Other Capital Needs'!$C$51:$P$95,K$2,0)),0,VLOOKUP($B101,'Other Capital Needs'!$C$51:$P$95,K$2,0))+IF(ISNA(VLOOKUP('Project Details by Yr - MASTER'!$B101,'Public Grounds'!$A$11:$N$49,K$2,0)),0,VLOOKUP('Project Details by Yr - MASTER'!$B101,'Public Grounds'!$A$11:$N$49,K$2,0))+IF(ISNA(VLOOKUP('Project Details by Yr - MASTER'!$B101,'Public Buildings'!$A$10:$N$96,K$2,0)),0,VLOOKUP('Project Details by Yr - MASTER'!$B101,'Public Buildings'!$A$10:$N$96,K$2,0))+IF(ISNA(VLOOKUP('Project Details by Yr - MASTER'!$B101,Bridges!$A$9:$N$24,K$2,0)),0,VLOOKUP('Project Details by Yr - MASTER'!$B101,Bridges!$A$9:$N$24,K$2,0))+IF(ISNA(VLOOKUP('Project Details by Yr - MASTER'!$B101,'Parking Lots &amp; Playgrounds'!$A$9:$N$33,K$2,0)),0,VLOOKUP('Project Details by Yr - MASTER'!$B101,'Parking Lots &amp; Playgrounds'!$A$9:$N$33,K$2,0))+IF(ISNA(VLOOKUP($B101,Vehicles!$B$9:$O$50,K$2,0)),0,VLOOKUP($B101,Vehicles!$B$9:$O$50,K$2,0))</f>
        <v>0</v>
      </c>
    </row>
    <row r="102" spans="2:11" x14ac:dyDescent="0.25">
      <c r="B102" s="24" t="s">
        <v>229</v>
      </c>
      <c r="C102" t="s">
        <v>47</v>
      </c>
      <c r="D102" t="s">
        <v>272</v>
      </c>
      <c r="E102" s="1"/>
      <c r="G102" s="8">
        <f>IF(ISNA(VLOOKUP($B102,'Other Capital Needs'!$C$51:$P$95,G$2,0)),0,VLOOKUP($B102,'Other Capital Needs'!$C$51:$P$95,G$2,0))+IF(ISNA(VLOOKUP('Project Details by Yr - MASTER'!$B102,'Public Grounds'!$A$11:$N$49,G$2,0)),0,VLOOKUP('Project Details by Yr - MASTER'!$B102,'Public Grounds'!$A$11:$N$49,G$2,0))+IF(ISNA(VLOOKUP('Project Details by Yr - MASTER'!$B102,'Public Buildings'!$A$10:$N$96,G$2,0)),0,VLOOKUP('Project Details by Yr - MASTER'!$B102,'Public Buildings'!$A$10:$N$96,G$2,0))+IF(ISNA(VLOOKUP('Project Details by Yr - MASTER'!$B102,Bridges!$A$9:$N$24,G$2,0)),0,VLOOKUP('Project Details by Yr - MASTER'!$B102,Bridges!$A$9:$N$24,G$2,0))+IF(ISNA(VLOOKUP('Project Details by Yr - MASTER'!$B102,'Parking Lots &amp; Playgrounds'!$A$9:$N$33,G$2,0)),0,VLOOKUP('Project Details by Yr - MASTER'!$B102,'Parking Lots &amp; Playgrounds'!$A$9:$N$33,G$2,0))+IF(ISNA(VLOOKUP($B102,Vehicles!$B$9:$O$50,G$2,0)),0,VLOOKUP($B102,Vehicles!$B$9:$O$50,G$2,0))</f>
        <v>0</v>
      </c>
      <c r="H102" s="8">
        <f>IF(ISNA(VLOOKUP($B102,'Other Capital Needs'!$C$51:$P$95,H$2,0)),0,VLOOKUP($B102,'Other Capital Needs'!$C$51:$P$95,H$2,0))+IF(ISNA(VLOOKUP('Project Details by Yr - MASTER'!$B102,'Public Grounds'!$A$11:$N$49,H$2,0)),0,VLOOKUP('Project Details by Yr - MASTER'!$B102,'Public Grounds'!$A$11:$N$49,H$2,0))+IF(ISNA(VLOOKUP('Project Details by Yr - MASTER'!$B102,'Public Buildings'!$A$10:$N$96,H$2,0)),0,VLOOKUP('Project Details by Yr - MASTER'!$B102,'Public Buildings'!$A$10:$N$96,H$2,0))+IF(ISNA(VLOOKUP('Project Details by Yr - MASTER'!$B102,Bridges!$A$9:$N$24,H$2,0)),0,VLOOKUP('Project Details by Yr - MASTER'!$B102,Bridges!$A$9:$N$24,H$2,0))+IF(ISNA(VLOOKUP('Project Details by Yr - MASTER'!$B102,'Parking Lots &amp; Playgrounds'!$A$9:$N$33,H$2,0)),0,VLOOKUP('Project Details by Yr - MASTER'!$B102,'Parking Lots &amp; Playgrounds'!$A$9:$N$33,H$2,0))+IF(ISNA(VLOOKUP($B102,Vehicles!$B$9:$O$50,H$2,0)),0,VLOOKUP($B102,Vehicles!$B$9:$O$50,H$2,0))</f>
        <v>0</v>
      </c>
      <c r="I102" s="8">
        <f>IF(ISNA(VLOOKUP($B102,'Other Capital Needs'!$C$51:$P$95,I$2,0)),0,VLOOKUP($B102,'Other Capital Needs'!$C$51:$P$95,I$2,0))+IF(ISNA(VLOOKUP('Project Details by Yr - MASTER'!$B102,'Public Grounds'!$A$11:$N$49,I$2,0)),0,VLOOKUP('Project Details by Yr - MASTER'!$B102,'Public Grounds'!$A$11:$N$49,I$2,0))+IF(ISNA(VLOOKUP('Project Details by Yr - MASTER'!$B102,'Public Buildings'!$A$10:$N$96,I$2,0)),0,VLOOKUP('Project Details by Yr - MASTER'!$B102,'Public Buildings'!$A$10:$N$96,I$2,0))+IF(ISNA(VLOOKUP('Project Details by Yr - MASTER'!$B102,Bridges!$A$9:$N$24,I$2,0)),0,VLOOKUP('Project Details by Yr - MASTER'!$B102,Bridges!$A$9:$N$24,I$2,0))+IF(ISNA(VLOOKUP('Project Details by Yr - MASTER'!$B102,'Parking Lots &amp; Playgrounds'!$A$9:$N$33,I$2,0)),0,VLOOKUP('Project Details by Yr - MASTER'!$B102,'Parking Lots &amp; Playgrounds'!$A$9:$N$33,I$2,0))+IF(ISNA(VLOOKUP($B102,Vehicles!$B$9:$O$50,I$2,0)),0,VLOOKUP($B102,Vehicles!$B$9:$O$50,I$2,0))</f>
        <v>0</v>
      </c>
      <c r="J102" s="8">
        <f>IF(ISNA(VLOOKUP($B102,'Other Capital Needs'!$C$51:$P$95,J$2,0)),0,VLOOKUP($B102,'Other Capital Needs'!$C$51:$P$95,J$2,0))+IF(ISNA(VLOOKUP('Project Details by Yr - MASTER'!$B102,'Public Grounds'!$A$11:$N$49,J$2,0)),0,VLOOKUP('Project Details by Yr - MASTER'!$B102,'Public Grounds'!$A$11:$N$49,J$2,0))+IF(ISNA(VLOOKUP('Project Details by Yr - MASTER'!$B102,'Public Buildings'!$A$10:$N$96,J$2,0)),0,VLOOKUP('Project Details by Yr - MASTER'!$B102,'Public Buildings'!$A$10:$N$96,J$2,0))+IF(ISNA(VLOOKUP('Project Details by Yr - MASTER'!$B102,Bridges!$A$9:$N$24,J$2,0)),0,VLOOKUP('Project Details by Yr - MASTER'!$B102,Bridges!$A$9:$N$24,J$2,0))+IF(ISNA(VLOOKUP('Project Details by Yr - MASTER'!$B102,'Parking Lots &amp; Playgrounds'!$A$9:$N$33,J$2,0)),0,VLOOKUP('Project Details by Yr - MASTER'!$B102,'Parking Lots &amp; Playgrounds'!$A$9:$N$33,J$2,0))+IF(ISNA(VLOOKUP($B102,Vehicles!$B$9:$O$50,J$2,0)),0,VLOOKUP($B102,Vehicles!$B$9:$O$50,J$2,0))</f>
        <v>0</v>
      </c>
      <c r="K102" s="8">
        <f>IF(ISNA(VLOOKUP($B102,'Other Capital Needs'!$C$51:$P$95,K$2,0)),0,VLOOKUP($B102,'Other Capital Needs'!$C$51:$P$95,K$2,0))+IF(ISNA(VLOOKUP('Project Details by Yr - MASTER'!$B102,'Public Grounds'!$A$11:$N$49,K$2,0)),0,VLOOKUP('Project Details by Yr - MASTER'!$B102,'Public Grounds'!$A$11:$N$49,K$2,0))+IF(ISNA(VLOOKUP('Project Details by Yr - MASTER'!$B102,'Public Buildings'!$A$10:$N$96,K$2,0)),0,VLOOKUP('Project Details by Yr - MASTER'!$B102,'Public Buildings'!$A$10:$N$96,K$2,0))+IF(ISNA(VLOOKUP('Project Details by Yr - MASTER'!$B102,Bridges!$A$9:$N$24,K$2,0)),0,VLOOKUP('Project Details by Yr - MASTER'!$B102,Bridges!$A$9:$N$24,K$2,0))+IF(ISNA(VLOOKUP('Project Details by Yr - MASTER'!$B102,'Parking Lots &amp; Playgrounds'!$A$9:$N$33,K$2,0)),0,VLOOKUP('Project Details by Yr - MASTER'!$B102,'Parking Lots &amp; Playgrounds'!$A$9:$N$33,K$2,0))+IF(ISNA(VLOOKUP($B102,Vehicles!$B$9:$O$50,K$2,0)),0,VLOOKUP($B102,Vehicles!$B$9:$O$50,K$2,0))</f>
        <v>0</v>
      </c>
    </row>
    <row r="103" spans="2:11" x14ac:dyDescent="0.25">
      <c r="B103" s="24" t="s">
        <v>230</v>
      </c>
      <c r="C103" t="s">
        <v>47</v>
      </c>
      <c r="D103" t="s">
        <v>272</v>
      </c>
      <c r="E103" s="1"/>
      <c r="G103" s="8">
        <f>IF(ISNA(VLOOKUP($B103,'Other Capital Needs'!$C$51:$P$95,G$2,0)),0,VLOOKUP($B103,'Other Capital Needs'!$C$51:$P$95,G$2,0))+IF(ISNA(VLOOKUP('Project Details by Yr - MASTER'!$B103,'Public Grounds'!$A$11:$N$49,G$2,0)),0,VLOOKUP('Project Details by Yr - MASTER'!$B103,'Public Grounds'!$A$11:$N$49,G$2,0))+IF(ISNA(VLOOKUP('Project Details by Yr - MASTER'!$B103,'Public Buildings'!$A$10:$N$96,G$2,0)),0,VLOOKUP('Project Details by Yr - MASTER'!$B103,'Public Buildings'!$A$10:$N$96,G$2,0))+IF(ISNA(VLOOKUP('Project Details by Yr - MASTER'!$B103,Bridges!$A$9:$N$24,G$2,0)),0,VLOOKUP('Project Details by Yr - MASTER'!$B103,Bridges!$A$9:$N$24,G$2,0))+IF(ISNA(VLOOKUP('Project Details by Yr - MASTER'!$B103,'Parking Lots &amp; Playgrounds'!$A$9:$N$33,G$2,0)),0,VLOOKUP('Project Details by Yr - MASTER'!$B103,'Parking Lots &amp; Playgrounds'!$A$9:$N$33,G$2,0))+IF(ISNA(VLOOKUP($B103,Vehicles!$B$9:$O$50,G$2,0)),0,VLOOKUP($B103,Vehicles!$B$9:$O$50,G$2,0))</f>
        <v>0</v>
      </c>
      <c r="H103" s="8">
        <f>IF(ISNA(VLOOKUP($B103,'Other Capital Needs'!$C$51:$P$95,H$2,0)),0,VLOOKUP($B103,'Other Capital Needs'!$C$51:$P$95,H$2,0))+IF(ISNA(VLOOKUP('Project Details by Yr - MASTER'!$B103,'Public Grounds'!$A$11:$N$49,H$2,0)),0,VLOOKUP('Project Details by Yr - MASTER'!$B103,'Public Grounds'!$A$11:$N$49,H$2,0))+IF(ISNA(VLOOKUP('Project Details by Yr - MASTER'!$B103,'Public Buildings'!$A$10:$N$96,H$2,0)),0,VLOOKUP('Project Details by Yr - MASTER'!$B103,'Public Buildings'!$A$10:$N$96,H$2,0))+IF(ISNA(VLOOKUP('Project Details by Yr - MASTER'!$B103,Bridges!$A$9:$N$24,H$2,0)),0,VLOOKUP('Project Details by Yr - MASTER'!$B103,Bridges!$A$9:$N$24,H$2,0))+IF(ISNA(VLOOKUP('Project Details by Yr - MASTER'!$B103,'Parking Lots &amp; Playgrounds'!$A$9:$N$33,H$2,0)),0,VLOOKUP('Project Details by Yr - MASTER'!$B103,'Parking Lots &amp; Playgrounds'!$A$9:$N$33,H$2,0))+IF(ISNA(VLOOKUP($B103,Vehicles!$B$9:$O$50,H$2,0)),0,VLOOKUP($B103,Vehicles!$B$9:$O$50,H$2,0))</f>
        <v>0</v>
      </c>
      <c r="I103" s="8">
        <f>IF(ISNA(VLOOKUP($B103,'Other Capital Needs'!$C$51:$P$95,I$2,0)),0,VLOOKUP($B103,'Other Capital Needs'!$C$51:$P$95,I$2,0))+IF(ISNA(VLOOKUP('Project Details by Yr - MASTER'!$B103,'Public Grounds'!$A$11:$N$49,I$2,0)),0,VLOOKUP('Project Details by Yr - MASTER'!$B103,'Public Grounds'!$A$11:$N$49,I$2,0))+IF(ISNA(VLOOKUP('Project Details by Yr - MASTER'!$B103,'Public Buildings'!$A$10:$N$96,I$2,0)),0,VLOOKUP('Project Details by Yr - MASTER'!$B103,'Public Buildings'!$A$10:$N$96,I$2,0))+IF(ISNA(VLOOKUP('Project Details by Yr - MASTER'!$B103,Bridges!$A$9:$N$24,I$2,0)),0,VLOOKUP('Project Details by Yr - MASTER'!$B103,Bridges!$A$9:$N$24,I$2,0))+IF(ISNA(VLOOKUP('Project Details by Yr - MASTER'!$B103,'Parking Lots &amp; Playgrounds'!$A$9:$N$33,I$2,0)),0,VLOOKUP('Project Details by Yr - MASTER'!$B103,'Parking Lots &amp; Playgrounds'!$A$9:$N$33,I$2,0))+IF(ISNA(VLOOKUP($B103,Vehicles!$B$9:$O$50,I$2,0)),0,VLOOKUP($B103,Vehicles!$B$9:$O$50,I$2,0))</f>
        <v>0</v>
      </c>
      <c r="J103" s="8">
        <f>IF(ISNA(VLOOKUP($B103,'Other Capital Needs'!$C$51:$P$95,J$2,0)),0,VLOOKUP($B103,'Other Capital Needs'!$C$51:$P$95,J$2,0))+IF(ISNA(VLOOKUP('Project Details by Yr - MASTER'!$B103,'Public Grounds'!$A$11:$N$49,J$2,0)),0,VLOOKUP('Project Details by Yr - MASTER'!$B103,'Public Grounds'!$A$11:$N$49,J$2,0))+IF(ISNA(VLOOKUP('Project Details by Yr - MASTER'!$B103,'Public Buildings'!$A$10:$N$96,J$2,0)),0,VLOOKUP('Project Details by Yr - MASTER'!$B103,'Public Buildings'!$A$10:$N$96,J$2,0))+IF(ISNA(VLOOKUP('Project Details by Yr - MASTER'!$B103,Bridges!$A$9:$N$24,J$2,0)),0,VLOOKUP('Project Details by Yr - MASTER'!$B103,Bridges!$A$9:$N$24,J$2,0))+IF(ISNA(VLOOKUP('Project Details by Yr - MASTER'!$B103,'Parking Lots &amp; Playgrounds'!$A$9:$N$33,J$2,0)),0,VLOOKUP('Project Details by Yr - MASTER'!$B103,'Parking Lots &amp; Playgrounds'!$A$9:$N$33,J$2,0))+IF(ISNA(VLOOKUP($B103,Vehicles!$B$9:$O$50,J$2,0)),0,VLOOKUP($B103,Vehicles!$B$9:$O$50,J$2,0))</f>
        <v>850000</v>
      </c>
      <c r="K103" s="8">
        <f>IF(ISNA(VLOOKUP($B103,'Other Capital Needs'!$C$51:$P$95,K$2,0)),0,VLOOKUP($B103,'Other Capital Needs'!$C$51:$P$95,K$2,0))+IF(ISNA(VLOOKUP('Project Details by Yr - MASTER'!$B103,'Public Grounds'!$A$11:$N$49,K$2,0)),0,VLOOKUP('Project Details by Yr - MASTER'!$B103,'Public Grounds'!$A$11:$N$49,K$2,0))+IF(ISNA(VLOOKUP('Project Details by Yr - MASTER'!$B103,'Public Buildings'!$A$10:$N$96,K$2,0)),0,VLOOKUP('Project Details by Yr - MASTER'!$B103,'Public Buildings'!$A$10:$N$96,K$2,0))+IF(ISNA(VLOOKUP('Project Details by Yr - MASTER'!$B103,Bridges!$A$9:$N$24,K$2,0)),0,VLOOKUP('Project Details by Yr - MASTER'!$B103,Bridges!$A$9:$N$24,K$2,0))+IF(ISNA(VLOOKUP('Project Details by Yr - MASTER'!$B103,'Parking Lots &amp; Playgrounds'!$A$9:$N$33,K$2,0)),0,VLOOKUP('Project Details by Yr - MASTER'!$B103,'Parking Lots &amp; Playgrounds'!$A$9:$N$33,K$2,0))+IF(ISNA(VLOOKUP($B103,Vehicles!$B$9:$O$50,K$2,0)),0,VLOOKUP($B103,Vehicles!$B$9:$O$50,K$2,0))</f>
        <v>0</v>
      </c>
    </row>
    <row r="104" spans="2:11" x14ac:dyDescent="0.25">
      <c r="B104" s="24" t="s">
        <v>231</v>
      </c>
      <c r="C104" t="s">
        <v>47</v>
      </c>
      <c r="D104" t="s">
        <v>272</v>
      </c>
      <c r="E104" s="1"/>
      <c r="G104" s="8">
        <f>IF(ISNA(VLOOKUP($B104,'Other Capital Needs'!$C$51:$P$95,G$2,0)),0,VLOOKUP($B104,'Other Capital Needs'!$C$51:$P$95,G$2,0))+IF(ISNA(VLOOKUP('Project Details by Yr - MASTER'!$B104,'Public Grounds'!$A$11:$N$49,G$2,0)),0,VLOOKUP('Project Details by Yr - MASTER'!$B104,'Public Grounds'!$A$11:$N$49,G$2,0))+IF(ISNA(VLOOKUP('Project Details by Yr - MASTER'!$B104,'Public Buildings'!$A$10:$N$96,G$2,0)),0,VLOOKUP('Project Details by Yr - MASTER'!$B104,'Public Buildings'!$A$10:$N$96,G$2,0))+IF(ISNA(VLOOKUP('Project Details by Yr - MASTER'!$B104,Bridges!$A$9:$N$24,G$2,0)),0,VLOOKUP('Project Details by Yr - MASTER'!$B104,Bridges!$A$9:$N$24,G$2,0))+IF(ISNA(VLOOKUP('Project Details by Yr - MASTER'!$B104,'Parking Lots &amp; Playgrounds'!$A$9:$N$33,G$2,0)),0,VLOOKUP('Project Details by Yr - MASTER'!$B104,'Parking Lots &amp; Playgrounds'!$A$9:$N$33,G$2,0))+IF(ISNA(VLOOKUP($B104,Vehicles!$B$9:$O$50,G$2,0)),0,VLOOKUP($B104,Vehicles!$B$9:$O$50,G$2,0))</f>
        <v>0</v>
      </c>
      <c r="H104" s="8">
        <f>IF(ISNA(VLOOKUP($B104,'Other Capital Needs'!$C$51:$P$95,H$2,0)),0,VLOOKUP($B104,'Other Capital Needs'!$C$51:$P$95,H$2,0))+IF(ISNA(VLOOKUP('Project Details by Yr - MASTER'!$B104,'Public Grounds'!$A$11:$N$49,H$2,0)),0,VLOOKUP('Project Details by Yr - MASTER'!$B104,'Public Grounds'!$A$11:$N$49,H$2,0))+IF(ISNA(VLOOKUP('Project Details by Yr - MASTER'!$B104,'Public Buildings'!$A$10:$N$96,H$2,0)),0,VLOOKUP('Project Details by Yr - MASTER'!$B104,'Public Buildings'!$A$10:$N$96,H$2,0))+IF(ISNA(VLOOKUP('Project Details by Yr - MASTER'!$B104,Bridges!$A$9:$N$24,H$2,0)),0,VLOOKUP('Project Details by Yr - MASTER'!$B104,Bridges!$A$9:$N$24,H$2,0))+IF(ISNA(VLOOKUP('Project Details by Yr - MASTER'!$B104,'Parking Lots &amp; Playgrounds'!$A$9:$N$33,H$2,0)),0,VLOOKUP('Project Details by Yr - MASTER'!$B104,'Parking Lots &amp; Playgrounds'!$A$9:$N$33,H$2,0))+IF(ISNA(VLOOKUP($B104,Vehicles!$B$9:$O$50,H$2,0)),0,VLOOKUP($B104,Vehicles!$B$9:$O$50,H$2,0))</f>
        <v>0</v>
      </c>
      <c r="I104" s="8">
        <f>IF(ISNA(VLOOKUP($B104,'Other Capital Needs'!$C$51:$P$95,I$2,0)),0,VLOOKUP($B104,'Other Capital Needs'!$C$51:$P$95,I$2,0))+IF(ISNA(VLOOKUP('Project Details by Yr - MASTER'!$B104,'Public Grounds'!$A$11:$N$49,I$2,0)),0,VLOOKUP('Project Details by Yr - MASTER'!$B104,'Public Grounds'!$A$11:$N$49,I$2,0))+IF(ISNA(VLOOKUP('Project Details by Yr - MASTER'!$B104,'Public Buildings'!$A$10:$N$96,I$2,0)),0,VLOOKUP('Project Details by Yr - MASTER'!$B104,'Public Buildings'!$A$10:$N$96,I$2,0))+IF(ISNA(VLOOKUP('Project Details by Yr - MASTER'!$B104,Bridges!$A$9:$N$24,I$2,0)),0,VLOOKUP('Project Details by Yr - MASTER'!$B104,Bridges!$A$9:$N$24,I$2,0))+IF(ISNA(VLOOKUP('Project Details by Yr - MASTER'!$B104,'Parking Lots &amp; Playgrounds'!$A$9:$N$33,I$2,0)),0,VLOOKUP('Project Details by Yr - MASTER'!$B104,'Parking Lots &amp; Playgrounds'!$A$9:$N$33,I$2,0))+IF(ISNA(VLOOKUP($B104,Vehicles!$B$9:$O$50,I$2,0)),0,VLOOKUP($B104,Vehicles!$B$9:$O$50,I$2,0))</f>
        <v>0</v>
      </c>
      <c r="J104" s="8">
        <f>IF(ISNA(VLOOKUP($B104,'Other Capital Needs'!$C$51:$P$95,J$2,0)),0,VLOOKUP($B104,'Other Capital Needs'!$C$51:$P$95,J$2,0))+IF(ISNA(VLOOKUP('Project Details by Yr - MASTER'!$B104,'Public Grounds'!$A$11:$N$49,J$2,0)),0,VLOOKUP('Project Details by Yr - MASTER'!$B104,'Public Grounds'!$A$11:$N$49,J$2,0))+IF(ISNA(VLOOKUP('Project Details by Yr - MASTER'!$B104,'Public Buildings'!$A$10:$N$96,J$2,0)),0,VLOOKUP('Project Details by Yr - MASTER'!$B104,'Public Buildings'!$A$10:$N$96,J$2,0))+IF(ISNA(VLOOKUP('Project Details by Yr - MASTER'!$B104,Bridges!$A$9:$N$24,J$2,0)),0,VLOOKUP('Project Details by Yr - MASTER'!$B104,Bridges!$A$9:$N$24,J$2,0))+IF(ISNA(VLOOKUP('Project Details by Yr - MASTER'!$B104,'Parking Lots &amp; Playgrounds'!$A$9:$N$33,J$2,0)),0,VLOOKUP('Project Details by Yr - MASTER'!$B104,'Parking Lots &amp; Playgrounds'!$A$9:$N$33,J$2,0))+IF(ISNA(VLOOKUP($B104,Vehicles!$B$9:$O$50,J$2,0)),0,VLOOKUP($B104,Vehicles!$B$9:$O$50,J$2,0))</f>
        <v>0</v>
      </c>
      <c r="K104" s="8">
        <f>IF(ISNA(VLOOKUP($B104,'Other Capital Needs'!$C$51:$P$95,K$2,0)),0,VLOOKUP($B104,'Other Capital Needs'!$C$51:$P$95,K$2,0))+IF(ISNA(VLOOKUP('Project Details by Yr - MASTER'!$B104,'Public Grounds'!$A$11:$N$49,K$2,0)),0,VLOOKUP('Project Details by Yr - MASTER'!$B104,'Public Grounds'!$A$11:$N$49,K$2,0))+IF(ISNA(VLOOKUP('Project Details by Yr - MASTER'!$B104,'Public Buildings'!$A$10:$N$96,K$2,0)),0,VLOOKUP('Project Details by Yr - MASTER'!$B104,'Public Buildings'!$A$10:$N$96,K$2,0))+IF(ISNA(VLOOKUP('Project Details by Yr - MASTER'!$B104,Bridges!$A$9:$N$24,K$2,0)),0,VLOOKUP('Project Details by Yr - MASTER'!$B104,Bridges!$A$9:$N$24,K$2,0))+IF(ISNA(VLOOKUP('Project Details by Yr - MASTER'!$B104,'Parking Lots &amp; Playgrounds'!$A$9:$N$33,K$2,0)),0,VLOOKUP('Project Details by Yr - MASTER'!$B104,'Parking Lots &amp; Playgrounds'!$A$9:$N$33,K$2,0))+IF(ISNA(VLOOKUP($B104,Vehicles!$B$9:$O$50,K$2,0)),0,VLOOKUP($B104,Vehicles!$B$9:$O$50,K$2,0))</f>
        <v>0</v>
      </c>
    </row>
    <row r="105" spans="2:11" x14ac:dyDescent="0.25">
      <c r="B105" s="23" t="s">
        <v>233</v>
      </c>
      <c r="C105" s="23"/>
      <c r="D105" s="23"/>
      <c r="E105" s="1"/>
      <c r="G105" s="8">
        <f>IF(ISNA(VLOOKUP($B105,'Other Capital Needs'!$C$51:$P$95,G$2,0)),0,VLOOKUP($B105,'Other Capital Needs'!$C$51:$P$95,G$2,0))+IF(ISNA(VLOOKUP('Project Details by Yr - MASTER'!$B105,'Public Grounds'!$A$11:$N$49,G$2,0)),0,VLOOKUP('Project Details by Yr - MASTER'!$B105,'Public Grounds'!$A$11:$N$49,G$2,0))+IF(ISNA(VLOOKUP('Project Details by Yr - MASTER'!$B105,'Public Buildings'!$A$10:$N$96,G$2,0)),0,VLOOKUP('Project Details by Yr - MASTER'!$B105,'Public Buildings'!$A$10:$N$96,G$2,0))+IF(ISNA(VLOOKUP('Project Details by Yr - MASTER'!$B105,Bridges!$A$9:$N$24,G$2,0)),0,VLOOKUP('Project Details by Yr - MASTER'!$B105,Bridges!$A$9:$N$24,G$2,0))+IF(ISNA(VLOOKUP('Project Details by Yr - MASTER'!$B105,'Parking Lots &amp; Playgrounds'!$A$9:$N$33,G$2,0)),0,VLOOKUP('Project Details by Yr - MASTER'!$B105,'Parking Lots &amp; Playgrounds'!$A$9:$N$33,G$2,0))+IF(ISNA(VLOOKUP($B105,Vehicles!$B$9:$O$50,G$2,0)),0,VLOOKUP($B105,Vehicles!$B$9:$O$50,G$2,0))</f>
        <v>0</v>
      </c>
      <c r="H105" s="8">
        <f>IF(ISNA(VLOOKUP($B105,'Other Capital Needs'!$C$51:$P$95,H$2,0)),0,VLOOKUP($B105,'Other Capital Needs'!$C$51:$P$95,H$2,0))+IF(ISNA(VLOOKUP('Project Details by Yr - MASTER'!$B105,'Public Grounds'!$A$11:$N$49,H$2,0)),0,VLOOKUP('Project Details by Yr - MASTER'!$B105,'Public Grounds'!$A$11:$N$49,H$2,0))+IF(ISNA(VLOOKUP('Project Details by Yr - MASTER'!$B105,'Public Buildings'!$A$10:$N$96,H$2,0)),0,VLOOKUP('Project Details by Yr - MASTER'!$B105,'Public Buildings'!$A$10:$N$96,H$2,0))+IF(ISNA(VLOOKUP('Project Details by Yr - MASTER'!$B105,Bridges!$A$9:$N$24,H$2,0)),0,VLOOKUP('Project Details by Yr - MASTER'!$B105,Bridges!$A$9:$N$24,H$2,0))+IF(ISNA(VLOOKUP('Project Details by Yr - MASTER'!$B105,'Parking Lots &amp; Playgrounds'!$A$9:$N$33,H$2,0)),0,VLOOKUP('Project Details by Yr - MASTER'!$B105,'Parking Lots &amp; Playgrounds'!$A$9:$N$33,H$2,0))+IF(ISNA(VLOOKUP($B105,Vehicles!$B$9:$O$50,H$2,0)),0,VLOOKUP($B105,Vehicles!$B$9:$O$50,H$2,0))</f>
        <v>0</v>
      </c>
      <c r="I105" s="8">
        <f>IF(ISNA(VLOOKUP($B105,'Other Capital Needs'!$C$51:$P$95,I$2,0)),0,VLOOKUP($B105,'Other Capital Needs'!$C$51:$P$95,I$2,0))+IF(ISNA(VLOOKUP('Project Details by Yr - MASTER'!$B105,'Public Grounds'!$A$11:$N$49,I$2,0)),0,VLOOKUP('Project Details by Yr - MASTER'!$B105,'Public Grounds'!$A$11:$N$49,I$2,0))+IF(ISNA(VLOOKUP('Project Details by Yr - MASTER'!$B105,'Public Buildings'!$A$10:$N$96,I$2,0)),0,VLOOKUP('Project Details by Yr - MASTER'!$B105,'Public Buildings'!$A$10:$N$96,I$2,0))+IF(ISNA(VLOOKUP('Project Details by Yr - MASTER'!$B105,Bridges!$A$9:$N$24,I$2,0)),0,VLOOKUP('Project Details by Yr - MASTER'!$B105,Bridges!$A$9:$N$24,I$2,0))+IF(ISNA(VLOOKUP('Project Details by Yr - MASTER'!$B105,'Parking Lots &amp; Playgrounds'!$A$9:$N$33,I$2,0)),0,VLOOKUP('Project Details by Yr - MASTER'!$B105,'Parking Lots &amp; Playgrounds'!$A$9:$N$33,I$2,0))+IF(ISNA(VLOOKUP($B105,Vehicles!$B$9:$O$50,I$2,0)),0,VLOOKUP($B105,Vehicles!$B$9:$O$50,I$2,0))</f>
        <v>0</v>
      </c>
      <c r="J105" s="8">
        <f>IF(ISNA(VLOOKUP($B105,'Other Capital Needs'!$C$51:$P$95,J$2,0)),0,VLOOKUP($B105,'Other Capital Needs'!$C$51:$P$95,J$2,0))+IF(ISNA(VLOOKUP('Project Details by Yr - MASTER'!$B105,'Public Grounds'!$A$11:$N$49,J$2,0)),0,VLOOKUP('Project Details by Yr - MASTER'!$B105,'Public Grounds'!$A$11:$N$49,J$2,0))+IF(ISNA(VLOOKUP('Project Details by Yr - MASTER'!$B105,'Public Buildings'!$A$10:$N$96,J$2,0)),0,VLOOKUP('Project Details by Yr - MASTER'!$B105,'Public Buildings'!$A$10:$N$96,J$2,0))+IF(ISNA(VLOOKUP('Project Details by Yr - MASTER'!$B105,Bridges!$A$9:$N$24,J$2,0)),0,VLOOKUP('Project Details by Yr - MASTER'!$B105,Bridges!$A$9:$N$24,J$2,0))+IF(ISNA(VLOOKUP('Project Details by Yr - MASTER'!$B105,'Parking Lots &amp; Playgrounds'!$A$9:$N$33,J$2,0)),0,VLOOKUP('Project Details by Yr - MASTER'!$B105,'Parking Lots &amp; Playgrounds'!$A$9:$N$33,J$2,0))+IF(ISNA(VLOOKUP($B105,Vehicles!$B$9:$O$50,J$2,0)),0,VLOOKUP($B105,Vehicles!$B$9:$O$50,J$2,0))</f>
        <v>0</v>
      </c>
      <c r="K105" s="8">
        <f>IF(ISNA(VLOOKUP($B105,'Other Capital Needs'!$C$51:$P$95,K$2,0)),0,VLOOKUP($B105,'Other Capital Needs'!$C$51:$P$95,K$2,0))+IF(ISNA(VLOOKUP('Project Details by Yr - MASTER'!$B105,'Public Grounds'!$A$11:$N$49,K$2,0)),0,VLOOKUP('Project Details by Yr - MASTER'!$B105,'Public Grounds'!$A$11:$N$49,K$2,0))+IF(ISNA(VLOOKUP('Project Details by Yr - MASTER'!$B105,'Public Buildings'!$A$10:$N$96,K$2,0)),0,VLOOKUP('Project Details by Yr - MASTER'!$B105,'Public Buildings'!$A$10:$N$96,K$2,0))+IF(ISNA(VLOOKUP('Project Details by Yr - MASTER'!$B105,Bridges!$A$9:$N$24,K$2,0)),0,VLOOKUP('Project Details by Yr - MASTER'!$B105,Bridges!$A$9:$N$24,K$2,0))+IF(ISNA(VLOOKUP('Project Details by Yr - MASTER'!$B105,'Parking Lots &amp; Playgrounds'!$A$9:$N$33,K$2,0)),0,VLOOKUP('Project Details by Yr - MASTER'!$B105,'Parking Lots &amp; Playgrounds'!$A$9:$N$33,K$2,0))+IF(ISNA(VLOOKUP($B105,Vehicles!$B$9:$O$50,K$2,0)),0,VLOOKUP($B105,Vehicles!$B$9:$O$50,K$2,0))</f>
        <v>0</v>
      </c>
    </row>
    <row r="106" spans="2:11" x14ac:dyDescent="0.25">
      <c r="B106" s="25" t="s">
        <v>239</v>
      </c>
      <c r="C106" t="s">
        <v>47</v>
      </c>
      <c r="D106" t="s">
        <v>272</v>
      </c>
      <c r="E106" s="1"/>
      <c r="G106" s="8">
        <f>IF(ISNA(VLOOKUP($B106,'Other Capital Needs'!$C$51:$P$95,G$2,0)),0,VLOOKUP($B106,'Other Capital Needs'!$C$51:$P$95,G$2,0))+IF(ISNA(VLOOKUP('Project Details by Yr - MASTER'!$B106,'Public Grounds'!$A$11:$N$49,G$2,0)),0,VLOOKUP('Project Details by Yr - MASTER'!$B106,'Public Grounds'!$A$11:$N$49,G$2,0))+IF(ISNA(VLOOKUP('Project Details by Yr - MASTER'!$B106,'Public Buildings'!$A$10:$N$96,G$2,0)),0,VLOOKUP('Project Details by Yr - MASTER'!$B106,'Public Buildings'!$A$10:$N$96,G$2,0))+IF(ISNA(VLOOKUP('Project Details by Yr - MASTER'!$B106,Bridges!$A$9:$N$24,G$2,0)),0,VLOOKUP('Project Details by Yr - MASTER'!$B106,Bridges!$A$9:$N$24,G$2,0))+IF(ISNA(VLOOKUP('Project Details by Yr - MASTER'!$B106,'Parking Lots &amp; Playgrounds'!$A$9:$N$33,G$2,0)),0,VLOOKUP('Project Details by Yr - MASTER'!$B106,'Parking Lots &amp; Playgrounds'!$A$9:$N$33,G$2,0))+IF(ISNA(VLOOKUP($B106,Vehicles!$B$9:$O$50,G$2,0)),0,VLOOKUP($B106,Vehicles!$B$9:$O$50,G$2,0))</f>
        <v>30000</v>
      </c>
      <c r="H106" s="8">
        <f>IF(ISNA(VLOOKUP($B106,'Other Capital Needs'!$C$51:$P$95,H$2,0)),0,VLOOKUP($B106,'Other Capital Needs'!$C$51:$P$95,H$2,0))+IF(ISNA(VLOOKUP('Project Details by Yr - MASTER'!$B106,'Public Grounds'!$A$11:$N$49,H$2,0)),0,VLOOKUP('Project Details by Yr - MASTER'!$B106,'Public Grounds'!$A$11:$N$49,H$2,0))+IF(ISNA(VLOOKUP('Project Details by Yr - MASTER'!$B106,'Public Buildings'!$A$10:$N$96,H$2,0)),0,VLOOKUP('Project Details by Yr - MASTER'!$B106,'Public Buildings'!$A$10:$N$96,H$2,0))+IF(ISNA(VLOOKUP('Project Details by Yr - MASTER'!$B106,Bridges!$A$9:$N$24,H$2,0)),0,VLOOKUP('Project Details by Yr - MASTER'!$B106,Bridges!$A$9:$N$24,H$2,0))+IF(ISNA(VLOOKUP('Project Details by Yr - MASTER'!$B106,'Parking Lots &amp; Playgrounds'!$A$9:$N$33,H$2,0)),0,VLOOKUP('Project Details by Yr - MASTER'!$B106,'Parking Lots &amp; Playgrounds'!$A$9:$N$33,H$2,0))+IF(ISNA(VLOOKUP($B106,Vehicles!$B$9:$O$50,H$2,0)),0,VLOOKUP($B106,Vehicles!$B$9:$O$50,H$2,0))</f>
        <v>0</v>
      </c>
      <c r="I106" s="8">
        <f>IF(ISNA(VLOOKUP($B106,'Other Capital Needs'!$C$51:$P$95,I$2,0)),0,VLOOKUP($B106,'Other Capital Needs'!$C$51:$P$95,I$2,0))+IF(ISNA(VLOOKUP('Project Details by Yr - MASTER'!$B106,'Public Grounds'!$A$11:$N$49,I$2,0)),0,VLOOKUP('Project Details by Yr - MASTER'!$B106,'Public Grounds'!$A$11:$N$49,I$2,0))+IF(ISNA(VLOOKUP('Project Details by Yr - MASTER'!$B106,'Public Buildings'!$A$10:$N$96,I$2,0)),0,VLOOKUP('Project Details by Yr - MASTER'!$B106,'Public Buildings'!$A$10:$N$96,I$2,0))+IF(ISNA(VLOOKUP('Project Details by Yr - MASTER'!$B106,Bridges!$A$9:$N$24,I$2,0)),0,VLOOKUP('Project Details by Yr - MASTER'!$B106,Bridges!$A$9:$N$24,I$2,0))+IF(ISNA(VLOOKUP('Project Details by Yr - MASTER'!$B106,'Parking Lots &amp; Playgrounds'!$A$9:$N$33,I$2,0)),0,VLOOKUP('Project Details by Yr - MASTER'!$B106,'Parking Lots &amp; Playgrounds'!$A$9:$N$33,I$2,0))+IF(ISNA(VLOOKUP($B106,Vehicles!$B$9:$O$50,I$2,0)),0,VLOOKUP($B106,Vehicles!$B$9:$O$50,I$2,0))</f>
        <v>0</v>
      </c>
      <c r="J106" s="8">
        <f>IF(ISNA(VLOOKUP($B106,'Other Capital Needs'!$C$51:$P$95,J$2,0)),0,VLOOKUP($B106,'Other Capital Needs'!$C$51:$P$95,J$2,0))+IF(ISNA(VLOOKUP('Project Details by Yr - MASTER'!$B106,'Public Grounds'!$A$11:$N$49,J$2,0)),0,VLOOKUP('Project Details by Yr - MASTER'!$B106,'Public Grounds'!$A$11:$N$49,J$2,0))+IF(ISNA(VLOOKUP('Project Details by Yr - MASTER'!$B106,'Public Buildings'!$A$10:$N$96,J$2,0)),0,VLOOKUP('Project Details by Yr - MASTER'!$B106,'Public Buildings'!$A$10:$N$96,J$2,0))+IF(ISNA(VLOOKUP('Project Details by Yr - MASTER'!$B106,Bridges!$A$9:$N$24,J$2,0)),0,VLOOKUP('Project Details by Yr - MASTER'!$B106,Bridges!$A$9:$N$24,J$2,0))+IF(ISNA(VLOOKUP('Project Details by Yr - MASTER'!$B106,'Parking Lots &amp; Playgrounds'!$A$9:$N$33,J$2,0)),0,VLOOKUP('Project Details by Yr - MASTER'!$B106,'Parking Lots &amp; Playgrounds'!$A$9:$N$33,J$2,0))+IF(ISNA(VLOOKUP($B106,Vehicles!$B$9:$O$50,J$2,0)),0,VLOOKUP($B106,Vehicles!$B$9:$O$50,J$2,0))</f>
        <v>0</v>
      </c>
      <c r="K106" s="8">
        <f>IF(ISNA(VLOOKUP($B106,'Other Capital Needs'!$C$51:$P$95,K$2,0)),0,VLOOKUP($B106,'Other Capital Needs'!$C$51:$P$95,K$2,0))+IF(ISNA(VLOOKUP('Project Details by Yr - MASTER'!$B106,'Public Grounds'!$A$11:$N$49,K$2,0)),0,VLOOKUP('Project Details by Yr - MASTER'!$B106,'Public Grounds'!$A$11:$N$49,K$2,0))+IF(ISNA(VLOOKUP('Project Details by Yr - MASTER'!$B106,'Public Buildings'!$A$10:$N$96,K$2,0)),0,VLOOKUP('Project Details by Yr - MASTER'!$B106,'Public Buildings'!$A$10:$N$96,K$2,0))+IF(ISNA(VLOOKUP('Project Details by Yr - MASTER'!$B106,Bridges!$A$9:$N$24,K$2,0)),0,VLOOKUP('Project Details by Yr - MASTER'!$B106,Bridges!$A$9:$N$24,K$2,0))+IF(ISNA(VLOOKUP('Project Details by Yr - MASTER'!$B106,'Parking Lots &amp; Playgrounds'!$A$9:$N$33,K$2,0)),0,VLOOKUP('Project Details by Yr - MASTER'!$B106,'Parking Lots &amp; Playgrounds'!$A$9:$N$33,K$2,0))+IF(ISNA(VLOOKUP($B106,Vehicles!$B$9:$O$50,K$2,0)),0,VLOOKUP($B106,Vehicles!$B$9:$O$50,K$2,0))</f>
        <v>0</v>
      </c>
    </row>
    <row r="107" spans="2:11" x14ac:dyDescent="0.25">
      <c r="B107" s="24" t="s">
        <v>234</v>
      </c>
      <c r="C107" t="s">
        <v>47</v>
      </c>
      <c r="D107" t="s">
        <v>272</v>
      </c>
      <c r="E107" s="1"/>
      <c r="G107" s="8">
        <f>IF(ISNA(VLOOKUP($B107,'Other Capital Needs'!$C$51:$P$95,G$2,0)),0,VLOOKUP($B107,'Other Capital Needs'!$C$51:$P$95,G$2,0))+IF(ISNA(VLOOKUP('Project Details by Yr - MASTER'!$B107,'Public Grounds'!$A$11:$N$49,G$2,0)),0,VLOOKUP('Project Details by Yr - MASTER'!$B107,'Public Grounds'!$A$11:$N$49,G$2,0))+IF(ISNA(VLOOKUP('Project Details by Yr - MASTER'!$B107,'Public Buildings'!$A$10:$N$96,G$2,0)),0,VLOOKUP('Project Details by Yr - MASTER'!$B107,'Public Buildings'!$A$10:$N$96,G$2,0))+IF(ISNA(VLOOKUP('Project Details by Yr - MASTER'!$B107,Bridges!$A$9:$N$24,G$2,0)),0,VLOOKUP('Project Details by Yr - MASTER'!$B107,Bridges!$A$9:$N$24,G$2,0))+IF(ISNA(VLOOKUP('Project Details by Yr - MASTER'!$B107,'Parking Lots &amp; Playgrounds'!$A$9:$N$33,G$2,0)),0,VLOOKUP('Project Details by Yr - MASTER'!$B107,'Parking Lots &amp; Playgrounds'!$A$9:$N$33,G$2,0))+IF(ISNA(VLOOKUP($B107,Vehicles!$B$9:$O$50,G$2,0)),0,VLOOKUP($B107,Vehicles!$B$9:$O$50,G$2,0))</f>
        <v>8000</v>
      </c>
      <c r="H107" s="8">
        <f>IF(ISNA(VLOOKUP($B107,'Other Capital Needs'!$C$51:$P$95,H$2,0)),0,VLOOKUP($B107,'Other Capital Needs'!$C$51:$P$95,H$2,0))+IF(ISNA(VLOOKUP('Project Details by Yr - MASTER'!$B107,'Public Grounds'!$A$11:$N$49,H$2,0)),0,VLOOKUP('Project Details by Yr - MASTER'!$B107,'Public Grounds'!$A$11:$N$49,H$2,0))+IF(ISNA(VLOOKUP('Project Details by Yr - MASTER'!$B107,'Public Buildings'!$A$10:$N$96,H$2,0)),0,VLOOKUP('Project Details by Yr - MASTER'!$B107,'Public Buildings'!$A$10:$N$96,H$2,0))+IF(ISNA(VLOOKUP('Project Details by Yr - MASTER'!$B107,Bridges!$A$9:$N$24,H$2,0)),0,VLOOKUP('Project Details by Yr - MASTER'!$B107,Bridges!$A$9:$N$24,H$2,0))+IF(ISNA(VLOOKUP('Project Details by Yr - MASTER'!$B107,'Parking Lots &amp; Playgrounds'!$A$9:$N$33,H$2,0)),0,VLOOKUP('Project Details by Yr - MASTER'!$B107,'Parking Lots &amp; Playgrounds'!$A$9:$N$33,H$2,0))+IF(ISNA(VLOOKUP($B107,Vehicles!$B$9:$O$50,H$2,0)),0,VLOOKUP($B107,Vehicles!$B$9:$O$50,H$2,0))</f>
        <v>0</v>
      </c>
      <c r="I107" s="8">
        <f>IF(ISNA(VLOOKUP($B107,'Other Capital Needs'!$C$51:$P$95,I$2,0)),0,VLOOKUP($B107,'Other Capital Needs'!$C$51:$P$95,I$2,0))+IF(ISNA(VLOOKUP('Project Details by Yr - MASTER'!$B107,'Public Grounds'!$A$11:$N$49,I$2,0)),0,VLOOKUP('Project Details by Yr - MASTER'!$B107,'Public Grounds'!$A$11:$N$49,I$2,0))+IF(ISNA(VLOOKUP('Project Details by Yr - MASTER'!$B107,'Public Buildings'!$A$10:$N$96,I$2,0)),0,VLOOKUP('Project Details by Yr - MASTER'!$B107,'Public Buildings'!$A$10:$N$96,I$2,0))+IF(ISNA(VLOOKUP('Project Details by Yr - MASTER'!$B107,Bridges!$A$9:$N$24,I$2,0)),0,VLOOKUP('Project Details by Yr - MASTER'!$B107,Bridges!$A$9:$N$24,I$2,0))+IF(ISNA(VLOOKUP('Project Details by Yr - MASTER'!$B107,'Parking Lots &amp; Playgrounds'!$A$9:$N$33,I$2,0)),0,VLOOKUP('Project Details by Yr - MASTER'!$B107,'Parking Lots &amp; Playgrounds'!$A$9:$N$33,I$2,0))+IF(ISNA(VLOOKUP($B107,Vehicles!$B$9:$O$50,I$2,0)),0,VLOOKUP($B107,Vehicles!$B$9:$O$50,I$2,0))</f>
        <v>0</v>
      </c>
      <c r="J107" s="8">
        <f>IF(ISNA(VLOOKUP($B107,'Other Capital Needs'!$C$51:$P$95,J$2,0)),0,VLOOKUP($B107,'Other Capital Needs'!$C$51:$P$95,J$2,0))+IF(ISNA(VLOOKUP('Project Details by Yr - MASTER'!$B107,'Public Grounds'!$A$11:$N$49,J$2,0)),0,VLOOKUP('Project Details by Yr - MASTER'!$B107,'Public Grounds'!$A$11:$N$49,J$2,0))+IF(ISNA(VLOOKUP('Project Details by Yr - MASTER'!$B107,'Public Buildings'!$A$10:$N$96,J$2,0)),0,VLOOKUP('Project Details by Yr - MASTER'!$B107,'Public Buildings'!$A$10:$N$96,J$2,0))+IF(ISNA(VLOOKUP('Project Details by Yr - MASTER'!$B107,Bridges!$A$9:$N$24,J$2,0)),0,VLOOKUP('Project Details by Yr - MASTER'!$B107,Bridges!$A$9:$N$24,J$2,0))+IF(ISNA(VLOOKUP('Project Details by Yr - MASTER'!$B107,'Parking Lots &amp; Playgrounds'!$A$9:$N$33,J$2,0)),0,VLOOKUP('Project Details by Yr - MASTER'!$B107,'Parking Lots &amp; Playgrounds'!$A$9:$N$33,J$2,0))+IF(ISNA(VLOOKUP($B107,Vehicles!$B$9:$O$50,J$2,0)),0,VLOOKUP($B107,Vehicles!$B$9:$O$50,J$2,0))</f>
        <v>0</v>
      </c>
      <c r="K107" s="8">
        <f>IF(ISNA(VLOOKUP($B107,'Other Capital Needs'!$C$51:$P$95,K$2,0)),0,VLOOKUP($B107,'Other Capital Needs'!$C$51:$P$95,K$2,0))+IF(ISNA(VLOOKUP('Project Details by Yr - MASTER'!$B107,'Public Grounds'!$A$11:$N$49,K$2,0)),0,VLOOKUP('Project Details by Yr - MASTER'!$B107,'Public Grounds'!$A$11:$N$49,K$2,0))+IF(ISNA(VLOOKUP('Project Details by Yr - MASTER'!$B107,'Public Buildings'!$A$10:$N$96,K$2,0)),0,VLOOKUP('Project Details by Yr - MASTER'!$B107,'Public Buildings'!$A$10:$N$96,K$2,0))+IF(ISNA(VLOOKUP('Project Details by Yr - MASTER'!$B107,Bridges!$A$9:$N$24,K$2,0)),0,VLOOKUP('Project Details by Yr - MASTER'!$B107,Bridges!$A$9:$N$24,K$2,0))+IF(ISNA(VLOOKUP('Project Details by Yr - MASTER'!$B107,'Parking Lots &amp; Playgrounds'!$A$9:$N$33,K$2,0)),0,VLOOKUP('Project Details by Yr - MASTER'!$B107,'Parking Lots &amp; Playgrounds'!$A$9:$N$33,K$2,0))+IF(ISNA(VLOOKUP($B107,Vehicles!$B$9:$O$50,K$2,0)),0,VLOOKUP($B107,Vehicles!$B$9:$O$50,K$2,0))</f>
        <v>0</v>
      </c>
    </row>
    <row r="108" spans="2:11" x14ac:dyDescent="0.25">
      <c r="B108" s="24" t="s">
        <v>229</v>
      </c>
      <c r="C108" t="s">
        <v>47</v>
      </c>
      <c r="D108" t="s">
        <v>272</v>
      </c>
      <c r="E108" s="1"/>
      <c r="G108" s="8">
        <f>IF(ISNA(VLOOKUP($B108,'Other Capital Needs'!$C$51:$P$95,G$2,0)),0,VLOOKUP($B108,'Other Capital Needs'!$C$51:$P$95,G$2,0))+IF(ISNA(VLOOKUP('Project Details by Yr - MASTER'!$B108,'Public Grounds'!$A$11:$N$49,G$2,0)),0,VLOOKUP('Project Details by Yr - MASTER'!$B108,'Public Grounds'!$A$11:$N$49,G$2,0))+IF(ISNA(VLOOKUP('Project Details by Yr - MASTER'!$B108,'Public Buildings'!$A$10:$N$96,G$2,0)),0,VLOOKUP('Project Details by Yr - MASTER'!$B108,'Public Buildings'!$A$10:$N$96,G$2,0))+IF(ISNA(VLOOKUP('Project Details by Yr - MASTER'!$B108,Bridges!$A$9:$N$24,G$2,0)),0,VLOOKUP('Project Details by Yr - MASTER'!$B108,Bridges!$A$9:$N$24,G$2,0))+IF(ISNA(VLOOKUP('Project Details by Yr - MASTER'!$B108,'Parking Lots &amp; Playgrounds'!$A$9:$N$33,G$2,0)),0,VLOOKUP('Project Details by Yr - MASTER'!$B108,'Parking Lots &amp; Playgrounds'!$A$9:$N$33,G$2,0))+IF(ISNA(VLOOKUP($B108,Vehicles!$B$9:$O$50,G$2,0)),0,VLOOKUP($B108,Vehicles!$B$9:$O$50,G$2,0))</f>
        <v>0</v>
      </c>
      <c r="H108" s="8">
        <f>IF(ISNA(VLOOKUP($B108,'Other Capital Needs'!$C$51:$P$95,H$2,0)),0,VLOOKUP($B108,'Other Capital Needs'!$C$51:$P$95,H$2,0))+IF(ISNA(VLOOKUP('Project Details by Yr - MASTER'!$B108,'Public Grounds'!$A$11:$N$49,H$2,0)),0,VLOOKUP('Project Details by Yr - MASTER'!$B108,'Public Grounds'!$A$11:$N$49,H$2,0))+IF(ISNA(VLOOKUP('Project Details by Yr - MASTER'!$B108,'Public Buildings'!$A$10:$N$96,H$2,0)),0,VLOOKUP('Project Details by Yr - MASTER'!$B108,'Public Buildings'!$A$10:$N$96,H$2,0))+IF(ISNA(VLOOKUP('Project Details by Yr - MASTER'!$B108,Bridges!$A$9:$N$24,H$2,0)),0,VLOOKUP('Project Details by Yr - MASTER'!$B108,Bridges!$A$9:$N$24,H$2,0))+IF(ISNA(VLOOKUP('Project Details by Yr - MASTER'!$B108,'Parking Lots &amp; Playgrounds'!$A$9:$N$33,H$2,0)),0,VLOOKUP('Project Details by Yr - MASTER'!$B108,'Parking Lots &amp; Playgrounds'!$A$9:$N$33,H$2,0))+IF(ISNA(VLOOKUP($B108,Vehicles!$B$9:$O$50,H$2,0)),0,VLOOKUP($B108,Vehicles!$B$9:$O$50,H$2,0))</f>
        <v>0</v>
      </c>
      <c r="I108" s="8">
        <f>IF(ISNA(VLOOKUP($B108,'Other Capital Needs'!$C$51:$P$95,I$2,0)),0,VLOOKUP($B108,'Other Capital Needs'!$C$51:$P$95,I$2,0))+IF(ISNA(VLOOKUP('Project Details by Yr - MASTER'!$B108,'Public Grounds'!$A$11:$N$49,I$2,0)),0,VLOOKUP('Project Details by Yr - MASTER'!$B108,'Public Grounds'!$A$11:$N$49,I$2,0))+IF(ISNA(VLOOKUP('Project Details by Yr - MASTER'!$B108,'Public Buildings'!$A$10:$N$96,I$2,0)),0,VLOOKUP('Project Details by Yr - MASTER'!$B108,'Public Buildings'!$A$10:$N$96,I$2,0))+IF(ISNA(VLOOKUP('Project Details by Yr - MASTER'!$B108,Bridges!$A$9:$N$24,I$2,0)),0,VLOOKUP('Project Details by Yr - MASTER'!$B108,Bridges!$A$9:$N$24,I$2,0))+IF(ISNA(VLOOKUP('Project Details by Yr - MASTER'!$B108,'Parking Lots &amp; Playgrounds'!$A$9:$N$33,I$2,0)),0,VLOOKUP('Project Details by Yr - MASTER'!$B108,'Parking Lots &amp; Playgrounds'!$A$9:$N$33,I$2,0))+IF(ISNA(VLOOKUP($B108,Vehicles!$B$9:$O$50,I$2,0)),0,VLOOKUP($B108,Vehicles!$B$9:$O$50,I$2,0))</f>
        <v>0</v>
      </c>
      <c r="J108" s="8">
        <f>IF(ISNA(VLOOKUP($B108,'Other Capital Needs'!$C$51:$P$95,J$2,0)),0,VLOOKUP($B108,'Other Capital Needs'!$C$51:$P$95,J$2,0))+IF(ISNA(VLOOKUP('Project Details by Yr - MASTER'!$B108,'Public Grounds'!$A$11:$N$49,J$2,0)),0,VLOOKUP('Project Details by Yr - MASTER'!$B108,'Public Grounds'!$A$11:$N$49,J$2,0))+IF(ISNA(VLOOKUP('Project Details by Yr - MASTER'!$B108,'Public Buildings'!$A$10:$N$96,J$2,0)),0,VLOOKUP('Project Details by Yr - MASTER'!$B108,'Public Buildings'!$A$10:$N$96,J$2,0))+IF(ISNA(VLOOKUP('Project Details by Yr - MASTER'!$B108,Bridges!$A$9:$N$24,J$2,0)),0,VLOOKUP('Project Details by Yr - MASTER'!$B108,Bridges!$A$9:$N$24,J$2,0))+IF(ISNA(VLOOKUP('Project Details by Yr - MASTER'!$B108,'Parking Lots &amp; Playgrounds'!$A$9:$N$33,J$2,0)),0,VLOOKUP('Project Details by Yr - MASTER'!$B108,'Parking Lots &amp; Playgrounds'!$A$9:$N$33,J$2,0))+IF(ISNA(VLOOKUP($B108,Vehicles!$B$9:$O$50,J$2,0)),0,VLOOKUP($B108,Vehicles!$B$9:$O$50,J$2,0))</f>
        <v>0</v>
      </c>
      <c r="K108" s="8">
        <f>IF(ISNA(VLOOKUP($B108,'Other Capital Needs'!$C$51:$P$95,K$2,0)),0,VLOOKUP($B108,'Other Capital Needs'!$C$51:$P$95,K$2,0))+IF(ISNA(VLOOKUP('Project Details by Yr - MASTER'!$B108,'Public Grounds'!$A$11:$N$49,K$2,0)),0,VLOOKUP('Project Details by Yr - MASTER'!$B108,'Public Grounds'!$A$11:$N$49,K$2,0))+IF(ISNA(VLOOKUP('Project Details by Yr - MASTER'!$B108,'Public Buildings'!$A$10:$N$96,K$2,0)),0,VLOOKUP('Project Details by Yr - MASTER'!$B108,'Public Buildings'!$A$10:$N$96,K$2,0))+IF(ISNA(VLOOKUP('Project Details by Yr - MASTER'!$B108,Bridges!$A$9:$N$24,K$2,0)),0,VLOOKUP('Project Details by Yr - MASTER'!$B108,Bridges!$A$9:$N$24,K$2,0))+IF(ISNA(VLOOKUP('Project Details by Yr - MASTER'!$B108,'Parking Lots &amp; Playgrounds'!$A$9:$N$33,K$2,0)),0,VLOOKUP('Project Details by Yr - MASTER'!$B108,'Parking Lots &amp; Playgrounds'!$A$9:$N$33,K$2,0))+IF(ISNA(VLOOKUP($B108,Vehicles!$B$9:$O$50,K$2,0)),0,VLOOKUP($B108,Vehicles!$B$9:$O$50,K$2,0))</f>
        <v>0</v>
      </c>
    </row>
    <row r="109" spans="2:11" x14ac:dyDescent="0.25">
      <c r="B109" s="24" t="s">
        <v>230</v>
      </c>
      <c r="C109" t="s">
        <v>47</v>
      </c>
      <c r="D109" t="s">
        <v>272</v>
      </c>
      <c r="E109" s="1"/>
      <c r="G109" s="8">
        <f>IF(ISNA(VLOOKUP($B109,'Other Capital Needs'!$C$51:$P$95,G$2,0)),0,VLOOKUP($B109,'Other Capital Needs'!$C$51:$P$95,G$2,0))+IF(ISNA(VLOOKUP('Project Details by Yr - MASTER'!$B109,'Public Grounds'!$A$11:$N$49,G$2,0)),0,VLOOKUP('Project Details by Yr - MASTER'!$B109,'Public Grounds'!$A$11:$N$49,G$2,0))+IF(ISNA(VLOOKUP('Project Details by Yr - MASTER'!$B109,'Public Buildings'!$A$10:$N$96,G$2,0)),0,VLOOKUP('Project Details by Yr - MASTER'!$B109,'Public Buildings'!$A$10:$N$96,G$2,0))+IF(ISNA(VLOOKUP('Project Details by Yr - MASTER'!$B109,Bridges!$A$9:$N$24,G$2,0)),0,VLOOKUP('Project Details by Yr - MASTER'!$B109,Bridges!$A$9:$N$24,G$2,0))+IF(ISNA(VLOOKUP('Project Details by Yr - MASTER'!$B109,'Parking Lots &amp; Playgrounds'!$A$9:$N$33,G$2,0)),0,VLOOKUP('Project Details by Yr - MASTER'!$B109,'Parking Lots &amp; Playgrounds'!$A$9:$N$33,G$2,0))+IF(ISNA(VLOOKUP($B109,Vehicles!$B$9:$O$50,G$2,0)),0,VLOOKUP($B109,Vehicles!$B$9:$O$50,G$2,0))</f>
        <v>0</v>
      </c>
      <c r="H109" s="8">
        <f>IF(ISNA(VLOOKUP($B109,'Other Capital Needs'!$C$51:$P$95,H$2,0)),0,VLOOKUP($B109,'Other Capital Needs'!$C$51:$P$95,H$2,0))+IF(ISNA(VLOOKUP('Project Details by Yr - MASTER'!$B109,'Public Grounds'!$A$11:$N$49,H$2,0)),0,VLOOKUP('Project Details by Yr - MASTER'!$B109,'Public Grounds'!$A$11:$N$49,H$2,0))+IF(ISNA(VLOOKUP('Project Details by Yr - MASTER'!$B109,'Public Buildings'!$A$10:$N$96,H$2,0)),0,VLOOKUP('Project Details by Yr - MASTER'!$B109,'Public Buildings'!$A$10:$N$96,H$2,0))+IF(ISNA(VLOOKUP('Project Details by Yr - MASTER'!$B109,Bridges!$A$9:$N$24,H$2,0)),0,VLOOKUP('Project Details by Yr - MASTER'!$B109,Bridges!$A$9:$N$24,H$2,0))+IF(ISNA(VLOOKUP('Project Details by Yr - MASTER'!$B109,'Parking Lots &amp; Playgrounds'!$A$9:$N$33,H$2,0)),0,VLOOKUP('Project Details by Yr - MASTER'!$B109,'Parking Lots &amp; Playgrounds'!$A$9:$N$33,H$2,0))+IF(ISNA(VLOOKUP($B109,Vehicles!$B$9:$O$50,H$2,0)),0,VLOOKUP($B109,Vehicles!$B$9:$O$50,H$2,0))</f>
        <v>0</v>
      </c>
      <c r="I109" s="8">
        <f>IF(ISNA(VLOOKUP($B109,'Other Capital Needs'!$C$51:$P$95,I$2,0)),0,VLOOKUP($B109,'Other Capital Needs'!$C$51:$P$95,I$2,0))+IF(ISNA(VLOOKUP('Project Details by Yr - MASTER'!$B109,'Public Grounds'!$A$11:$N$49,I$2,0)),0,VLOOKUP('Project Details by Yr - MASTER'!$B109,'Public Grounds'!$A$11:$N$49,I$2,0))+IF(ISNA(VLOOKUP('Project Details by Yr - MASTER'!$B109,'Public Buildings'!$A$10:$N$96,I$2,0)),0,VLOOKUP('Project Details by Yr - MASTER'!$B109,'Public Buildings'!$A$10:$N$96,I$2,0))+IF(ISNA(VLOOKUP('Project Details by Yr - MASTER'!$B109,Bridges!$A$9:$N$24,I$2,0)),0,VLOOKUP('Project Details by Yr - MASTER'!$B109,Bridges!$A$9:$N$24,I$2,0))+IF(ISNA(VLOOKUP('Project Details by Yr - MASTER'!$B109,'Parking Lots &amp; Playgrounds'!$A$9:$N$33,I$2,0)),0,VLOOKUP('Project Details by Yr - MASTER'!$B109,'Parking Lots &amp; Playgrounds'!$A$9:$N$33,I$2,0))+IF(ISNA(VLOOKUP($B109,Vehicles!$B$9:$O$50,I$2,0)),0,VLOOKUP($B109,Vehicles!$B$9:$O$50,I$2,0))</f>
        <v>0</v>
      </c>
      <c r="J109" s="8">
        <f>IF(ISNA(VLOOKUP($B109,'Other Capital Needs'!$C$51:$P$95,J$2,0)),0,VLOOKUP($B109,'Other Capital Needs'!$C$51:$P$95,J$2,0))+IF(ISNA(VLOOKUP('Project Details by Yr - MASTER'!$B109,'Public Grounds'!$A$11:$N$49,J$2,0)),0,VLOOKUP('Project Details by Yr - MASTER'!$B109,'Public Grounds'!$A$11:$N$49,J$2,0))+IF(ISNA(VLOOKUP('Project Details by Yr - MASTER'!$B109,'Public Buildings'!$A$10:$N$96,J$2,0)),0,VLOOKUP('Project Details by Yr - MASTER'!$B109,'Public Buildings'!$A$10:$N$96,J$2,0))+IF(ISNA(VLOOKUP('Project Details by Yr - MASTER'!$B109,Bridges!$A$9:$N$24,J$2,0)),0,VLOOKUP('Project Details by Yr - MASTER'!$B109,Bridges!$A$9:$N$24,J$2,0))+IF(ISNA(VLOOKUP('Project Details by Yr - MASTER'!$B109,'Parking Lots &amp; Playgrounds'!$A$9:$N$33,J$2,0)),0,VLOOKUP('Project Details by Yr - MASTER'!$B109,'Parking Lots &amp; Playgrounds'!$A$9:$N$33,J$2,0))+IF(ISNA(VLOOKUP($B109,Vehicles!$B$9:$O$50,J$2,0)),0,VLOOKUP($B109,Vehicles!$B$9:$O$50,J$2,0))</f>
        <v>850000</v>
      </c>
      <c r="K109" s="8">
        <f>IF(ISNA(VLOOKUP($B109,'Other Capital Needs'!$C$51:$P$95,K$2,0)),0,VLOOKUP($B109,'Other Capital Needs'!$C$51:$P$95,K$2,0))+IF(ISNA(VLOOKUP('Project Details by Yr - MASTER'!$B109,'Public Grounds'!$A$11:$N$49,K$2,0)),0,VLOOKUP('Project Details by Yr - MASTER'!$B109,'Public Grounds'!$A$11:$N$49,K$2,0))+IF(ISNA(VLOOKUP('Project Details by Yr - MASTER'!$B109,'Public Buildings'!$A$10:$N$96,K$2,0)),0,VLOOKUP('Project Details by Yr - MASTER'!$B109,'Public Buildings'!$A$10:$N$96,K$2,0))+IF(ISNA(VLOOKUP('Project Details by Yr - MASTER'!$B109,Bridges!$A$9:$N$24,K$2,0)),0,VLOOKUP('Project Details by Yr - MASTER'!$B109,Bridges!$A$9:$N$24,K$2,0))+IF(ISNA(VLOOKUP('Project Details by Yr - MASTER'!$B109,'Parking Lots &amp; Playgrounds'!$A$9:$N$33,K$2,0)),0,VLOOKUP('Project Details by Yr - MASTER'!$B109,'Parking Lots &amp; Playgrounds'!$A$9:$N$33,K$2,0))+IF(ISNA(VLOOKUP($B109,Vehicles!$B$9:$O$50,K$2,0)),0,VLOOKUP($B109,Vehicles!$B$9:$O$50,K$2,0))</f>
        <v>0</v>
      </c>
    </row>
    <row r="110" spans="2:11" x14ac:dyDescent="0.25">
      <c r="B110" s="23" t="s">
        <v>235</v>
      </c>
      <c r="C110" s="23"/>
      <c r="D110" s="23"/>
      <c r="E110" s="1"/>
      <c r="G110" s="8">
        <f>IF(ISNA(VLOOKUP($B110,'Other Capital Needs'!$C$51:$P$95,G$2,0)),0,VLOOKUP($B110,'Other Capital Needs'!$C$51:$P$95,G$2,0))+IF(ISNA(VLOOKUP('Project Details by Yr - MASTER'!$B110,'Public Grounds'!$A$11:$N$49,G$2,0)),0,VLOOKUP('Project Details by Yr - MASTER'!$B110,'Public Grounds'!$A$11:$N$49,G$2,0))+IF(ISNA(VLOOKUP('Project Details by Yr - MASTER'!$B110,'Public Buildings'!$A$10:$N$96,G$2,0)),0,VLOOKUP('Project Details by Yr - MASTER'!$B110,'Public Buildings'!$A$10:$N$96,G$2,0))+IF(ISNA(VLOOKUP('Project Details by Yr - MASTER'!$B110,Bridges!$A$9:$N$24,G$2,0)),0,VLOOKUP('Project Details by Yr - MASTER'!$B110,Bridges!$A$9:$N$24,G$2,0))+IF(ISNA(VLOOKUP('Project Details by Yr - MASTER'!$B110,'Parking Lots &amp; Playgrounds'!$A$9:$N$33,G$2,0)),0,VLOOKUP('Project Details by Yr - MASTER'!$B110,'Parking Lots &amp; Playgrounds'!$A$9:$N$33,G$2,0))+IF(ISNA(VLOOKUP($B110,Vehicles!$B$9:$O$50,G$2,0)),0,VLOOKUP($B110,Vehicles!$B$9:$O$50,G$2,0))</f>
        <v>0</v>
      </c>
      <c r="H110" s="8">
        <f>IF(ISNA(VLOOKUP($B110,'Other Capital Needs'!$C$51:$P$95,H$2,0)),0,VLOOKUP($B110,'Other Capital Needs'!$C$51:$P$95,H$2,0))+IF(ISNA(VLOOKUP('Project Details by Yr - MASTER'!$B110,'Public Grounds'!$A$11:$N$49,H$2,0)),0,VLOOKUP('Project Details by Yr - MASTER'!$B110,'Public Grounds'!$A$11:$N$49,H$2,0))+IF(ISNA(VLOOKUP('Project Details by Yr - MASTER'!$B110,'Public Buildings'!$A$10:$N$96,H$2,0)),0,VLOOKUP('Project Details by Yr - MASTER'!$B110,'Public Buildings'!$A$10:$N$96,H$2,0))+IF(ISNA(VLOOKUP('Project Details by Yr - MASTER'!$B110,Bridges!$A$9:$N$24,H$2,0)),0,VLOOKUP('Project Details by Yr - MASTER'!$B110,Bridges!$A$9:$N$24,H$2,0))+IF(ISNA(VLOOKUP('Project Details by Yr - MASTER'!$B110,'Parking Lots &amp; Playgrounds'!$A$9:$N$33,H$2,0)),0,VLOOKUP('Project Details by Yr - MASTER'!$B110,'Parking Lots &amp; Playgrounds'!$A$9:$N$33,H$2,0))+IF(ISNA(VLOOKUP($B110,Vehicles!$B$9:$O$50,H$2,0)),0,VLOOKUP($B110,Vehicles!$B$9:$O$50,H$2,0))</f>
        <v>0</v>
      </c>
      <c r="I110" s="8">
        <f>IF(ISNA(VLOOKUP($B110,'Other Capital Needs'!$C$51:$P$95,I$2,0)),0,VLOOKUP($B110,'Other Capital Needs'!$C$51:$P$95,I$2,0))+IF(ISNA(VLOOKUP('Project Details by Yr - MASTER'!$B110,'Public Grounds'!$A$11:$N$49,I$2,0)),0,VLOOKUP('Project Details by Yr - MASTER'!$B110,'Public Grounds'!$A$11:$N$49,I$2,0))+IF(ISNA(VLOOKUP('Project Details by Yr - MASTER'!$B110,'Public Buildings'!$A$10:$N$96,I$2,0)),0,VLOOKUP('Project Details by Yr - MASTER'!$B110,'Public Buildings'!$A$10:$N$96,I$2,0))+IF(ISNA(VLOOKUP('Project Details by Yr - MASTER'!$B110,Bridges!$A$9:$N$24,I$2,0)),0,VLOOKUP('Project Details by Yr - MASTER'!$B110,Bridges!$A$9:$N$24,I$2,0))+IF(ISNA(VLOOKUP('Project Details by Yr - MASTER'!$B110,'Parking Lots &amp; Playgrounds'!$A$9:$N$33,I$2,0)),0,VLOOKUP('Project Details by Yr - MASTER'!$B110,'Parking Lots &amp; Playgrounds'!$A$9:$N$33,I$2,0))+IF(ISNA(VLOOKUP($B110,Vehicles!$B$9:$O$50,I$2,0)),0,VLOOKUP($B110,Vehicles!$B$9:$O$50,I$2,0))</f>
        <v>0</v>
      </c>
      <c r="J110" s="8">
        <f>IF(ISNA(VLOOKUP($B110,'Other Capital Needs'!$C$51:$P$95,J$2,0)),0,VLOOKUP($B110,'Other Capital Needs'!$C$51:$P$95,J$2,0))+IF(ISNA(VLOOKUP('Project Details by Yr - MASTER'!$B110,'Public Grounds'!$A$11:$N$49,J$2,0)),0,VLOOKUP('Project Details by Yr - MASTER'!$B110,'Public Grounds'!$A$11:$N$49,J$2,0))+IF(ISNA(VLOOKUP('Project Details by Yr - MASTER'!$B110,'Public Buildings'!$A$10:$N$96,J$2,0)),0,VLOOKUP('Project Details by Yr - MASTER'!$B110,'Public Buildings'!$A$10:$N$96,J$2,0))+IF(ISNA(VLOOKUP('Project Details by Yr - MASTER'!$B110,Bridges!$A$9:$N$24,J$2,0)),0,VLOOKUP('Project Details by Yr - MASTER'!$B110,Bridges!$A$9:$N$24,J$2,0))+IF(ISNA(VLOOKUP('Project Details by Yr - MASTER'!$B110,'Parking Lots &amp; Playgrounds'!$A$9:$N$33,J$2,0)),0,VLOOKUP('Project Details by Yr - MASTER'!$B110,'Parking Lots &amp; Playgrounds'!$A$9:$N$33,J$2,0))+IF(ISNA(VLOOKUP($B110,Vehicles!$B$9:$O$50,J$2,0)),0,VLOOKUP($B110,Vehicles!$B$9:$O$50,J$2,0))</f>
        <v>0</v>
      </c>
      <c r="K110" s="8">
        <f>IF(ISNA(VLOOKUP($B110,'Other Capital Needs'!$C$51:$P$95,K$2,0)),0,VLOOKUP($B110,'Other Capital Needs'!$C$51:$P$95,K$2,0))+IF(ISNA(VLOOKUP('Project Details by Yr - MASTER'!$B110,'Public Grounds'!$A$11:$N$49,K$2,0)),0,VLOOKUP('Project Details by Yr - MASTER'!$B110,'Public Grounds'!$A$11:$N$49,K$2,0))+IF(ISNA(VLOOKUP('Project Details by Yr - MASTER'!$B110,'Public Buildings'!$A$10:$N$96,K$2,0)),0,VLOOKUP('Project Details by Yr - MASTER'!$B110,'Public Buildings'!$A$10:$N$96,K$2,0))+IF(ISNA(VLOOKUP('Project Details by Yr - MASTER'!$B110,Bridges!$A$9:$N$24,K$2,0)),0,VLOOKUP('Project Details by Yr - MASTER'!$B110,Bridges!$A$9:$N$24,K$2,0))+IF(ISNA(VLOOKUP('Project Details by Yr - MASTER'!$B110,'Parking Lots &amp; Playgrounds'!$A$9:$N$33,K$2,0)),0,VLOOKUP('Project Details by Yr - MASTER'!$B110,'Parking Lots &amp; Playgrounds'!$A$9:$N$33,K$2,0))+IF(ISNA(VLOOKUP($B110,Vehicles!$B$9:$O$50,K$2,0)),0,VLOOKUP($B110,Vehicles!$B$9:$O$50,K$2,0))</f>
        <v>0</v>
      </c>
    </row>
    <row r="111" spans="2:11" x14ac:dyDescent="0.25">
      <c r="B111" s="24" t="s">
        <v>236</v>
      </c>
      <c r="C111" t="s">
        <v>47</v>
      </c>
      <c r="D111" t="s">
        <v>272</v>
      </c>
      <c r="E111" s="1"/>
      <c r="G111" s="8">
        <f>IF(ISNA(VLOOKUP($B111,'Other Capital Needs'!$C$51:$P$95,G$2,0)),0,VLOOKUP($B111,'Other Capital Needs'!$C$51:$P$95,G$2,0))+IF(ISNA(VLOOKUP('Project Details by Yr - MASTER'!$B111,'Public Grounds'!$A$11:$N$49,G$2,0)),0,VLOOKUP('Project Details by Yr - MASTER'!$B111,'Public Grounds'!$A$11:$N$49,G$2,0))+IF(ISNA(VLOOKUP('Project Details by Yr - MASTER'!$B111,'Public Buildings'!$A$10:$N$96,G$2,0)),0,VLOOKUP('Project Details by Yr - MASTER'!$B111,'Public Buildings'!$A$10:$N$96,G$2,0))+IF(ISNA(VLOOKUP('Project Details by Yr - MASTER'!$B111,Bridges!$A$9:$N$24,G$2,0)),0,VLOOKUP('Project Details by Yr - MASTER'!$B111,Bridges!$A$9:$N$24,G$2,0))+IF(ISNA(VLOOKUP('Project Details by Yr - MASTER'!$B111,'Parking Lots &amp; Playgrounds'!$A$9:$N$33,G$2,0)),0,VLOOKUP('Project Details by Yr - MASTER'!$B111,'Parking Lots &amp; Playgrounds'!$A$9:$N$33,G$2,0))+IF(ISNA(VLOOKUP($B111,Vehicles!$B$9:$O$50,G$2,0)),0,VLOOKUP($B111,Vehicles!$B$9:$O$50,G$2,0))</f>
        <v>0</v>
      </c>
      <c r="H111" s="8">
        <f>IF(ISNA(VLOOKUP($B111,'Other Capital Needs'!$C$51:$P$95,H$2,0)),0,VLOOKUP($B111,'Other Capital Needs'!$C$51:$P$95,H$2,0))+IF(ISNA(VLOOKUP('Project Details by Yr - MASTER'!$B111,'Public Grounds'!$A$11:$N$49,H$2,0)),0,VLOOKUP('Project Details by Yr - MASTER'!$B111,'Public Grounds'!$A$11:$N$49,H$2,0))+IF(ISNA(VLOOKUP('Project Details by Yr - MASTER'!$B111,'Public Buildings'!$A$10:$N$96,H$2,0)),0,VLOOKUP('Project Details by Yr - MASTER'!$B111,'Public Buildings'!$A$10:$N$96,H$2,0))+IF(ISNA(VLOOKUP('Project Details by Yr - MASTER'!$B111,Bridges!$A$9:$N$24,H$2,0)),0,VLOOKUP('Project Details by Yr - MASTER'!$B111,Bridges!$A$9:$N$24,H$2,0))+IF(ISNA(VLOOKUP('Project Details by Yr - MASTER'!$B111,'Parking Lots &amp; Playgrounds'!$A$9:$N$33,H$2,0)),0,VLOOKUP('Project Details by Yr - MASTER'!$B111,'Parking Lots &amp; Playgrounds'!$A$9:$N$33,H$2,0))+IF(ISNA(VLOOKUP($B111,Vehicles!$B$9:$O$50,H$2,0)),0,VLOOKUP($B111,Vehicles!$B$9:$O$50,H$2,0))</f>
        <v>0</v>
      </c>
      <c r="I111" s="8">
        <f>IF(ISNA(VLOOKUP($B111,'Other Capital Needs'!$C$51:$P$95,I$2,0)),0,VLOOKUP($B111,'Other Capital Needs'!$C$51:$P$95,I$2,0))+IF(ISNA(VLOOKUP('Project Details by Yr - MASTER'!$B111,'Public Grounds'!$A$11:$N$49,I$2,0)),0,VLOOKUP('Project Details by Yr - MASTER'!$B111,'Public Grounds'!$A$11:$N$49,I$2,0))+IF(ISNA(VLOOKUP('Project Details by Yr - MASTER'!$B111,'Public Buildings'!$A$10:$N$96,I$2,0)),0,VLOOKUP('Project Details by Yr - MASTER'!$B111,'Public Buildings'!$A$10:$N$96,I$2,0))+IF(ISNA(VLOOKUP('Project Details by Yr - MASTER'!$B111,Bridges!$A$9:$N$24,I$2,0)),0,VLOOKUP('Project Details by Yr - MASTER'!$B111,Bridges!$A$9:$N$24,I$2,0))+IF(ISNA(VLOOKUP('Project Details by Yr - MASTER'!$B111,'Parking Lots &amp; Playgrounds'!$A$9:$N$33,I$2,0)),0,VLOOKUP('Project Details by Yr - MASTER'!$B111,'Parking Lots &amp; Playgrounds'!$A$9:$N$33,I$2,0))+IF(ISNA(VLOOKUP($B111,Vehicles!$B$9:$O$50,I$2,0)),0,VLOOKUP($B111,Vehicles!$B$9:$O$50,I$2,0))</f>
        <v>0</v>
      </c>
      <c r="J111" s="8">
        <f>IF(ISNA(VLOOKUP($B111,'Other Capital Needs'!$C$51:$P$95,J$2,0)),0,VLOOKUP($B111,'Other Capital Needs'!$C$51:$P$95,J$2,0))+IF(ISNA(VLOOKUP('Project Details by Yr - MASTER'!$B111,'Public Grounds'!$A$11:$N$49,J$2,0)),0,VLOOKUP('Project Details by Yr - MASTER'!$B111,'Public Grounds'!$A$11:$N$49,J$2,0))+IF(ISNA(VLOOKUP('Project Details by Yr - MASTER'!$B111,'Public Buildings'!$A$10:$N$96,J$2,0)),0,VLOOKUP('Project Details by Yr - MASTER'!$B111,'Public Buildings'!$A$10:$N$96,J$2,0))+IF(ISNA(VLOOKUP('Project Details by Yr - MASTER'!$B111,Bridges!$A$9:$N$24,J$2,0)),0,VLOOKUP('Project Details by Yr - MASTER'!$B111,Bridges!$A$9:$N$24,J$2,0))+IF(ISNA(VLOOKUP('Project Details by Yr - MASTER'!$B111,'Parking Lots &amp; Playgrounds'!$A$9:$N$33,J$2,0)),0,VLOOKUP('Project Details by Yr - MASTER'!$B111,'Parking Lots &amp; Playgrounds'!$A$9:$N$33,J$2,0))+IF(ISNA(VLOOKUP($B111,Vehicles!$B$9:$O$50,J$2,0)),0,VLOOKUP($B111,Vehicles!$B$9:$O$50,J$2,0))</f>
        <v>0</v>
      </c>
      <c r="K111" s="8">
        <f>IF(ISNA(VLOOKUP($B111,'Other Capital Needs'!$C$51:$P$95,K$2,0)),0,VLOOKUP($B111,'Other Capital Needs'!$C$51:$P$95,K$2,0))+IF(ISNA(VLOOKUP('Project Details by Yr - MASTER'!$B111,'Public Grounds'!$A$11:$N$49,K$2,0)),0,VLOOKUP('Project Details by Yr - MASTER'!$B111,'Public Grounds'!$A$11:$N$49,K$2,0))+IF(ISNA(VLOOKUP('Project Details by Yr - MASTER'!$B111,'Public Buildings'!$A$10:$N$96,K$2,0)),0,VLOOKUP('Project Details by Yr - MASTER'!$B111,'Public Buildings'!$A$10:$N$96,K$2,0))+IF(ISNA(VLOOKUP('Project Details by Yr - MASTER'!$B111,Bridges!$A$9:$N$24,K$2,0)),0,VLOOKUP('Project Details by Yr - MASTER'!$B111,Bridges!$A$9:$N$24,K$2,0))+IF(ISNA(VLOOKUP('Project Details by Yr - MASTER'!$B111,'Parking Lots &amp; Playgrounds'!$A$9:$N$33,K$2,0)),0,VLOOKUP('Project Details by Yr - MASTER'!$B111,'Parking Lots &amp; Playgrounds'!$A$9:$N$33,K$2,0))+IF(ISNA(VLOOKUP($B111,Vehicles!$B$9:$O$50,K$2,0)),0,VLOOKUP($B111,Vehicles!$B$9:$O$50,K$2,0))</f>
        <v>0</v>
      </c>
    </row>
    <row r="112" spans="2:11" x14ac:dyDescent="0.25">
      <c r="B112" s="24" t="s">
        <v>237</v>
      </c>
      <c r="C112" t="s">
        <v>47</v>
      </c>
      <c r="D112" t="s">
        <v>272</v>
      </c>
      <c r="E112" s="1"/>
      <c r="G112" s="8">
        <f>IF(ISNA(VLOOKUP($B112,'Other Capital Needs'!$C$51:$P$95,G$2,0)),0,VLOOKUP($B112,'Other Capital Needs'!$C$51:$P$95,G$2,0))+IF(ISNA(VLOOKUP('Project Details by Yr - MASTER'!$B112,'Public Grounds'!$A$11:$N$49,G$2,0)),0,VLOOKUP('Project Details by Yr - MASTER'!$B112,'Public Grounds'!$A$11:$N$49,G$2,0))+IF(ISNA(VLOOKUP('Project Details by Yr - MASTER'!$B112,'Public Buildings'!$A$10:$N$96,G$2,0)),0,VLOOKUP('Project Details by Yr - MASTER'!$B112,'Public Buildings'!$A$10:$N$96,G$2,0))+IF(ISNA(VLOOKUP('Project Details by Yr - MASTER'!$B112,Bridges!$A$9:$N$24,G$2,0)),0,VLOOKUP('Project Details by Yr - MASTER'!$B112,Bridges!$A$9:$N$24,G$2,0))+IF(ISNA(VLOOKUP('Project Details by Yr - MASTER'!$B112,'Parking Lots &amp; Playgrounds'!$A$9:$N$33,G$2,0)),0,VLOOKUP('Project Details by Yr - MASTER'!$B112,'Parking Lots &amp; Playgrounds'!$A$9:$N$33,G$2,0))+IF(ISNA(VLOOKUP($B112,Vehicles!$B$9:$O$50,G$2,0)),0,VLOOKUP($B112,Vehicles!$B$9:$O$50,G$2,0))</f>
        <v>35000</v>
      </c>
      <c r="H112" s="8">
        <f>IF(ISNA(VLOOKUP($B112,'Other Capital Needs'!$C$51:$P$95,H$2,0)),0,VLOOKUP($B112,'Other Capital Needs'!$C$51:$P$95,H$2,0))+IF(ISNA(VLOOKUP('Project Details by Yr - MASTER'!$B112,'Public Grounds'!$A$11:$N$49,H$2,0)),0,VLOOKUP('Project Details by Yr - MASTER'!$B112,'Public Grounds'!$A$11:$N$49,H$2,0))+IF(ISNA(VLOOKUP('Project Details by Yr - MASTER'!$B112,'Public Buildings'!$A$10:$N$96,H$2,0)),0,VLOOKUP('Project Details by Yr - MASTER'!$B112,'Public Buildings'!$A$10:$N$96,H$2,0))+IF(ISNA(VLOOKUP('Project Details by Yr - MASTER'!$B112,Bridges!$A$9:$N$24,H$2,0)),0,VLOOKUP('Project Details by Yr - MASTER'!$B112,Bridges!$A$9:$N$24,H$2,0))+IF(ISNA(VLOOKUP('Project Details by Yr - MASTER'!$B112,'Parking Lots &amp; Playgrounds'!$A$9:$N$33,H$2,0)),0,VLOOKUP('Project Details by Yr - MASTER'!$B112,'Parking Lots &amp; Playgrounds'!$A$9:$N$33,H$2,0))+IF(ISNA(VLOOKUP($B112,Vehicles!$B$9:$O$50,H$2,0)),0,VLOOKUP($B112,Vehicles!$B$9:$O$50,H$2,0))</f>
        <v>0</v>
      </c>
      <c r="I112" s="8">
        <f>IF(ISNA(VLOOKUP($B112,'Other Capital Needs'!$C$51:$P$95,I$2,0)),0,VLOOKUP($B112,'Other Capital Needs'!$C$51:$P$95,I$2,0))+IF(ISNA(VLOOKUP('Project Details by Yr - MASTER'!$B112,'Public Grounds'!$A$11:$N$49,I$2,0)),0,VLOOKUP('Project Details by Yr - MASTER'!$B112,'Public Grounds'!$A$11:$N$49,I$2,0))+IF(ISNA(VLOOKUP('Project Details by Yr - MASTER'!$B112,'Public Buildings'!$A$10:$N$96,I$2,0)),0,VLOOKUP('Project Details by Yr - MASTER'!$B112,'Public Buildings'!$A$10:$N$96,I$2,0))+IF(ISNA(VLOOKUP('Project Details by Yr - MASTER'!$B112,Bridges!$A$9:$N$24,I$2,0)),0,VLOOKUP('Project Details by Yr - MASTER'!$B112,Bridges!$A$9:$N$24,I$2,0))+IF(ISNA(VLOOKUP('Project Details by Yr - MASTER'!$B112,'Parking Lots &amp; Playgrounds'!$A$9:$N$33,I$2,0)),0,VLOOKUP('Project Details by Yr - MASTER'!$B112,'Parking Lots &amp; Playgrounds'!$A$9:$N$33,I$2,0))+IF(ISNA(VLOOKUP($B112,Vehicles!$B$9:$O$50,I$2,0)),0,VLOOKUP($B112,Vehicles!$B$9:$O$50,I$2,0))</f>
        <v>0</v>
      </c>
      <c r="J112" s="8">
        <f>IF(ISNA(VLOOKUP($B112,'Other Capital Needs'!$C$51:$P$95,J$2,0)),0,VLOOKUP($B112,'Other Capital Needs'!$C$51:$P$95,J$2,0))+IF(ISNA(VLOOKUP('Project Details by Yr - MASTER'!$B112,'Public Grounds'!$A$11:$N$49,J$2,0)),0,VLOOKUP('Project Details by Yr - MASTER'!$B112,'Public Grounds'!$A$11:$N$49,J$2,0))+IF(ISNA(VLOOKUP('Project Details by Yr - MASTER'!$B112,'Public Buildings'!$A$10:$N$96,J$2,0)),0,VLOOKUP('Project Details by Yr - MASTER'!$B112,'Public Buildings'!$A$10:$N$96,J$2,0))+IF(ISNA(VLOOKUP('Project Details by Yr - MASTER'!$B112,Bridges!$A$9:$N$24,J$2,0)),0,VLOOKUP('Project Details by Yr - MASTER'!$B112,Bridges!$A$9:$N$24,J$2,0))+IF(ISNA(VLOOKUP('Project Details by Yr - MASTER'!$B112,'Parking Lots &amp; Playgrounds'!$A$9:$N$33,J$2,0)),0,VLOOKUP('Project Details by Yr - MASTER'!$B112,'Parking Lots &amp; Playgrounds'!$A$9:$N$33,J$2,0))+IF(ISNA(VLOOKUP($B112,Vehicles!$B$9:$O$50,J$2,0)),0,VLOOKUP($B112,Vehicles!$B$9:$O$50,J$2,0))</f>
        <v>0</v>
      </c>
      <c r="K112" s="8">
        <f>IF(ISNA(VLOOKUP($B112,'Other Capital Needs'!$C$51:$P$95,K$2,0)),0,VLOOKUP($B112,'Other Capital Needs'!$C$51:$P$95,K$2,0))+IF(ISNA(VLOOKUP('Project Details by Yr - MASTER'!$B112,'Public Grounds'!$A$11:$N$49,K$2,0)),0,VLOOKUP('Project Details by Yr - MASTER'!$B112,'Public Grounds'!$A$11:$N$49,K$2,0))+IF(ISNA(VLOOKUP('Project Details by Yr - MASTER'!$B112,'Public Buildings'!$A$10:$N$96,K$2,0)),0,VLOOKUP('Project Details by Yr - MASTER'!$B112,'Public Buildings'!$A$10:$N$96,K$2,0))+IF(ISNA(VLOOKUP('Project Details by Yr - MASTER'!$B112,Bridges!$A$9:$N$24,K$2,0)),0,VLOOKUP('Project Details by Yr - MASTER'!$B112,Bridges!$A$9:$N$24,K$2,0))+IF(ISNA(VLOOKUP('Project Details by Yr - MASTER'!$B112,'Parking Lots &amp; Playgrounds'!$A$9:$N$33,K$2,0)),0,VLOOKUP('Project Details by Yr - MASTER'!$B112,'Parking Lots &amp; Playgrounds'!$A$9:$N$33,K$2,0))+IF(ISNA(VLOOKUP($B112,Vehicles!$B$9:$O$50,K$2,0)),0,VLOOKUP($B112,Vehicles!$B$9:$O$50,K$2,0))</f>
        <v>0</v>
      </c>
    </row>
    <row r="113" spans="2:11" x14ac:dyDescent="0.25">
      <c r="B113" s="24" t="s">
        <v>230</v>
      </c>
      <c r="C113" t="s">
        <v>47</v>
      </c>
      <c r="D113" t="s">
        <v>272</v>
      </c>
      <c r="E113" s="1"/>
      <c r="G113" s="8">
        <f>IF(ISNA(VLOOKUP($B113,'Other Capital Needs'!$C$51:$P$95,G$2,0)),0,VLOOKUP($B113,'Other Capital Needs'!$C$51:$P$95,G$2,0))+IF(ISNA(VLOOKUP('Project Details by Yr - MASTER'!$B113,'Public Grounds'!$A$11:$N$49,G$2,0)),0,VLOOKUP('Project Details by Yr - MASTER'!$B113,'Public Grounds'!$A$11:$N$49,G$2,0))+IF(ISNA(VLOOKUP('Project Details by Yr - MASTER'!$B113,'Public Buildings'!$A$10:$N$96,G$2,0)),0,VLOOKUP('Project Details by Yr - MASTER'!$B113,'Public Buildings'!$A$10:$N$96,G$2,0))+IF(ISNA(VLOOKUP('Project Details by Yr - MASTER'!$B113,Bridges!$A$9:$N$24,G$2,0)),0,VLOOKUP('Project Details by Yr - MASTER'!$B113,Bridges!$A$9:$N$24,G$2,0))+IF(ISNA(VLOOKUP('Project Details by Yr - MASTER'!$B113,'Parking Lots &amp; Playgrounds'!$A$9:$N$33,G$2,0)),0,VLOOKUP('Project Details by Yr - MASTER'!$B113,'Parking Lots &amp; Playgrounds'!$A$9:$N$33,G$2,0))+IF(ISNA(VLOOKUP($B113,Vehicles!$B$9:$O$50,G$2,0)),0,VLOOKUP($B113,Vehicles!$B$9:$O$50,G$2,0))</f>
        <v>0</v>
      </c>
      <c r="H113" s="8">
        <f>IF(ISNA(VLOOKUP($B113,'Other Capital Needs'!$C$51:$P$95,H$2,0)),0,VLOOKUP($B113,'Other Capital Needs'!$C$51:$P$95,H$2,0))+IF(ISNA(VLOOKUP('Project Details by Yr - MASTER'!$B113,'Public Grounds'!$A$11:$N$49,H$2,0)),0,VLOOKUP('Project Details by Yr - MASTER'!$B113,'Public Grounds'!$A$11:$N$49,H$2,0))+IF(ISNA(VLOOKUP('Project Details by Yr - MASTER'!$B113,'Public Buildings'!$A$10:$N$96,H$2,0)),0,VLOOKUP('Project Details by Yr - MASTER'!$B113,'Public Buildings'!$A$10:$N$96,H$2,0))+IF(ISNA(VLOOKUP('Project Details by Yr - MASTER'!$B113,Bridges!$A$9:$N$24,H$2,0)),0,VLOOKUP('Project Details by Yr - MASTER'!$B113,Bridges!$A$9:$N$24,H$2,0))+IF(ISNA(VLOOKUP('Project Details by Yr - MASTER'!$B113,'Parking Lots &amp; Playgrounds'!$A$9:$N$33,H$2,0)),0,VLOOKUP('Project Details by Yr - MASTER'!$B113,'Parking Lots &amp; Playgrounds'!$A$9:$N$33,H$2,0))+IF(ISNA(VLOOKUP($B113,Vehicles!$B$9:$O$50,H$2,0)),0,VLOOKUP($B113,Vehicles!$B$9:$O$50,H$2,0))</f>
        <v>0</v>
      </c>
      <c r="I113" s="8">
        <f>IF(ISNA(VLOOKUP($B113,'Other Capital Needs'!$C$51:$P$95,I$2,0)),0,VLOOKUP($B113,'Other Capital Needs'!$C$51:$P$95,I$2,0))+IF(ISNA(VLOOKUP('Project Details by Yr - MASTER'!$B113,'Public Grounds'!$A$11:$N$49,I$2,0)),0,VLOOKUP('Project Details by Yr - MASTER'!$B113,'Public Grounds'!$A$11:$N$49,I$2,0))+IF(ISNA(VLOOKUP('Project Details by Yr - MASTER'!$B113,'Public Buildings'!$A$10:$N$96,I$2,0)),0,VLOOKUP('Project Details by Yr - MASTER'!$B113,'Public Buildings'!$A$10:$N$96,I$2,0))+IF(ISNA(VLOOKUP('Project Details by Yr - MASTER'!$B113,Bridges!$A$9:$N$24,I$2,0)),0,VLOOKUP('Project Details by Yr - MASTER'!$B113,Bridges!$A$9:$N$24,I$2,0))+IF(ISNA(VLOOKUP('Project Details by Yr - MASTER'!$B113,'Parking Lots &amp; Playgrounds'!$A$9:$N$33,I$2,0)),0,VLOOKUP('Project Details by Yr - MASTER'!$B113,'Parking Lots &amp; Playgrounds'!$A$9:$N$33,I$2,0))+IF(ISNA(VLOOKUP($B113,Vehicles!$B$9:$O$50,I$2,0)),0,VLOOKUP($B113,Vehicles!$B$9:$O$50,I$2,0))</f>
        <v>0</v>
      </c>
      <c r="J113" s="8">
        <f>IF(ISNA(VLOOKUP($B113,'Other Capital Needs'!$C$51:$P$95,J$2,0)),0,VLOOKUP($B113,'Other Capital Needs'!$C$51:$P$95,J$2,0))+IF(ISNA(VLOOKUP('Project Details by Yr - MASTER'!$B113,'Public Grounds'!$A$11:$N$49,J$2,0)),0,VLOOKUP('Project Details by Yr - MASTER'!$B113,'Public Grounds'!$A$11:$N$49,J$2,0))+IF(ISNA(VLOOKUP('Project Details by Yr - MASTER'!$B113,'Public Buildings'!$A$10:$N$96,J$2,0)),0,VLOOKUP('Project Details by Yr - MASTER'!$B113,'Public Buildings'!$A$10:$N$96,J$2,0))+IF(ISNA(VLOOKUP('Project Details by Yr - MASTER'!$B113,Bridges!$A$9:$N$24,J$2,0)),0,VLOOKUP('Project Details by Yr - MASTER'!$B113,Bridges!$A$9:$N$24,J$2,0))+IF(ISNA(VLOOKUP('Project Details by Yr - MASTER'!$B113,'Parking Lots &amp; Playgrounds'!$A$9:$N$33,J$2,0)),0,VLOOKUP('Project Details by Yr - MASTER'!$B113,'Parking Lots &amp; Playgrounds'!$A$9:$N$33,J$2,0))+IF(ISNA(VLOOKUP($B113,Vehicles!$B$9:$O$50,J$2,0)),0,VLOOKUP($B113,Vehicles!$B$9:$O$50,J$2,0))</f>
        <v>850000</v>
      </c>
      <c r="K113" s="8">
        <f>IF(ISNA(VLOOKUP($B113,'Other Capital Needs'!$C$51:$P$95,K$2,0)),0,VLOOKUP($B113,'Other Capital Needs'!$C$51:$P$95,K$2,0))+IF(ISNA(VLOOKUP('Project Details by Yr - MASTER'!$B113,'Public Grounds'!$A$11:$N$49,K$2,0)),0,VLOOKUP('Project Details by Yr - MASTER'!$B113,'Public Grounds'!$A$11:$N$49,K$2,0))+IF(ISNA(VLOOKUP('Project Details by Yr - MASTER'!$B113,'Public Buildings'!$A$10:$N$96,K$2,0)),0,VLOOKUP('Project Details by Yr - MASTER'!$B113,'Public Buildings'!$A$10:$N$96,K$2,0))+IF(ISNA(VLOOKUP('Project Details by Yr - MASTER'!$B113,Bridges!$A$9:$N$24,K$2,0)),0,VLOOKUP('Project Details by Yr - MASTER'!$B113,Bridges!$A$9:$N$24,K$2,0))+IF(ISNA(VLOOKUP('Project Details by Yr - MASTER'!$B113,'Parking Lots &amp; Playgrounds'!$A$9:$N$33,K$2,0)),0,VLOOKUP('Project Details by Yr - MASTER'!$B113,'Parking Lots &amp; Playgrounds'!$A$9:$N$33,K$2,0))+IF(ISNA(VLOOKUP($B113,Vehicles!$B$9:$O$50,K$2,0)),0,VLOOKUP($B113,Vehicles!$B$9:$O$50,K$2,0))</f>
        <v>0</v>
      </c>
    </row>
    <row r="114" spans="2:11" x14ac:dyDescent="0.25">
      <c r="B114" s="24" t="s">
        <v>238</v>
      </c>
      <c r="C114" t="s">
        <v>47</v>
      </c>
      <c r="D114" t="s">
        <v>272</v>
      </c>
      <c r="E114" s="1"/>
      <c r="G114" s="8">
        <f>IF(ISNA(VLOOKUP($B114,'Other Capital Needs'!$C$51:$P$95,G$2,0)),0,VLOOKUP($B114,'Other Capital Needs'!$C$51:$P$95,G$2,0))+IF(ISNA(VLOOKUP('Project Details by Yr - MASTER'!$B114,'Public Grounds'!$A$11:$N$49,G$2,0)),0,VLOOKUP('Project Details by Yr - MASTER'!$B114,'Public Grounds'!$A$11:$N$49,G$2,0))+IF(ISNA(VLOOKUP('Project Details by Yr - MASTER'!$B114,'Public Buildings'!$A$10:$N$96,G$2,0)),0,VLOOKUP('Project Details by Yr - MASTER'!$B114,'Public Buildings'!$A$10:$N$96,G$2,0))+IF(ISNA(VLOOKUP('Project Details by Yr - MASTER'!$B114,Bridges!$A$9:$N$24,G$2,0)),0,VLOOKUP('Project Details by Yr - MASTER'!$B114,Bridges!$A$9:$N$24,G$2,0))+IF(ISNA(VLOOKUP('Project Details by Yr - MASTER'!$B114,'Parking Lots &amp; Playgrounds'!$A$9:$N$33,G$2,0)),0,VLOOKUP('Project Details by Yr - MASTER'!$B114,'Parking Lots &amp; Playgrounds'!$A$9:$N$33,G$2,0))+IF(ISNA(VLOOKUP($B114,Vehicles!$B$9:$O$50,G$2,0)),0,VLOOKUP($B114,Vehicles!$B$9:$O$50,G$2,0))</f>
        <v>0</v>
      </c>
      <c r="H114" s="8">
        <f>IF(ISNA(VLOOKUP($B114,'Other Capital Needs'!$C$51:$P$95,H$2,0)),0,VLOOKUP($B114,'Other Capital Needs'!$C$51:$P$95,H$2,0))+IF(ISNA(VLOOKUP('Project Details by Yr - MASTER'!$B114,'Public Grounds'!$A$11:$N$49,H$2,0)),0,VLOOKUP('Project Details by Yr - MASTER'!$B114,'Public Grounds'!$A$11:$N$49,H$2,0))+IF(ISNA(VLOOKUP('Project Details by Yr - MASTER'!$B114,'Public Buildings'!$A$10:$N$96,H$2,0)),0,VLOOKUP('Project Details by Yr - MASTER'!$B114,'Public Buildings'!$A$10:$N$96,H$2,0))+IF(ISNA(VLOOKUP('Project Details by Yr - MASTER'!$B114,Bridges!$A$9:$N$24,H$2,0)),0,VLOOKUP('Project Details by Yr - MASTER'!$B114,Bridges!$A$9:$N$24,H$2,0))+IF(ISNA(VLOOKUP('Project Details by Yr - MASTER'!$B114,'Parking Lots &amp; Playgrounds'!$A$9:$N$33,H$2,0)),0,VLOOKUP('Project Details by Yr - MASTER'!$B114,'Parking Lots &amp; Playgrounds'!$A$9:$N$33,H$2,0))+IF(ISNA(VLOOKUP($B114,Vehicles!$B$9:$O$50,H$2,0)),0,VLOOKUP($B114,Vehicles!$B$9:$O$50,H$2,0))</f>
        <v>0</v>
      </c>
      <c r="I114" s="8">
        <f>IF(ISNA(VLOOKUP($B114,'Other Capital Needs'!$C$51:$P$95,I$2,0)),0,VLOOKUP($B114,'Other Capital Needs'!$C$51:$P$95,I$2,0))+IF(ISNA(VLOOKUP('Project Details by Yr - MASTER'!$B114,'Public Grounds'!$A$11:$N$49,I$2,0)),0,VLOOKUP('Project Details by Yr - MASTER'!$B114,'Public Grounds'!$A$11:$N$49,I$2,0))+IF(ISNA(VLOOKUP('Project Details by Yr - MASTER'!$B114,'Public Buildings'!$A$10:$N$96,I$2,0)),0,VLOOKUP('Project Details by Yr - MASTER'!$B114,'Public Buildings'!$A$10:$N$96,I$2,0))+IF(ISNA(VLOOKUP('Project Details by Yr - MASTER'!$B114,Bridges!$A$9:$N$24,I$2,0)),0,VLOOKUP('Project Details by Yr - MASTER'!$B114,Bridges!$A$9:$N$24,I$2,0))+IF(ISNA(VLOOKUP('Project Details by Yr - MASTER'!$B114,'Parking Lots &amp; Playgrounds'!$A$9:$N$33,I$2,0)),0,VLOOKUP('Project Details by Yr - MASTER'!$B114,'Parking Lots &amp; Playgrounds'!$A$9:$N$33,I$2,0))+IF(ISNA(VLOOKUP($B114,Vehicles!$B$9:$O$50,I$2,0)),0,VLOOKUP($B114,Vehicles!$B$9:$O$50,I$2,0))</f>
        <v>0</v>
      </c>
      <c r="J114" s="8">
        <f>IF(ISNA(VLOOKUP($B114,'Other Capital Needs'!$C$51:$P$95,J$2,0)),0,VLOOKUP($B114,'Other Capital Needs'!$C$51:$P$95,J$2,0))+IF(ISNA(VLOOKUP('Project Details by Yr - MASTER'!$B114,'Public Grounds'!$A$11:$N$49,J$2,0)),0,VLOOKUP('Project Details by Yr - MASTER'!$B114,'Public Grounds'!$A$11:$N$49,J$2,0))+IF(ISNA(VLOOKUP('Project Details by Yr - MASTER'!$B114,'Public Buildings'!$A$10:$N$96,J$2,0)),0,VLOOKUP('Project Details by Yr - MASTER'!$B114,'Public Buildings'!$A$10:$N$96,J$2,0))+IF(ISNA(VLOOKUP('Project Details by Yr - MASTER'!$B114,Bridges!$A$9:$N$24,J$2,0)),0,VLOOKUP('Project Details by Yr - MASTER'!$B114,Bridges!$A$9:$N$24,J$2,0))+IF(ISNA(VLOOKUP('Project Details by Yr - MASTER'!$B114,'Parking Lots &amp; Playgrounds'!$A$9:$N$33,J$2,0)),0,VLOOKUP('Project Details by Yr - MASTER'!$B114,'Parking Lots &amp; Playgrounds'!$A$9:$N$33,J$2,0))+IF(ISNA(VLOOKUP($B114,Vehicles!$B$9:$O$50,J$2,0)),0,VLOOKUP($B114,Vehicles!$B$9:$O$50,J$2,0))</f>
        <v>0</v>
      </c>
      <c r="K114" s="8">
        <f>IF(ISNA(VLOOKUP($B114,'Other Capital Needs'!$C$51:$P$95,K$2,0)),0,VLOOKUP($B114,'Other Capital Needs'!$C$51:$P$95,K$2,0))+IF(ISNA(VLOOKUP('Project Details by Yr - MASTER'!$B114,'Public Grounds'!$A$11:$N$49,K$2,0)),0,VLOOKUP('Project Details by Yr - MASTER'!$B114,'Public Grounds'!$A$11:$N$49,K$2,0))+IF(ISNA(VLOOKUP('Project Details by Yr - MASTER'!$B114,'Public Buildings'!$A$10:$N$96,K$2,0)),0,VLOOKUP('Project Details by Yr - MASTER'!$B114,'Public Buildings'!$A$10:$N$96,K$2,0))+IF(ISNA(VLOOKUP('Project Details by Yr - MASTER'!$B114,Bridges!$A$9:$N$24,K$2,0)),0,VLOOKUP('Project Details by Yr - MASTER'!$B114,Bridges!$A$9:$N$24,K$2,0))+IF(ISNA(VLOOKUP('Project Details by Yr - MASTER'!$B114,'Parking Lots &amp; Playgrounds'!$A$9:$N$33,K$2,0)),0,VLOOKUP('Project Details by Yr - MASTER'!$B114,'Parking Lots &amp; Playgrounds'!$A$9:$N$33,K$2,0))+IF(ISNA(VLOOKUP($B114,Vehicles!$B$9:$O$50,K$2,0)),0,VLOOKUP($B114,Vehicles!$B$9:$O$50,K$2,0))</f>
        <v>250000</v>
      </c>
    </row>
    <row r="115" spans="2:11" x14ac:dyDescent="0.25">
      <c r="B115" t="s">
        <v>225</v>
      </c>
      <c r="C115" t="s">
        <v>47</v>
      </c>
      <c r="D115" t="s">
        <v>272</v>
      </c>
      <c r="E115" s="1" t="s">
        <v>16</v>
      </c>
      <c r="G115" s="8">
        <f>IF(ISNA(VLOOKUP($B115,'Other Capital Needs'!$C$51:$P$95,G$2,0)),0,VLOOKUP($B115,'Other Capital Needs'!$C$51:$P$95,G$2,0))+IF(ISNA(VLOOKUP('Project Details by Yr - MASTER'!$B115,'Public Grounds'!$A$11:$N$49,G$2,0)),0,VLOOKUP('Project Details by Yr - MASTER'!$B115,'Public Grounds'!$A$11:$N$49,G$2,0))+IF(ISNA(VLOOKUP('Project Details by Yr - MASTER'!$B115,'Public Buildings'!$A$10:$N$96,G$2,0)),0,VLOOKUP('Project Details by Yr - MASTER'!$B115,'Public Buildings'!$A$10:$N$96,G$2,0))+IF(ISNA(VLOOKUP('Project Details by Yr - MASTER'!$B115,Bridges!$A$9:$N$24,G$2,0)),0,VLOOKUP('Project Details by Yr - MASTER'!$B115,Bridges!$A$9:$N$24,G$2,0))+IF(ISNA(VLOOKUP('Project Details by Yr - MASTER'!$B115,'Parking Lots &amp; Playgrounds'!$A$9:$N$33,G$2,0)),0,VLOOKUP('Project Details by Yr - MASTER'!$B115,'Parking Lots &amp; Playgrounds'!$A$9:$N$33,G$2,0))+IF(ISNA(VLOOKUP($B115,Vehicles!$B$9:$O$50,G$2,0)),0,VLOOKUP($B115,Vehicles!$B$9:$O$50,G$2,0))</f>
        <v>25000</v>
      </c>
      <c r="H115" s="8">
        <f>IF(ISNA(VLOOKUP($B115,'Other Capital Needs'!$C$51:$P$95,H$2,0)),0,VLOOKUP($B115,'Other Capital Needs'!$C$51:$P$95,H$2,0))+IF(ISNA(VLOOKUP('Project Details by Yr - MASTER'!$B115,'Public Grounds'!$A$11:$N$49,H$2,0)),0,VLOOKUP('Project Details by Yr - MASTER'!$B115,'Public Grounds'!$A$11:$N$49,H$2,0))+IF(ISNA(VLOOKUP('Project Details by Yr - MASTER'!$B115,'Public Buildings'!$A$10:$N$96,H$2,0)),0,VLOOKUP('Project Details by Yr - MASTER'!$B115,'Public Buildings'!$A$10:$N$96,H$2,0))+IF(ISNA(VLOOKUP('Project Details by Yr - MASTER'!$B115,Bridges!$A$9:$N$24,H$2,0)),0,VLOOKUP('Project Details by Yr - MASTER'!$B115,Bridges!$A$9:$N$24,H$2,0))+IF(ISNA(VLOOKUP('Project Details by Yr - MASTER'!$B115,'Parking Lots &amp; Playgrounds'!$A$9:$N$33,H$2,0)),0,VLOOKUP('Project Details by Yr - MASTER'!$B115,'Parking Lots &amp; Playgrounds'!$A$9:$N$33,H$2,0))+IF(ISNA(VLOOKUP($B115,Vehicles!$B$9:$O$50,H$2,0)),0,VLOOKUP($B115,Vehicles!$B$9:$O$50,H$2,0))</f>
        <v>25000</v>
      </c>
      <c r="I115" s="8">
        <f>IF(ISNA(VLOOKUP($B115,'Other Capital Needs'!$C$51:$P$95,I$2,0)),0,VLOOKUP($B115,'Other Capital Needs'!$C$51:$P$95,I$2,0))+IF(ISNA(VLOOKUP('Project Details by Yr - MASTER'!$B115,'Public Grounds'!$A$11:$N$49,I$2,0)),0,VLOOKUP('Project Details by Yr - MASTER'!$B115,'Public Grounds'!$A$11:$N$49,I$2,0))+IF(ISNA(VLOOKUP('Project Details by Yr - MASTER'!$B115,'Public Buildings'!$A$10:$N$96,I$2,0)),0,VLOOKUP('Project Details by Yr - MASTER'!$B115,'Public Buildings'!$A$10:$N$96,I$2,0))+IF(ISNA(VLOOKUP('Project Details by Yr - MASTER'!$B115,Bridges!$A$9:$N$24,I$2,0)),0,VLOOKUP('Project Details by Yr - MASTER'!$B115,Bridges!$A$9:$N$24,I$2,0))+IF(ISNA(VLOOKUP('Project Details by Yr - MASTER'!$B115,'Parking Lots &amp; Playgrounds'!$A$9:$N$33,I$2,0)),0,VLOOKUP('Project Details by Yr - MASTER'!$B115,'Parking Lots &amp; Playgrounds'!$A$9:$N$33,I$2,0))+IF(ISNA(VLOOKUP($B115,Vehicles!$B$9:$O$50,I$2,0)),0,VLOOKUP($B115,Vehicles!$B$9:$O$50,I$2,0))</f>
        <v>25000</v>
      </c>
      <c r="J115" s="8">
        <f>IF(ISNA(VLOOKUP($B115,'Other Capital Needs'!$C$51:$P$95,J$2,0)),0,VLOOKUP($B115,'Other Capital Needs'!$C$51:$P$95,J$2,0))+IF(ISNA(VLOOKUP('Project Details by Yr - MASTER'!$B115,'Public Grounds'!$A$11:$N$49,J$2,0)),0,VLOOKUP('Project Details by Yr - MASTER'!$B115,'Public Grounds'!$A$11:$N$49,J$2,0))+IF(ISNA(VLOOKUP('Project Details by Yr - MASTER'!$B115,'Public Buildings'!$A$10:$N$96,J$2,0)),0,VLOOKUP('Project Details by Yr - MASTER'!$B115,'Public Buildings'!$A$10:$N$96,J$2,0))+IF(ISNA(VLOOKUP('Project Details by Yr - MASTER'!$B115,Bridges!$A$9:$N$24,J$2,0)),0,VLOOKUP('Project Details by Yr - MASTER'!$B115,Bridges!$A$9:$N$24,J$2,0))+IF(ISNA(VLOOKUP('Project Details by Yr - MASTER'!$B115,'Parking Lots &amp; Playgrounds'!$A$9:$N$33,J$2,0)),0,VLOOKUP('Project Details by Yr - MASTER'!$B115,'Parking Lots &amp; Playgrounds'!$A$9:$N$33,J$2,0))+IF(ISNA(VLOOKUP($B115,Vehicles!$B$9:$O$50,J$2,0)),0,VLOOKUP($B115,Vehicles!$B$9:$O$50,J$2,0))</f>
        <v>25000</v>
      </c>
      <c r="K115" s="8">
        <f>IF(ISNA(VLOOKUP($B115,'Other Capital Needs'!$C$51:$P$95,K$2,0)),0,VLOOKUP($B115,'Other Capital Needs'!$C$51:$P$95,K$2,0))+IF(ISNA(VLOOKUP('Project Details by Yr - MASTER'!$B115,'Public Grounds'!$A$11:$N$49,K$2,0)),0,VLOOKUP('Project Details by Yr - MASTER'!$B115,'Public Grounds'!$A$11:$N$49,K$2,0))+IF(ISNA(VLOOKUP('Project Details by Yr - MASTER'!$B115,'Public Buildings'!$A$10:$N$96,K$2,0)),0,VLOOKUP('Project Details by Yr - MASTER'!$B115,'Public Buildings'!$A$10:$N$96,K$2,0))+IF(ISNA(VLOOKUP('Project Details by Yr - MASTER'!$B115,Bridges!$A$9:$N$24,K$2,0)),0,VLOOKUP('Project Details by Yr - MASTER'!$B115,Bridges!$A$9:$N$24,K$2,0))+IF(ISNA(VLOOKUP('Project Details by Yr - MASTER'!$B115,'Parking Lots &amp; Playgrounds'!$A$9:$N$33,K$2,0)),0,VLOOKUP('Project Details by Yr - MASTER'!$B115,'Parking Lots &amp; Playgrounds'!$A$9:$N$33,K$2,0))+IF(ISNA(VLOOKUP($B115,Vehicles!$B$9:$O$50,K$2,0)),0,VLOOKUP($B115,Vehicles!$B$9:$O$50,K$2,0))</f>
        <v>25000</v>
      </c>
    </row>
    <row r="116" spans="2:11" x14ac:dyDescent="0.25">
      <c r="B116" t="s">
        <v>104</v>
      </c>
      <c r="C116" t="s">
        <v>47</v>
      </c>
      <c r="D116" t="s">
        <v>273</v>
      </c>
      <c r="E116" s="1" t="s">
        <v>19</v>
      </c>
      <c r="G116" s="8">
        <f>IF(ISNA(VLOOKUP($B116,'Other Capital Needs'!$C$51:$P$95,G$2,0)),0,VLOOKUP($B116,'Other Capital Needs'!$C$51:$P$95,G$2,0))+IF(ISNA(VLOOKUP('Project Details by Yr - MASTER'!$B116,'Public Grounds'!$A$11:$N$49,G$2,0)),0,VLOOKUP('Project Details by Yr - MASTER'!$B116,'Public Grounds'!$A$11:$N$49,G$2,0))+IF(ISNA(VLOOKUP('Project Details by Yr - MASTER'!$B116,'Public Buildings'!$A$10:$N$96,G$2,0)),0,VLOOKUP('Project Details by Yr - MASTER'!$B116,'Public Buildings'!$A$10:$N$96,G$2,0))+IF(ISNA(VLOOKUP('Project Details by Yr - MASTER'!$B116,Bridges!$A$9:$N$24,G$2,0)),0,VLOOKUP('Project Details by Yr - MASTER'!$B116,Bridges!$A$9:$N$24,G$2,0))+IF(ISNA(VLOOKUP('Project Details by Yr - MASTER'!$B116,'Parking Lots &amp; Playgrounds'!$A$9:$N$33,G$2,0)),0,VLOOKUP('Project Details by Yr - MASTER'!$B116,'Parking Lots &amp; Playgrounds'!$A$9:$N$33,G$2,0))+IF(ISNA(VLOOKUP($B116,Vehicles!$B$9:$O$50,G$2,0)),0,VLOOKUP($B116,Vehicles!$B$9:$O$50,G$2,0))</f>
        <v>0</v>
      </c>
      <c r="H116" s="8">
        <f>IF(ISNA(VLOOKUP($B116,'Other Capital Needs'!$C$51:$P$95,H$2,0)),0,VLOOKUP($B116,'Other Capital Needs'!$C$51:$P$95,H$2,0))+IF(ISNA(VLOOKUP('Project Details by Yr - MASTER'!$B116,'Public Grounds'!$A$11:$N$49,H$2,0)),0,VLOOKUP('Project Details by Yr - MASTER'!$B116,'Public Grounds'!$A$11:$N$49,H$2,0))+IF(ISNA(VLOOKUP('Project Details by Yr - MASTER'!$B116,'Public Buildings'!$A$10:$N$96,H$2,0)),0,VLOOKUP('Project Details by Yr - MASTER'!$B116,'Public Buildings'!$A$10:$N$96,H$2,0))+IF(ISNA(VLOOKUP('Project Details by Yr - MASTER'!$B116,Bridges!$A$9:$N$24,H$2,0)),0,VLOOKUP('Project Details by Yr - MASTER'!$B116,Bridges!$A$9:$N$24,H$2,0))+IF(ISNA(VLOOKUP('Project Details by Yr - MASTER'!$B116,'Parking Lots &amp; Playgrounds'!$A$9:$N$33,H$2,0)),0,VLOOKUP('Project Details by Yr - MASTER'!$B116,'Parking Lots &amp; Playgrounds'!$A$9:$N$33,H$2,0))+IF(ISNA(VLOOKUP($B116,Vehicles!$B$9:$O$50,H$2,0)),0,VLOOKUP($B116,Vehicles!$B$9:$O$50,H$2,0))</f>
        <v>0</v>
      </c>
      <c r="I116" s="8">
        <f>IF(ISNA(VLOOKUP($B116,'Other Capital Needs'!$C$51:$P$95,I$2,0)),0,VLOOKUP($B116,'Other Capital Needs'!$C$51:$P$95,I$2,0))+IF(ISNA(VLOOKUP('Project Details by Yr - MASTER'!$B116,'Public Grounds'!$A$11:$N$49,I$2,0)),0,VLOOKUP('Project Details by Yr - MASTER'!$B116,'Public Grounds'!$A$11:$N$49,I$2,0))+IF(ISNA(VLOOKUP('Project Details by Yr - MASTER'!$B116,'Public Buildings'!$A$10:$N$96,I$2,0)),0,VLOOKUP('Project Details by Yr - MASTER'!$B116,'Public Buildings'!$A$10:$N$96,I$2,0))+IF(ISNA(VLOOKUP('Project Details by Yr - MASTER'!$B116,Bridges!$A$9:$N$24,I$2,0)),0,VLOOKUP('Project Details by Yr - MASTER'!$B116,Bridges!$A$9:$N$24,I$2,0))+IF(ISNA(VLOOKUP('Project Details by Yr - MASTER'!$B116,'Parking Lots &amp; Playgrounds'!$A$9:$N$33,I$2,0)),0,VLOOKUP('Project Details by Yr - MASTER'!$B116,'Parking Lots &amp; Playgrounds'!$A$9:$N$33,I$2,0))+IF(ISNA(VLOOKUP($B116,Vehicles!$B$9:$O$50,I$2,0)),0,VLOOKUP($B116,Vehicles!$B$9:$O$50,I$2,0))</f>
        <v>0</v>
      </c>
      <c r="J116" s="8">
        <f>IF(ISNA(VLOOKUP($B116,'Other Capital Needs'!$C$51:$P$95,J$2,0)),0,VLOOKUP($B116,'Other Capital Needs'!$C$51:$P$95,J$2,0))+IF(ISNA(VLOOKUP('Project Details by Yr - MASTER'!$B116,'Public Grounds'!$A$11:$N$49,J$2,0)),0,VLOOKUP('Project Details by Yr - MASTER'!$B116,'Public Grounds'!$A$11:$N$49,J$2,0))+IF(ISNA(VLOOKUP('Project Details by Yr - MASTER'!$B116,'Public Buildings'!$A$10:$N$96,J$2,0)),0,VLOOKUP('Project Details by Yr - MASTER'!$B116,'Public Buildings'!$A$10:$N$96,J$2,0))+IF(ISNA(VLOOKUP('Project Details by Yr - MASTER'!$B116,Bridges!$A$9:$N$24,J$2,0)),0,VLOOKUP('Project Details by Yr - MASTER'!$B116,Bridges!$A$9:$N$24,J$2,0))+IF(ISNA(VLOOKUP('Project Details by Yr - MASTER'!$B116,'Parking Lots &amp; Playgrounds'!$A$9:$N$33,J$2,0)),0,VLOOKUP('Project Details by Yr - MASTER'!$B116,'Parking Lots &amp; Playgrounds'!$A$9:$N$33,J$2,0))+IF(ISNA(VLOOKUP($B116,Vehicles!$B$9:$O$50,J$2,0)),0,VLOOKUP($B116,Vehicles!$B$9:$O$50,J$2,0))</f>
        <v>0</v>
      </c>
      <c r="K116" s="8">
        <f>IF(ISNA(VLOOKUP($B116,'Other Capital Needs'!$C$51:$P$95,K$2,0)),0,VLOOKUP($B116,'Other Capital Needs'!$C$51:$P$95,K$2,0))+IF(ISNA(VLOOKUP('Project Details by Yr - MASTER'!$B116,'Public Grounds'!$A$11:$N$49,K$2,0)),0,VLOOKUP('Project Details by Yr - MASTER'!$B116,'Public Grounds'!$A$11:$N$49,K$2,0))+IF(ISNA(VLOOKUP('Project Details by Yr - MASTER'!$B116,'Public Buildings'!$A$10:$N$96,K$2,0)),0,VLOOKUP('Project Details by Yr - MASTER'!$B116,'Public Buildings'!$A$10:$N$96,K$2,0))+IF(ISNA(VLOOKUP('Project Details by Yr - MASTER'!$B116,Bridges!$A$9:$N$24,K$2,0)),0,VLOOKUP('Project Details by Yr - MASTER'!$B116,Bridges!$A$9:$N$24,K$2,0))+IF(ISNA(VLOOKUP('Project Details by Yr - MASTER'!$B116,'Parking Lots &amp; Playgrounds'!$A$9:$N$33,K$2,0)),0,VLOOKUP('Project Details by Yr - MASTER'!$B116,'Parking Lots &amp; Playgrounds'!$A$9:$N$33,K$2,0))+IF(ISNA(VLOOKUP($B116,Vehicles!$B$9:$O$50,K$2,0)),0,VLOOKUP($B116,Vehicles!$B$9:$O$50,K$2,0))</f>
        <v>0</v>
      </c>
    </row>
    <row r="117" spans="2:11" x14ac:dyDescent="0.25">
      <c r="B117" t="s">
        <v>108</v>
      </c>
      <c r="C117" t="s">
        <v>47</v>
      </c>
      <c r="D117" t="s">
        <v>273</v>
      </c>
      <c r="E117" s="1" t="s">
        <v>16</v>
      </c>
      <c r="G117" s="8">
        <f>IF(ISNA(VLOOKUP($B117,'Other Capital Needs'!$C$51:$P$95,G$2,0)),0,VLOOKUP($B117,'Other Capital Needs'!$C$51:$P$95,G$2,0))+IF(ISNA(VLOOKUP('Project Details by Yr - MASTER'!$B117,'Public Grounds'!$A$11:$N$49,G$2,0)),0,VLOOKUP('Project Details by Yr - MASTER'!$B117,'Public Grounds'!$A$11:$N$49,G$2,0))+IF(ISNA(VLOOKUP('Project Details by Yr - MASTER'!$B117,'Public Buildings'!$A$10:$N$96,G$2,0)),0,VLOOKUP('Project Details by Yr - MASTER'!$B117,'Public Buildings'!$A$10:$N$96,G$2,0))+IF(ISNA(VLOOKUP('Project Details by Yr - MASTER'!$B117,Bridges!$A$9:$N$24,G$2,0)),0,VLOOKUP('Project Details by Yr - MASTER'!$B117,Bridges!$A$9:$N$24,G$2,0))+IF(ISNA(VLOOKUP('Project Details by Yr - MASTER'!$B117,'Parking Lots &amp; Playgrounds'!$A$9:$N$33,G$2,0)),0,VLOOKUP('Project Details by Yr - MASTER'!$B117,'Parking Lots &amp; Playgrounds'!$A$9:$N$33,G$2,0))+IF(ISNA(VLOOKUP($B117,Vehicles!$B$9:$O$50,G$2,0)),0,VLOOKUP($B117,Vehicles!$B$9:$O$50,G$2,0))</f>
        <v>0</v>
      </c>
      <c r="H117" s="8">
        <f>IF(ISNA(VLOOKUP($B117,'Other Capital Needs'!$C$51:$P$95,H$2,0)),0,VLOOKUP($B117,'Other Capital Needs'!$C$51:$P$95,H$2,0))+IF(ISNA(VLOOKUP('Project Details by Yr - MASTER'!$B117,'Public Grounds'!$A$11:$N$49,H$2,0)),0,VLOOKUP('Project Details by Yr - MASTER'!$B117,'Public Grounds'!$A$11:$N$49,H$2,0))+IF(ISNA(VLOOKUP('Project Details by Yr - MASTER'!$B117,'Public Buildings'!$A$10:$N$96,H$2,0)),0,VLOOKUP('Project Details by Yr - MASTER'!$B117,'Public Buildings'!$A$10:$N$96,H$2,0))+IF(ISNA(VLOOKUP('Project Details by Yr - MASTER'!$B117,Bridges!$A$9:$N$24,H$2,0)),0,VLOOKUP('Project Details by Yr - MASTER'!$B117,Bridges!$A$9:$N$24,H$2,0))+IF(ISNA(VLOOKUP('Project Details by Yr - MASTER'!$B117,'Parking Lots &amp; Playgrounds'!$A$9:$N$33,H$2,0)),0,VLOOKUP('Project Details by Yr - MASTER'!$B117,'Parking Lots &amp; Playgrounds'!$A$9:$N$33,H$2,0))+IF(ISNA(VLOOKUP($B117,Vehicles!$B$9:$O$50,H$2,0)),0,VLOOKUP($B117,Vehicles!$B$9:$O$50,H$2,0))</f>
        <v>0</v>
      </c>
      <c r="I117" s="8">
        <f>IF(ISNA(VLOOKUP($B117,'Other Capital Needs'!$C$51:$P$95,I$2,0)),0,VLOOKUP($B117,'Other Capital Needs'!$C$51:$P$95,I$2,0))+IF(ISNA(VLOOKUP('Project Details by Yr - MASTER'!$B117,'Public Grounds'!$A$11:$N$49,I$2,0)),0,VLOOKUP('Project Details by Yr - MASTER'!$B117,'Public Grounds'!$A$11:$N$49,I$2,0))+IF(ISNA(VLOOKUP('Project Details by Yr - MASTER'!$B117,'Public Buildings'!$A$10:$N$96,I$2,0)),0,VLOOKUP('Project Details by Yr - MASTER'!$B117,'Public Buildings'!$A$10:$N$96,I$2,0))+IF(ISNA(VLOOKUP('Project Details by Yr - MASTER'!$B117,Bridges!$A$9:$N$24,I$2,0)),0,VLOOKUP('Project Details by Yr - MASTER'!$B117,Bridges!$A$9:$N$24,I$2,0))+IF(ISNA(VLOOKUP('Project Details by Yr - MASTER'!$B117,'Parking Lots &amp; Playgrounds'!$A$9:$N$33,I$2,0)),0,VLOOKUP('Project Details by Yr - MASTER'!$B117,'Parking Lots &amp; Playgrounds'!$A$9:$N$33,I$2,0))+IF(ISNA(VLOOKUP($B117,Vehicles!$B$9:$O$50,I$2,0)),0,VLOOKUP($B117,Vehicles!$B$9:$O$50,I$2,0))</f>
        <v>0</v>
      </c>
      <c r="J117" s="8">
        <f>IF(ISNA(VLOOKUP($B117,'Other Capital Needs'!$C$51:$P$95,J$2,0)),0,VLOOKUP($B117,'Other Capital Needs'!$C$51:$P$95,J$2,0))+IF(ISNA(VLOOKUP('Project Details by Yr - MASTER'!$B117,'Public Grounds'!$A$11:$N$49,J$2,0)),0,VLOOKUP('Project Details by Yr - MASTER'!$B117,'Public Grounds'!$A$11:$N$49,J$2,0))+IF(ISNA(VLOOKUP('Project Details by Yr - MASTER'!$B117,'Public Buildings'!$A$10:$N$96,J$2,0)),0,VLOOKUP('Project Details by Yr - MASTER'!$B117,'Public Buildings'!$A$10:$N$96,J$2,0))+IF(ISNA(VLOOKUP('Project Details by Yr - MASTER'!$B117,Bridges!$A$9:$N$24,J$2,0)),0,VLOOKUP('Project Details by Yr - MASTER'!$B117,Bridges!$A$9:$N$24,J$2,0))+IF(ISNA(VLOOKUP('Project Details by Yr - MASTER'!$B117,'Parking Lots &amp; Playgrounds'!$A$9:$N$33,J$2,0)),0,VLOOKUP('Project Details by Yr - MASTER'!$B117,'Parking Lots &amp; Playgrounds'!$A$9:$N$33,J$2,0))+IF(ISNA(VLOOKUP($B117,Vehicles!$B$9:$O$50,J$2,0)),0,VLOOKUP($B117,Vehicles!$B$9:$O$50,J$2,0))</f>
        <v>0</v>
      </c>
      <c r="K117" s="8">
        <f>IF(ISNA(VLOOKUP($B117,'Other Capital Needs'!$C$51:$P$95,K$2,0)),0,VLOOKUP($B117,'Other Capital Needs'!$C$51:$P$95,K$2,0))+IF(ISNA(VLOOKUP('Project Details by Yr - MASTER'!$B117,'Public Grounds'!$A$11:$N$49,K$2,0)),0,VLOOKUP('Project Details by Yr - MASTER'!$B117,'Public Grounds'!$A$11:$N$49,K$2,0))+IF(ISNA(VLOOKUP('Project Details by Yr - MASTER'!$B117,'Public Buildings'!$A$10:$N$96,K$2,0)),0,VLOOKUP('Project Details by Yr - MASTER'!$B117,'Public Buildings'!$A$10:$N$96,K$2,0))+IF(ISNA(VLOOKUP('Project Details by Yr - MASTER'!$B117,Bridges!$A$9:$N$24,K$2,0)),0,VLOOKUP('Project Details by Yr - MASTER'!$B117,Bridges!$A$9:$N$24,K$2,0))+IF(ISNA(VLOOKUP('Project Details by Yr - MASTER'!$B117,'Parking Lots &amp; Playgrounds'!$A$9:$N$33,K$2,0)),0,VLOOKUP('Project Details by Yr - MASTER'!$B117,'Parking Lots &amp; Playgrounds'!$A$9:$N$33,K$2,0))+IF(ISNA(VLOOKUP($B117,Vehicles!$B$9:$O$50,K$2,0)),0,VLOOKUP($B117,Vehicles!$B$9:$O$50,K$2,0))</f>
        <v>0</v>
      </c>
    </row>
    <row r="118" spans="2:11" x14ac:dyDescent="0.25">
      <c r="B118" t="s">
        <v>109</v>
      </c>
      <c r="C118" t="s">
        <v>47</v>
      </c>
      <c r="D118" t="s">
        <v>273</v>
      </c>
      <c r="E118" s="1" t="s">
        <v>16</v>
      </c>
      <c r="G118" s="8">
        <f>IF(ISNA(VLOOKUP($B118,'Other Capital Needs'!$C$51:$P$95,G$2,0)),0,VLOOKUP($B118,'Other Capital Needs'!$C$51:$P$95,G$2,0))+IF(ISNA(VLOOKUP('Project Details by Yr - MASTER'!$B118,'Public Grounds'!$A$11:$N$49,G$2,0)),0,VLOOKUP('Project Details by Yr - MASTER'!$B118,'Public Grounds'!$A$11:$N$49,G$2,0))+IF(ISNA(VLOOKUP('Project Details by Yr - MASTER'!$B118,'Public Buildings'!$A$10:$N$96,G$2,0)),0,VLOOKUP('Project Details by Yr - MASTER'!$B118,'Public Buildings'!$A$10:$N$96,G$2,0))+IF(ISNA(VLOOKUP('Project Details by Yr - MASTER'!$B118,Bridges!$A$9:$N$24,G$2,0)),0,VLOOKUP('Project Details by Yr - MASTER'!$B118,Bridges!$A$9:$N$24,G$2,0))+IF(ISNA(VLOOKUP('Project Details by Yr - MASTER'!$B118,'Parking Lots &amp; Playgrounds'!$A$9:$N$33,G$2,0)),0,VLOOKUP('Project Details by Yr - MASTER'!$B118,'Parking Lots &amp; Playgrounds'!$A$9:$N$33,G$2,0))+IF(ISNA(VLOOKUP($B118,Vehicles!$B$9:$O$50,G$2,0)),0,VLOOKUP($B118,Vehicles!$B$9:$O$50,G$2,0))</f>
        <v>0</v>
      </c>
      <c r="H118" s="8">
        <f>IF(ISNA(VLOOKUP($B118,'Other Capital Needs'!$C$51:$P$95,H$2,0)),0,VLOOKUP($B118,'Other Capital Needs'!$C$51:$P$95,H$2,0))+IF(ISNA(VLOOKUP('Project Details by Yr - MASTER'!$B118,'Public Grounds'!$A$11:$N$49,H$2,0)),0,VLOOKUP('Project Details by Yr - MASTER'!$B118,'Public Grounds'!$A$11:$N$49,H$2,0))+IF(ISNA(VLOOKUP('Project Details by Yr - MASTER'!$B118,'Public Buildings'!$A$10:$N$96,H$2,0)),0,VLOOKUP('Project Details by Yr - MASTER'!$B118,'Public Buildings'!$A$10:$N$96,H$2,0))+IF(ISNA(VLOOKUP('Project Details by Yr - MASTER'!$B118,Bridges!$A$9:$N$24,H$2,0)),0,VLOOKUP('Project Details by Yr - MASTER'!$B118,Bridges!$A$9:$N$24,H$2,0))+IF(ISNA(VLOOKUP('Project Details by Yr - MASTER'!$B118,'Parking Lots &amp; Playgrounds'!$A$9:$N$33,H$2,0)),0,VLOOKUP('Project Details by Yr - MASTER'!$B118,'Parking Lots &amp; Playgrounds'!$A$9:$N$33,H$2,0))+IF(ISNA(VLOOKUP($B118,Vehicles!$B$9:$O$50,H$2,0)),0,VLOOKUP($B118,Vehicles!$B$9:$O$50,H$2,0))</f>
        <v>0</v>
      </c>
      <c r="I118" s="8">
        <f>IF(ISNA(VLOOKUP($B118,'Other Capital Needs'!$C$51:$P$95,I$2,0)),0,VLOOKUP($B118,'Other Capital Needs'!$C$51:$P$95,I$2,0))+IF(ISNA(VLOOKUP('Project Details by Yr - MASTER'!$B118,'Public Grounds'!$A$11:$N$49,I$2,0)),0,VLOOKUP('Project Details by Yr - MASTER'!$B118,'Public Grounds'!$A$11:$N$49,I$2,0))+IF(ISNA(VLOOKUP('Project Details by Yr - MASTER'!$B118,'Public Buildings'!$A$10:$N$96,I$2,0)),0,VLOOKUP('Project Details by Yr - MASTER'!$B118,'Public Buildings'!$A$10:$N$96,I$2,0))+IF(ISNA(VLOOKUP('Project Details by Yr - MASTER'!$B118,Bridges!$A$9:$N$24,I$2,0)),0,VLOOKUP('Project Details by Yr - MASTER'!$B118,Bridges!$A$9:$N$24,I$2,0))+IF(ISNA(VLOOKUP('Project Details by Yr - MASTER'!$B118,'Parking Lots &amp; Playgrounds'!$A$9:$N$33,I$2,0)),0,VLOOKUP('Project Details by Yr - MASTER'!$B118,'Parking Lots &amp; Playgrounds'!$A$9:$N$33,I$2,0))+IF(ISNA(VLOOKUP($B118,Vehicles!$B$9:$O$50,I$2,0)),0,VLOOKUP($B118,Vehicles!$B$9:$O$50,I$2,0))</f>
        <v>0</v>
      </c>
      <c r="J118" s="8">
        <f>IF(ISNA(VLOOKUP($B118,'Other Capital Needs'!$C$51:$P$95,J$2,0)),0,VLOOKUP($B118,'Other Capital Needs'!$C$51:$P$95,J$2,0))+IF(ISNA(VLOOKUP('Project Details by Yr - MASTER'!$B118,'Public Grounds'!$A$11:$N$49,J$2,0)),0,VLOOKUP('Project Details by Yr - MASTER'!$B118,'Public Grounds'!$A$11:$N$49,J$2,0))+IF(ISNA(VLOOKUP('Project Details by Yr - MASTER'!$B118,'Public Buildings'!$A$10:$N$96,J$2,0)),0,VLOOKUP('Project Details by Yr - MASTER'!$B118,'Public Buildings'!$A$10:$N$96,J$2,0))+IF(ISNA(VLOOKUP('Project Details by Yr - MASTER'!$B118,Bridges!$A$9:$N$24,J$2,0)),0,VLOOKUP('Project Details by Yr - MASTER'!$B118,Bridges!$A$9:$N$24,J$2,0))+IF(ISNA(VLOOKUP('Project Details by Yr - MASTER'!$B118,'Parking Lots &amp; Playgrounds'!$A$9:$N$33,J$2,0)),0,VLOOKUP('Project Details by Yr - MASTER'!$B118,'Parking Lots &amp; Playgrounds'!$A$9:$N$33,J$2,0))+IF(ISNA(VLOOKUP($B118,Vehicles!$B$9:$O$50,J$2,0)),0,VLOOKUP($B118,Vehicles!$B$9:$O$50,J$2,0))</f>
        <v>0</v>
      </c>
      <c r="K118" s="8">
        <f>IF(ISNA(VLOOKUP($B118,'Other Capital Needs'!$C$51:$P$95,K$2,0)),0,VLOOKUP($B118,'Other Capital Needs'!$C$51:$P$95,K$2,0))+IF(ISNA(VLOOKUP('Project Details by Yr - MASTER'!$B118,'Public Grounds'!$A$11:$N$49,K$2,0)),0,VLOOKUP('Project Details by Yr - MASTER'!$B118,'Public Grounds'!$A$11:$N$49,K$2,0))+IF(ISNA(VLOOKUP('Project Details by Yr - MASTER'!$B118,'Public Buildings'!$A$10:$N$96,K$2,0)),0,VLOOKUP('Project Details by Yr - MASTER'!$B118,'Public Buildings'!$A$10:$N$96,K$2,0))+IF(ISNA(VLOOKUP('Project Details by Yr - MASTER'!$B118,Bridges!$A$9:$N$24,K$2,0)),0,VLOOKUP('Project Details by Yr - MASTER'!$B118,Bridges!$A$9:$N$24,K$2,0))+IF(ISNA(VLOOKUP('Project Details by Yr - MASTER'!$B118,'Parking Lots &amp; Playgrounds'!$A$9:$N$33,K$2,0)),0,VLOOKUP('Project Details by Yr - MASTER'!$B118,'Parking Lots &amp; Playgrounds'!$A$9:$N$33,K$2,0))+IF(ISNA(VLOOKUP($B118,Vehicles!$B$9:$O$50,K$2,0)),0,VLOOKUP($B118,Vehicles!$B$9:$O$50,K$2,0))</f>
        <v>0</v>
      </c>
    </row>
    <row r="119" spans="2:11" x14ac:dyDescent="0.25">
      <c r="B119" t="s">
        <v>245</v>
      </c>
      <c r="C119" t="s">
        <v>47</v>
      </c>
      <c r="D119" t="s">
        <v>273</v>
      </c>
      <c r="E119" s="1" t="s">
        <v>243</v>
      </c>
      <c r="G119" s="8">
        <f>IF(ISNA(VLOOKUP($B119,'Other Capital Needs'!$C$51:$P$95,G$2,0)),0,VLOOKUP($B119,'Other Capital Needs'!$C$51:$P$95,G$2,0))+IF(ISNA(VLOOKUP('Project Details by Yr - MASTER'!$B119,'Public Grounds'!$A$11:$N$49,G$2,0)),0,VLOOKUP('Project Details by Yr - MASTER'!$B119,'Public Grounds'!$A$11:$N$49,G$2,0))+IF(ISNA(VLOOKUP('Project Details by Yr - MASTER'!$B119,'Public Buildings'!$A$10:$N$96,G$2,0)),0,VLOOKUP('Project Details by Yr - MASTER'!$B119,'Public Buildings'!$A$10:$N$96,G$2,0))+IF(ISNA(VLOOKUP('Project Details by Yr - MASTER'!$B119,Bridges!$A$9:$N$24,G$2,0)),0,VLOOKUP('Project Details by Yr - MASTER'!$B119,Bridges!$A$9:$N$24,G$2,0))+IF(ISNA(VLOOKUP('Project Details by Yr - MASTER'!$B119,'Parking Lots &amp; Playgrounds'!$A$9:$N$33,G$2,0)),0,VLOOKUP('Project Details by Yr - MASTER'!$B119,'Parking Lots &amp; Playgrounds'!$A$9:$N$33,G$2,0))+IF(ISNA(VLOOKUP($B119,Vehicles!$B$9:$O$50,G$2,0)),0,VLOOKUP($B119,Vehicles!$B$9:$O$50,G$2,0))</f>
        <v>0</v>
      </c>
      <c r="H119" s="8">
        <f>IF(ISNA(VLOOKUP($B119,'Other Capital Needs'!$C$51:$P$95,H$2,0)),0,VLOOKUP($B119,'Other Capital Needs'!$C$51:$P$95,H$2,0))+IF(ISNA(VLOOKUP('Project Details by Yr - MASTER'!$B119,'Public Grounds'!$A$11:$N$49,H$2,0)),0,VLOOKUP('Project Details by Yr - MASTER'!$B119,'Public Grounds'!$A$11:$N$49,H$2,0))+IF(ISNA(VLOOKUP('Project Details by Yr - MASTER'!$B119,'Public Buildings'!$A$10:$N$96,H$2,0)),0,VLOOKUP('Project Details by Yr - MASTER'!$B119,'Public Buildings'!$A$10:$N$96,H$2,0))+IF(ISNA(VLOOKUP('Project Details by Yr - MASTER'!$B119,Bridges!$A$9:$N$24,H$2,0)),0,VLOOKUP('Project Details by Yr - MASTER'!$B119,Bridges!$A$9:$N$24,H$2,0))+IF(ISNA(VLOOKUP('Project Details by Yr - MASTER'!$B119,'Parking Lots &amp; Playgrounds'!$A$9:$N$33,H$2,0)),0,VLOOKUP('Project Details by Yr - MASTER'!$B119,'Parking Lots &amp; Playgrounds'!$A$9:$N$33,H$2,0))+IF(ISNA(VLOOKUP($B119,Vehicles!$B$9:$O$50,H$2,0)),0,VLOOKUP($B119,Vehicles!$B$9:$O$50,H$2,0))</f>
        <v>0</v>
      </c>
      <c r="I119" s="8">
        <f>IF(ISNA(VLOOKUP($B119,'Other Capital Needs'!$C$51:$P$95,I$2,0)),0,VLOOKUP($B119,'Other Capital Needs'!$C$51:$P$95,I$2,0))+IF(ISNA(VLOOKUP('Project Details by Yr - MASTER'!$B119,'Public Grounds'!$A$11:$N$49,I$2,0)),0,VLOOKUP('Project Details by Yr - MASTER'!$B119,'Public Grounds'!$A$11:$N$49,I$2,0))+IF(ISNA(VLOOKUP('Project Details by Yr - MASTER'!$B119,'Public Buildings'!$A$10:$N$96,I$2,0)),0,VLOOKUP('Project Details by Yr - MASTER'!$B119,'Public Buildings'!$A$10:$N$96,I$2,0))+IF(ISNA(VLOOKUP('Project Details by Yr - MASTER'!$B119,Bridges!$A$9:$N$24,I$2,0)),0,VLOOKUP('Project Details by Yr - MASTER'!$B119,Bridges!$A$9:$N$24,I$2,0))+IF(ISNA(VLOOKUP('Project Details by Yr - MASTER'!$B119,'Parking Lots &amp; Playgrounds'!$A$9:$N$33,I$2,0)),0,VLOOKUP('Project Details by Yr - MASTER'!$B119,'Parking Lots &amp; Playgrounds'!$A$9:$N$33,I$2,0))+IF(ISNA(VLOOKUP($B119,Vehicles!$B$9:$O$50,I$2,0)),0,VLOOKUP($B119,Vehicles!$B$9:$O$50,I$2,0))</f>
        <v>0</v>
      </c>
      <c r="J119" s="8">
        <f>IF(ISNA(VLOOKUP($B119,'Other Capital Needs'!$C$51:$P$95,J$2,0)),0,VLOOKUP($B119,'Other Capital Needs'!$C$51:$P$95,J$2,0))+IF(ISNA(VLOOKUP('Project Details by Yr - MASTER'!$B119,'Public Grounds'!$A$11:$N$49,J$2,0)),0,VLOOKUP('Project Details by Yr - MASTER'!$B119,'Public Grounds'!$A$11:$N$49,J$2,0))+IF(ISNA(VLOOKUP('Project Details by Yr - MASTER'!$B119,'Public Buildings'!$A$10:$N$96,J$2,0)),0,VLOOKUP('Project Details by Yr - MASTER'!$B119,'Public Buildings'!$A$10:$N$96,J$2,0))+IF(ISNA(VLOOKUP('Project Details by Yr - MASTER'!$B119,Bridges!$A$9:$N$24,J$2,0)),0,VLOOKUP('Project Details by Yr - MASTER'!$B119,Bridges!$A$9:$N$24,J$2,0))+IF(ISNA(VLOOKUP('Project Details by Yr - MASTER'!$B119,'Parking Lots &amp; Playgrounds'!$A$9:$N$33,J$2,0)),0,VLOOKUP('Project Details by Yr - MASTER'!$B119,'Parking Lots &amp; Playgrounds'!$A$9:$N$33,J$2,0))+IF(ISNA(VLOOKUP($B119,Vehicles!$B$9:$O$50,J$2,0)),0,VLOOKUP($B119,Vehicles!$B$9:$O$50,J$2,0))</f>
        <v>0</v>
      </c>
      <c r="K119" s="8">
        <f>IF(ISNA(VLOOKUP($B119,'Other Capital Needs'!$C$51:$P$95,K$2,0)),0,VLOOKUP($B119,'Other Capital Needs'!$C$51:$P$95,K$2,0))+IF(ISNA(VLOOKUP('Project Details by Yr - MASTER'!$B119,'Public Grounds'!$A$11:$N$49,K$2,0)),0,VLOOKUP('Project Details by Yr - MASTER'!$B119,'Public Grounds'!$A$11:$N$49,K$2,0))+IF(ISNA(VLOOKUP('Project Details by Yr - MASTER'!$B119,'Public Buildings'!$A$10:$N$96,K$2,0)),0,VLOOKUP('Project Details by Yr - MASTER'!$B119,'Public Buildings'!$A$10:$N$96,K$2,0))+IF(ISNA(VLOOKUP('Project Details by Yr - MASTER'!$B119,Bridges!$A$9:$N$24,K$2,0)),0,VLOOKUP('Project Details by Yr - MASTER'!$B119,Bridges!$A$9:$N$24,K$2,0))+IF(ISNA(VLOOKUP('Project Details by Yr - MASTER'!$B119,'Parking Lots &amp; Playgrounds'!$A$9:$N$33,K$2,0)),0,VLOOKUP('Project Details by Yr - MASTER'!$B119,'Parking Lots &amp; Playgrounds'!$A$9:$N$33,K$2,0))+IF(ISNA(VLOOKUP($B119,Vehicles!$B$9:$O$50,K$2,0)),0,VLOOKUP($B119,Vehicles!$B$9:$O$50,K$2,0))</f>
        <v>0</v>
      </c>
    </row>
    <row r="120" spans="2:11" x14ac:dyDescent="0.25">
      <c r="B120" t="s">
        <v>144</v>
      </c>
      <c r="C120" t="s">
        <v>47</v>
      </c>
      <c r="D120" t="s">
        <v>273</v>
      </c>
      <c r="E120" s="1" t="s">
        <v>16</v>
      </c>
      <c r="G120" s="8">
        <f>IF(ISNA(VLOOKUP($B120,'Other Capital Needs'!$C$51:$P$95,G$2,0)),0,VLOOKUP($B120,'Other Capital Needs'!$C$51:$P$95,G$2,0))+IF(ISNA(VLOOKUP('Project Details by Yr - MASTER'!$B120,'Public Grounds'!$A$11:$N$49,G$2,0)),0,VLOOKUP('Project Details by Yr - MASTER'!$B120,'Public Grounds'!$A$11:$N$49,G$2,0))+IF(ISNA(VLOOKUP('Project Details by Yr - MASTER'!$B120,'Public Buildings'!$A$10:$N$96,G$2,0)),0,VLOOKUP('Project Details by Yr - MASTER'!$B120,'Public Buildings'!$A$10:$N$96,G$2,0))+IF(ISNA(VLOOKUP('Project Details by Yr - MASTER'!$B120,Bridges!$A$9:$N$24,G$2,0)),0,VLOOKUP('Project Details by Yr - MASTER'!$B120,Bridges!$A$9:$N$24,G$2,0))+IF(ISNA(VLOOKUP('Project Details by Yr - MASTER'!$B120,'Parking Lots &amp; Playgrounds'!$A$9:$N$33,G$2,0)),0,VLOOKUP('Project Details by Yr - MASTER'!$B120,'Parking Lots &amp; Playgrounds'!$A$9:$N$33,G$2,0))+IF(ISNA(VLOOKUP($B120,Vehicles!$B$9:$O$50,G$2,0)),0,VLOOKUP($B120,Vehicles!$B$9:$O$50,G$2,0))</f>
        <v>0</v>
      </c>
      <c r="H120" s="8">
        <f>IF(ISNA(VLOOKUP($B120,'Other Capital Needs'!$C$51:$P$95,H$2,0)),0,VLOOKUP($B120,'Other Capital Needs'!$C$51:$P$95,H$2,0))+IF(ISNA(VLOOKUP('Project Details by Yr - MASTER'!$B120,'Public Grounds'!$A$11:$N$49,H$2,0)),0,VLOOKUP('Project Details by Yr - MASTER'!$B120,'Public Grounds'!$A$11:$N$49,H$2,0))+IF(ISNA(VLOOKUP('Project Details by Yr - MASTER'!$B120,'Public Buildings'!$A$10:$N$96,H$2,0)),0,VLOOKUP('Project Details by Yr - MASTER'!$B120,'Public Buildings'!$A$10:$N$96,H$2,0))+IF(ISNA(VLOOKUP('Project Details by Yr - MASTER'!$B120,Bridges!$A$9:$N$24,H$2,0)),0,VLOOKUP('Project Details by Yr - MASTER'!$B120,Bridges!$A$9:$N$24,H$2,0))+IF(ISNA(VLOOKUP('Project Details by Yr - MASTER'!$B120,'Parking Lots &amp; Playgrounds'!$A$9:$N$33,H$2,0)),0,VLOOKUP('Project Details by Yr - MASTER'!$B120,'Parking Lots &amp; Playgrounds'!$A$9:$N$33,H$2,0))+IF(ISNA(VLOOKUP($B120,Vehicles!$B$9:$O$50,H$2,0)),0,VLOOKUP($B120,Vehicles!$B$9:$O$50,H$2,0))</f>
        <v>0</v>
      </c>
      <c r="I120" s="8">
        <f>IF(ISNA(VLOOKUP($B120,'Other Capital Needs'!$C$51:$P$95,I$2,0)),0,VLOOKUP($B120,'Other Capital Needs'!$C$51:$P$95,I$2,0))+IF(ISNA(VLOOKUP('Project Details by Yr - MASTER'!$B120,'Public Grounds'!$A$11:$N$49,I$2,0)),0,VLOOKUP('Project Details by Yr - MASTER'!$B120,'Public Grounds'!$A$11:$N$49,I$2,0))+IF(ISNA(VLOOKUP('Project Details by Yr - MASTER'!$B120,'Public Buildings'!$A$10:$N$96,I$2,0)),0,VLOOKUP('Project Details by Yr - MASTER'!$B120,'Public Buildings'!$A$10:$N$96,I$2,0))+IF(ISNA(VLOOKUP('Project Details by Yr - MASTER'!$B120,Bridges!$A$9:$N$24,I$2,0)),0,VLOOKUP('Project Details by Yr - MASTER'!$B120,Bridges!$A$9:$N$24,I$2,0))+IF(ISNA(VLOOKUP('Project Details by Yr - MASTER'!$B120,'Parking Lots &amp; Playgrounds'!$A$9:$N$33,I$2,0)),0,VLOOKUP('Project Details by Yr - MASTER'!$B120,'Parking Lots &amp; Playgrounds'!$A$9:$N$33,I$2,0))+IF(ISNA(VLOOKUP($B120,Vehicles!$B$9:$O$50,I$2,0)),0,VLOOKUP($B120,Vehicles!$B$9:$O$50,I$2,0))</f>
        <v>0</v>
      </c>
      <c r="J120" s="8">
        <f>IF(ISNA(VLOOKUP($B120,'Other Capital Needs'!$C$51:$P$95,J$2,0)),0,VLOOKUP($B120,'Other Capital Needs'!$C$51:$P$95,J$2,0))+IF(ISNA(VLOOKUP('Project Details by Yr - MASTER'!$B120,'Public Grounds'!$A$11:$N$49,J$2,0)),0,VLOOKUP('Project Details by Yr - MASTER'!$B120,'Public Grounds'!$A$11:$N$49,J$2,0))+IF(ISNA(VLOOKUP('Project Details by Yr - MASTER'!$B120,'Public Buildings'!$A$10:$N$96,J$2,0)),0,VLOOKUP('Project Details by Yr - MASTER'!$B120,'Public Buildings'!$A$10:$N$96,J$2,0))+IF(ISNA(VLOOKUP('Project Details by Yr - MASTER'!$B120,Bridges!$A$9:$N$24,J$2,0)),0,VLOOKUP('Project Details by Yr - MASTER'!$B120,Bridges!$A$9:$N$24,J$2,0))+IF(ISNA(VLOOKUP('Project Details by Yr - MASTER'!$B120,'Parking Lots &amp; Playgrounds'!$A$9:$N$33,J$2,0)),0,VLOOKUP('Project Details by Yr - MASTER'!$B120,'Parking Lots &amp; Playgrounds'!$A$9:$N$33,J$2,0))+IF(ISNA(VLOOKUP($B120,Vehicles!$B$9:$O$50,J$2,0)),0,VLOOKUP($B120,Vehicles!$B$9:$O$50,J$2,0))</f>
        <v>0</v>
      </c>
      <c r="K120" s="8">
        <f>IF(ISNA(VLOOKUP($B120,'Other Capital Needs'!$C$51:$P$95,K$2,0)),0,VLOOKUP($B120,'Other Capital Needs'!$C$51:$P$95,K$2,0))+IF(ISNA(VLOOKUP('Project Details by Yr - MASTER'!$B120,'Public Grounds'!$A$11:$N$49,K$2,0)),0,VLOOKUP('Project Details by Yr - MASTER'!$B120,'Public Grounds'!$A$11:$N$49,K$2,0))+IF(ISNA(VLOOKUP('Project Details by Yr - MASTER'!$B120,'Public Buildings'!$A$10:$N$96,K$2,0)),0,VLOOKUP('Project Details by Yr - MASTER'!$B120,'Public Buildings'!$A$10:$N$96,K$2,0))+IF(ISNA(VLOOKUP('Project Details by Yr - MASTER'!$B120,Bridges!$A$9:$N$24,K$2,0)),0,VLOOKUP('Project Details by Yr - MASTER'!$B120,Bridges!$A$9:$N$24,K$2,0))+IF(ISNA(VLOOKUP('Project Details by Yr - MASTER'!$B120,'Parking Lots &amp; Playgrounds'!$A$9:$N$33,K$2,0)),0,VLOOKUP('Project Details by Yr - MASTER'!$B120,'Parking Lots &amp; Playgrounds'!$A$9:$N$33,K$2,0))+IF(ISNA(VLOOKUP($B120,Vehicles!$B$9:$O$50,K$2,0)),0,VLOOKUP($B120,Vehicles!$B$9:$O$50,K$2,0))</f>
        <v>0</v>
      </c>
    </row>
    <row r="121" spans="2:11" x14ac:dyDescent="0.25">
      <c r="B121" t="s">
        <v>191</v>
      </c>
      <c r="C121" t="s">
        <v>47</v>
      </c>
      <c r="D121" t="s">
        <v>273</v>
      </c>
      <c r="E121" s="1" t="s">
        <v>16</v>
      </c>
      <c r="G121" s="8">
        <f>IF(ISNA(VLOOKUP($B121,'Other Capital Needs'!$C$51:$P$95,G$2,0)),0,VLOOKUP($B121,'Other Capital Needs'!$C$51:$P$95,G$2,0))+IF(ISNA(VLOOKUP('Project Details by Yr - MASTER'!$B121,'Public Grounds'!$A$11:$N$49,G$2,0)),0,VLOOKUP('Project Details by Yr - MASTER'!$B121,'Public Grounds'!$A$11:$N$49,G$2,0))+IF(ISNA(VLOOKUP('Project Details by Yr - MASTER'!$B121,'Public Buildings'!$A$10:$N$96,G$2,0)),0,VLOOKUP('Project Details by Yr - MASTER'!$B121,'Public Buildings'!$A$10:$N$96,G$2,0))+IF(ISNA(VLOOKUP('Project Details by Yr - MASTER'!$B121,Bridges!$A$9:$N$24,G$2,0)),0,VLOOKUP('Project Details by Yr - MASTER'!$B121,Bridges!$A$9:$N$24,G$2,0))+IF(ISNA(VLOOKUP('Project Details by Yr - MASTER'!$B121,'Parking Lots &amp; Playgrounds'!$A$9:$N$33,G$2,0)),0,VLOOKUP('Project Details by Yr - MASTER'!$B121,'Parking Lots &amp; Playgrounds'!$A$9:$N$33,G$2,0))+IF(ISNA(VLOOKUP($B121,Vehicles!$B$9:$O$50,G$2,0)),0,VLOOKUP($B121,Vehicles!$B$9:$O$50,G$2,0))</f>
        <v>10000</v>
      </c>
      <c r="H121" s="8">
        <f>IF(ISNA(VLOOKUP($B121,'Other Capital Needs'!$C$51:$P$95,H$2,0)),0,VLOOKUP($B121,'Other Capital Needs'!$C$51:$P$95,H$2,0))+IF(ISNA(VLOOKUP('Project Details by Yr - MASTER'!$B121,'Public Grounds'!$A$11:$N$49,H$2,0)),0,VLOOKUP('Project Details by Yr - MASTER'!$B121,'Public Grounds'!$A$11:$N$49,H$2,0))+IF(ISNA(VLOOKUP('Project Details by Yr - MASTER'!$B121,'Public Buildings'!$A$10:$N$96,H$2,0)),0,VLOOKUP('Project Details by Yr - MASTER'!$B121,'Public Buildings'!$A$10:$N$96,H$2,0))+IF(ISNA(VLOOKUP('Project Details by Yr - MASTER'!$B121,Bridges!$A$9:$N$24,H$2,0)),0,VLOOKUP('Project Details by Yr - MASTER'!$B121,Bridges!$A$9:$N$24,H$2,0))+IF(ISNA(VLOOKUP('Project Details by Yr - MASTER'!$B121,'Parking Lots &amp; Playgrounds'!$A$9:$N$33,H$2,0)),0,VLOOKUP('Project Details by Yr - MASTER'!$B121,'Parking Lots &amp; Playgrounds'!$A$9:$N$33,H$2,0))+IF(ISNA(VLOOKUP($B121,Vehicles!$B$9:$O$50,H$2,0)),0,VLOOKUP($B121,Vehicles!$B$9:$O$50,H$2,0))</f>
        <v>10000</v>
      </c>
      <c r="I121" s="8">
        <f>IF(ISNA(VLOOKUP($B121,'Other Capital Needs'!$C$51:$P$95,I$2,0)),0,VLOOKUP($B121,'Other Capital Needs'!$C$51:$P$95,I$2,0))+IF(ISNA(VLOOKUP('Project Details by Yr - MASTER'!$B121,'Public Grounds'!$A$11:$N$49,I$2,0)),0,VLOOKUP('Project Details by Yr - MASTER'!$B121,'Public Grounds'!$A$11:$N$49,I$2,0))+IF(ISNA(VLOOKUP('Project Details by Yr - MASTER'!$B121,'Public Buildings'!$A$10:$N$96,I$2,0)),0,VLOOKUP('Project Details by Yr - MASTER'!$B121,'Public Buildings'!$A$10:$N$96,I$2,0))+IF(ISNA(VLOOKUP('Project Details by Yr - MASTER'!$B121,Bridges!$A$9:$N$24,I$2,0)),0,VLOOKUP('Project Details by Yr - MASTER'!$B121,Bridges!$A$9:$N$24,I$2,0))+IF(ISNA(VLOOKUP('Project Details by Yr - MASTER'!$B121,'Parking Lots &amp; Playgrounds'!$A$9:$N$33,I$2,0)),0,VLOOKUP('Project Details by Yr - MASTER'!$B121,'Parking Lots &amp; Playgrounds'!$A$9:$N$33,I$2,0))+IF(ISNA(VLOOKUP($B121,Vehicles!$B$9:$O$50,I$2,0)),0,VLOOKUP($B121,Vehicles!$B$9:$O$50,I$2,0))</f>
        <v>10000</v>
      </c>
      <c r="J121" s="8">
        <f>IF(ISNA(VLOOKUP($B121,'Other Capital Needs'!$C$51:$P$95,J$2,0)),0,VLOOKUP($B121,'Other Capital Needs'!$C$51:$P$95,J$2,0))+IF(ISNA(VLOOKUP('Project Details by Yr - MASTER'!$B121,'Public Grounds'!$A$11:$N$49,J$2,0)),0,VLOOKUP('Project Details by Yr - MASTER'!$B121,'Public Grounds'!$A$11:$N$49,J$2,0))+IF(ISNA(VLOOKUP('Project Details by Yr - MASTER'!$B121,'Public Buildings'!$A$10:$N$96,J$2,0)),0,VLOOKUP('Project Details by Yr - MASTER'!$B121,'Public Buildings'!$A$10:$N$96,J$2,0))+IF(ISNA(VLOOKUP('Project Details by Yr - MASTER'!$B121,Bridges!$A$9:$N$24,J$2,0)),0,VLOOKUP('Project Details by Yr - MASTER'!$B121,Bridges!$A$9:$N$24,J$2,0))+IF(ISNA(VLOOKUP('Project Details by Yr - MASTER'!$B121,'Parking Lots &amp; Playgrounds'!$A$9:$N$33,J$2,0)),0,VLOOKUP('Project Details by Yr - MASTER'!$B121,'Parking Lots &amp; Playgrounds'!$A$9:$N$33,J$2,0))+IF(ISNA(VLOOKUP($B121,Vehicles!$B$9:$O$50,J$2,0)),0,VLOOKUP($B121,Vehicles!$B$9:$O$50,J$2,0))</f>
        <v>10000</v>
      </c>
      <c r="K121" s="8">
        <f>IF(ISNA(VLOOKUP($B121,'Other Capital Needs'!$C$51:$P$95,K$2,0)),0,VLOOKUP($B121,'Other Capital Needs'!$C$51:$P$95,K$2,0))+IF(ISNA(VLOOKUP('Project Details by Yr - MASTER'!$B121,'Public Grounds'!$A$11:$N$49,K$2,0)),0,VLOOKUP('Project Details by Yr - MASTER'!$B121,'Public Grounds'!$A$11:$N$49,K$2,0))+IF(ISNA(VLOOKUP('Project Details by Yr - MASTER'!$B121,'Public Buildings'!$A$10:$N$96,K$2,0)),0,VLOOKUP('Project Details by Yr - MASTER'!$B121,'Public Buildings'!$A$10:$N$96,K$2,0))+IF(ISNA(VLOOKUP('Project Details by Yr - MASTER'!$B121,Bridges!$A$9:$N$24,K$2,0)),0,VLOOKUP('Project Details by Yr - MASTER'!$B121,Bridges!$A$9:$N$24,K$2,0))+IF(ISNA(VLOOKUP('Project Details by Yr - MASTER'!$B121,'Parking Lots &amp; Playgrounds'!$A$9:$N$33,K$2,0)),0,VLOOKUP('Project Details by Yr - MASTER'!$B121,'Parking Lots &amp; Playgrounds'!$A$9:$N$33,K$2,0))+IF(ISNA(VLOOKUP($B121,Vehicles!$B$9:$O$50,K$2,0)),0,VLOOKUP($B121,Vehicles!$B$9:$O$50,K$2,0))</f>
        <v>10000</v>
      </c>
    </row>
    <row r="122" spans="2:11" x14ac:dyDescent="0.25">
      <c r="B122" t="s">
        <v>192</v>
      </c>
      <c r="C122" t="s">
        <v>47</v>
      </c>
      <c r="D122" t="s">
        <v>273</v>
      </c>
      <c r="E122" s="1" t="s">
        <v>16</v>
      </c>
      <c r="G122" s="8">
        <f>IF(ISNA(VLOOKUP($B122,'Other Capital Needs'!$C$51:$P$95,G$2,0)),0,VLOOKUP($B122,'Other Capital Needs'!$C$51:$P$95,G$2,0))+IF(ISNA(VLOOKUP('Project Details by Yr - MASTER'!$B122,'Public Grounds'!$A$11:$N$49,G$2,0)),0,VLOOKUP('Project Details by Yr - MASTER'!$B122,'Public Grounds'!$A$11:$N$49,G$2,0))+IF(ISNA(VLOOKUP('Project Details by Yr - MASTER'!$B122,'Public Buildings'!$A$10:$N$96,G$2,0)),0,VLOOKUP('Project Details by Yr - MASTER'!$B122,'Public Buildings'!$A$10:$N$96,G$2,0))+IF(ISNA(VLOOKUP('Project Details by Yr - MASTER'!$B122,Bridges!$A$9:$N$24,G$2,0)),0,VLOOKUP('Project Details by Yr - MASTER'!$B122,Bridges!$A$9:$N$24,G$2,0))+IF(ISNA(VLOOKUP('Project Details by Yr - MASTER'!$B122,'Parking Lots &amp; Playgrounds'!$A$9:$N$33,G$2,0)),0,VLOOKUP('Project Details by Yr - MASTER'!$B122,'Parking Lots &amp; Playgrounds'!$A$9:$N$33,G$2,0))+IF(ISNA(VLOOKUP($B122,Vehicles!$B$9:$O$50,G$2,0)),0,VLOOKUP($B122,Vehicles!$B$9:$O$50,G$2,0))</f>
        <v>25000</v>
      </c>
      <c r="H122" s="8">
        <f>IF(ISNA(VLOOKUP($B122,'Other Capital Needs'!$C$51:$P$95,H$2,0)),0,VLOOKUP($B122,'Other Capital Needs'!$C$51:$P$95,H$2,0))+IF(ISNA(VLOOKUP('Project Details by Yr - MASTER'!$B122,'Public Grounds'!$A$11:$N$49,H$2,0)),0,VLOOKUP('Project Details by Yr - MASTER'!$B122,'Public Grounds'!$A$11:$N$49,H$2,0))+IF(ISNA(VLOOKUP('Project Details by Yr - MASTER'!$B122,'Public Buildings'!$A$10:$N$96,H$2,0)),0,VLOOKUP('Project Details by Yr - MASTER'!$B122,'Public Buildings'!$A$10:$N$96,H$2,0))+IF(ISNA(VLOOKUP('Project Details by Yr - MASTER'!$B122,Bridges!$A$9:$N$24,H$2,0)),0,VLOOKUP('Project Details by Yr - MASTER'!$B122,Bridges!$A$9:$N$24,H$2,0))+IF(ISNA(VLOOKUP('Project Details by Yr - MASTER'!$B122,'Parking Lots &amp; Playgrounds'!$A$9:$N$33,H$2,0)),0,VLOOKUP('Project Details by Yr - MASTER'!$B122,'Parking Lots &amp; Playgrounds'!$A$9:$N$33,H$2,0))+IF(ISNA(VLOOKUP($B122,Vehicles!$B$9:$O$50,H$2,0)),0,VLOOKUP($B122,Vehicles!$B$9:$O$50,H$2,0))</f>
        <v>25000</v>
      </c>
      <c r="I122" s="8">
        <f>IF(ISNA(VLOOKUP($B122,'Other Capital Needs'!$C$51:$P$95,I$2,0)),0,VLOOKUP($B122,'Other Capital Needs'!$C$51:$P$95,I$2,0))+IF(ISNA(VLOOKUP('Project Details by Yr - MASTER'!$B122,'Public Grounds'!$A$11:$N$49,I$2,0)),0,VLOOKUP('Project Details by Yr - MASTER'!$B122,'Public Grounds'!$A$11:$N$49,I$2,0))+IF(ISNA(VLOOKUP('Project Details by Yr - MASTER'!$B122,'Public Buildings'!$A$10:$N$96,I$2,0)),0,VLOOKUP('Project Details by Yr - MASTER'!$B122,'Public Buildings'!$A$10:$N$96,I$2,0))+IF(ISNA(VLOOKUP('Project Details by Yr - MASTER'!$B122,Bridges!$A$9:$N$24,I$2,0)),0,VLOOKUP('Project Details by Yr - MASTER'!$B122,Bridges!$A$9:$N$24,I$2,0))+IF(ISNA(VLOOKUP('Project Details by Yr - MASTER'!$B122,'Parking Lots &amp; Playgrounds'!$A$9:$N$33,I$2,0)),0,VLOOKUP('Project Details by Yr - MASTER'!$B122,'Parking Lots &amp; Playgrounds'!$A$9:$N$33,I$2,0))+IF(ISNA(VLOOKUP($B122,Vehicles!$B$9:$O$50,I$2,0)),0,VLOOKUP($B122,Vehicles!$B$9:$O$50,I$2,0))</f>
        <v>25000</v>
      </c>
      <c r="J122" s="8">
        <f>IF(ISNA(VLOOKUP($B122,'Other Capital Needs'!$C$51:$P$95,J$2,0)),0,VLOOKUP($B122,'Other Capital Needs'!$C$51:$P$95,J$2,0))+IF(ISNA(VLOOKUP('Project Details by Yr - MASTER'!$B122,'Public Grounds'!$A$11:$N$49,J$2,0)),0,VLOOKUP('Project Details by Yr - MASTER'!$B122,'Public Grounds'!$A$11:$N$49,J$2,0))+IF(ISNA(VLOOKUP('Project Details by Yr - MASTER'!$B122,'Public Buildings'!$A$10:$N$96,J$2,0)),0,VLOOKUP('Project Details by Yr - MASTER'!$B122,'Public Buildings'!$A$10:$N$96,J$2,0))+IF(ISNA(VLOOKUP('Project Details by Yr - MASTER'!$B122,Bridges!$A$9:$N$24,J$2,0)),0,VLOOKUP('Project Details by Yr - MASTER'!$B122,Bridges!$A$9:$N$24,J$2,0))+IF(ISNA(VLOOKUP('Project Details by Yr - MASTER'!$B122,'Parking Lots &amp; Playgrounds'!$A$9:$N$33,J$2,0)),0,VLOOKUP('Project Details by Yr - MASTER'!$B122,'Parking Lots &amp; Playgrounds'!$A$9:$N$33,J$2,0))+IF(ISNA(VLOOKUP($B122,Vehicles!$B$9:$O$50,J$2,0)),0,VLOOKUP($B122,Vehicles!$B$9:$O$50,J$2,0))</f>
        <v>25000</v>
      </c>
      <c r="K122" s="8">
        <f>IF(ISNA(VLOOKUP($B122,'Other Capital Needs'!$C$51:$P$95,K$2,0)),0,VLOOKUP($B122,'Other Capital Needs'!$C$51:$P$95,K$2,0))+IF(ISNA(VLOOKUP('Project Details by Yr - MASTER'!$B122,'Public Grounds'!$A$11:$N$49,K$2,0)),0,VLOOKUP('Project Details by Yr - MASTER'!$B122,'Public Grounds'!$A$11:$N$49,K$2,0))+IF(ISNA(VLOOKUP('Project Details by Yr - MASTER'!$B122,'Public Buildings'!$A$10:$N$96,K$2,0)),0,VLOOKUP('Project Details by Yr - MASTER'!$B122,'Public Buildings'!$A$10:$N$96,K$2,0))+IF(ISNA(VLOOKUP('Project Details by Yr - MASTER'!$B122,Bridges!$A$9:$N$24,K$2,0)),0,VLOOKUP('Project Details by Yr - MASTER'!$B122,Bridges!$A$9:$N$24,K$2,0))+IF(ISNA(VLOOKUP('Project Details by Yr - MASTER'!$B122,'Parking Lots &amp; Playgrounds'!$A$9:$N$33,K$2,0)),0,VLOOKUP('Project Details by Yr - MASTER'!$B122,'Parking Lots &amp; Playgrounds'!$A$9:$N$33,K$2,0))+IF(ISNA(VLOOKUP($B122,Vehicles!$B$9:$O$50,K$2,0)),0,VLOOKUP($B122,Vehicles!$B$9:$O$50,K$2,0))</f>
        <v>25000</v>
      </c>
    </row>
    <row r="123" spans="2:11" x14ac:dyDescent="0.25">
      <c r="B123" t="s">
        <v>193</v>
      </c>
      <c r="C123" t="s">
        <v>47</v>
      </c>
      <c r="D123" t="s">
        <v>273</v>
      </c>
      <c r="E123" s="1" t="s">
        <v>16</v>
      </c>
      <c r="G123" s="8">
        <f>IF(ISNA(VLOOKUP($B123,'Other Capital Needs'!$C$51:$P$95,G$2,0)),0,VLOOKUP($B123,'Other Capital Needs'!$C$51:$P$95,G$2,0))+IF(ISNA(VLOOKUP('Project Details by Yr - MASTER'!$B123,'Public Grounds'!$A$11:$N$49,G$2,0)),0,VLOOKUP('Project Details by Yr - MASTER'!$B123,'Public Grounds'!$A$11:$N$49,G$2,0))+IF(ISNA(VLOOKUP('Project Details by Yr - MASTER'!$B123,'Public Buildings'!$A$10:$N$96,G$2,0)),0,VLOOKUP('Project Details by Yr - MASTER'!$B123,'Public Buildings'!$A$10:$N$96,G$2,0))+IF(ISNA(VLOOKUP('Project Details by Yr - MASTER'!$B123,Bridges!$A$9:$N$24,G$2,0)),0,VLOOKUP('Project Details by Yr - MASTER'!$B123,Bridges!$A$9:$N$24,G$2,0))+IF(ISNA(VLOOKUP('Project Details by Yr - MASTER'!$B123,'Parking Lots &amp; Playgrounds'!$A$9:$N$33,G$2,0)),0,VLOOKUP('Project Details by Yr - MASTER'!$B123,'Parking Lots &amp; Playgrounds'!$A$9:$N$33,G$2,0))+IF(ISNA(VLOOKUP($B123,Vehicles!$B$9:$O$50,G$2,0)),0,VLOOKUP($B123,Vehicles!$B$9:$O$50,G$2,0))</f>
        <v>10000</v>
      </c>
      <c r="H123" s="8">
        <f>IF(ISNA(VLOOKUP($B123,'Other Capital Needs'!$C$51:$P$95,H$2,0)),0,VLOOKUP($B123,'Other Capital Needs'!$C$51:$P$95,H$2,0))+IF(ISNA(VLOOKUP('Project Details by Yr - MASTER'!$B123,'Public Grounds'!$A$11:$N$49,H$2,0)),0,VLOOKUP('Project Details by Yr - MASTER'!$B123,'Public Grounds'!$A$11:$N$49,H$2,0))+IF(ISNA(VLOOKUP('Project Details by Yr - MASTER'!$B123,'Public Buildings'!$A$10:$N$96,H$2,0)),0,VLOOKUP('Project Details by Yr - MASTER'!$B123,'Public Buildings'!$A$10:$N$96,H$2,0))+IF(ISNA(VLOOKUP('Project Details by Yr - MASTER'!$B123,Bridges!$A$9:$N$24,H$2,0)),0,VLOOKUP('Project Details by Yr - MASTER'!$B123,Bridges!$A$9:$N$24,H$2,0))+IF(ISNA(VLOOKUP('Project Details by Yr - MASTER'!$B123,'Parking Lots &amp; Playgrounds'!$A$9:$N$33,H$2,0)),0,VLOOKUP('Project Details by Yr - MASTER'!$B123,'Parking Lots &amp; Playgrounds'!$A$9:$N$33,H$2,0))+IF(ISNA(VLOOKUP($B123,Vehicles!$B$9:$O$50,H$2,0)),0,VLOOKUP($B123,Vehicles!$B$9:$O$50,H$2,0))</f>
        <v>10000</v>
      </c>
      <c r="I123" s="8">
        <f>IF(ISNA(VLOOKUP($B123,'Other Capital Needs'!$C$51:$P$95,I$2,0)),0,VLOOKUP($B123,'Other Capital Needs'!$C$51:$P$95,I$2,0))+IF(ISNA(VLOOKUP('Project Details by Yr - MASTER'!$B123,'Public Grounds'!$A$11:$N$49,I$2,0)),0,VLOOKUP('Project Details by Yr - MASTER'!$B123,'Public Grounds'!$A$11:$N$49,I$2,0))+IF(ISNA(VLOOKUP('Project Details by Yr - MASTER'!$B123,'Public Buildings'!$A$10:$N$96,I$2,0)),0,VLOOKUP('Project Details by Yr - MASTER'!$B123,'Public Buildings'!$A$10:$N$96,I$2,0))+IF(ISNA(VLOOKUP('Project Details by Yr - MASTER'!$B123,Bridges!$A$9:$N$24,I$2,0)),0,VLOOKUP('Project Details by Yr - MASTER'!$B123,Bridges!$A$9:$N$24,I$2,0))+IF(ISNA(VLOOKUP('Project Details by Yr - MASTER'!$B123,'Parking Lots &amp; Playgrounds'!$A$9:$N$33,I$2,0)),0,VLOOKUP('Project Details by Yr - MASTER'!$B123,'Parking Lots &amp; Playgrounds'!$A$9:$N$33,I$2,0))+IF(ISNA(VLOOKUP($B123,Vehicles!$B$9:$O$50,I$2,0)),0,VLOOKUP($B123,Vehicles!$B$9:$O$50,I$2,0))</f>
        <v>10000</v>
      </c>
      <c r="J123" s="8">
        <f>IF(ISNA(VLOOKUP($B123,'Other Capital Needs'!$C$51:$P$95,J$2,0)),0,VLOOKUP($B123,'Other Capital Needs'!$C$51:$P$95,J$2,0))+IF(ISNA(VLOOKUP('Project Details by Yr - MASTER'!$B123,'Public Grounds'!$A$11:$N$49,J$2,0)),0,VLOOKUP('Project Details by Yr - MASTER'!$B123,'Public Grounds'!$A$11:$N$49,J$2,0))+IF(ISNA(VLOOKUP('Project Details by Yr - MASTER'!$B123,'Public Buildings'!$A$10:$N$96,J$2,0)),0,VLOOKUP('Project Details by Yr - MASTER'!$B123,'Public Buildings'!$A$10:$N$96,J$2,0))+IF(ISNA(VLOOKUP('Project Details by Yr - MASTER'!$B123,Bridges!$A$9:$N$24,J$2,0)),0,VLOOKUP('Project Details by Yr - MASTER'!$B123,Bridges!$A$9:$N$24,J$2,0))+IF(ISNA(VLOOKUP('Project Details by Yr - MASTER'!$B123,'Parking Lots &amp; Playgrounds'!$A$9:$N$33,J$2,0)),0,VLOOKUP('Project Details by Yr - MASTER'!$B123,'Parking Lots &amp; Playgrounds'!$A$9:$N$33,J$2,0))+IF(ISNA(VLOOKUP($B123,Vehicles!$B$9:$O$50,J$2,0)),0,VLOOKUP($B123,Vehicles!$B$9:$O$50,J$2,0))</f>
        <v>10000</v>
      </c>
      <c r="K123" s="8">
        <f>IF(ISNA(VLOOKUP($B123,'Other Capital Needs'!$C$51:$P$95,K$2,0)),0,VLOOKUP($B123,'Other Capital Needs'!$C$51:$P$95,K$2,0))+IF(ISNA(VLOOKUP('Project Details by Yr - MASTER'!$B123,'Public Grounds'!$A$11:$N$49,K$2,0)),0,VLOOKUP('Project Details by Yr - MASTER'!$B123,'Public Grounds'!$A$11:$N$49,K$2,0))+IF(ISNA(VLOOKUP('Project Details by Yr - MASTER'!$B123,'Public Buildings'!$A$10:$N$96,K$2,0)),0,VLOOKUP('Project Details by Yr - MASTER'!$B123,'Public Buildings'!$A$10:$N$96,K$2,0))+IF(ISNA(VLOOKUP('Project Details by Yr - MASTER'!$B123,Bridges!$A$9:$N$24,K$2,0)),0,VLOOKUP('Project Details by Yr - MASTER'!$B123,Bridges!$A$9:$N$24,K$2,0))+IF(ISNA(VLOOKUP('Project Details by Yr - MASTER'!$B123,'Parking Lots &amp; Playgrounds'!$A$9:$N$33,K$2,0)),0,VLOOKUP('Project Details by Yr - MASTER'!$B123,'Parking Lots &amp; Playgrounds'!$A$9:$N$33,K$2,0))+IF(ISNA(VLOOKUP($B123,Vehicles!$B$9:$O$50,K$2,0)),0,VLOOKUP($B123,Vehicles!$B$9:$O$50,K$2,0))</f>
        <v>10000</v>
      </c>
    </row>
    <row r="124" spans="2:11" x14ac:dyDescent="0.25">
      <c r="B124" t="s">
        <v>195</v>
      </c>
      <c r="C124" t="s">
        <v>47</v>
      </c>
      <c r="D124" t="s">
        <v>273</v>
      </c>
      <c r="E124" s="1" t="s">
        <v>16</v>
      </c>
      <c r="G124" s="8">
        <f>IF(ISNA(VLOOKUP($B124,'Other Capital Needs'!$C$51:$P$95,G$2,0)),0,VLOOKUP($B124,'Other Capital Needs'!$C$51:$P$95,G$2,0))+IF(ISNA(VLOOKUP('Project Details by Yr - MASTER'!$B124,'Public Grounds'!$A$11:$N$49,G$2,0)),0,VLOOKUP('Project Details by Yr - MASTER'!$B124,'Public Grounds'!$A$11:$N$49,G$2,0))+IF(ISNA(VLOOKUP('Project Details by Yr - MASTER'!$B124,'Public Buildings'!$A$10:$N$96,G$2,0)),0,VLOOKUP('Project Details by Yr - MASTER'!$B124,'Public Buildings'!$A$10:$N$96,G$2,0))+IF(ISNA(VLOOKUP('Project Details by Yr - MASTER'!$B124,Bridges!$A$9:$N$24,G$2,0)),0,VLOOKUP('Project Details by Yr - MASTER'!$B124,Bridges!$A$9:$N$24,G$2,0))+IF(ISNA(VLOOKUP('Project Details by Yr - MASTER'!$B124,'Parking Lots &amp; Playgrounds'!$A$9:$N$33,G$2,0)),0,VLOOKUP('Project Details by Yr - MASTER'!$B124,'Parking Lots &amp; Playgrounds'!$A$9:$N$33,G$2,0))+IF(ISNA(VLOOKUP($B124,Vehicles!$B$9:$O$50,G$2,0)),0,VLOOKUP($B124,Vehicles!$B$9:$O$50,G$2,0))</f>
        <v>0</v>
      </c>
      <c r="H124" s="8">
        <f>IF(ISNA(VLOOKUP($B124,'Other Capital Needs'!$C$51:$P$95,H$2,0)),0,VLOOKUP($B124,'Other Capital Needs'!$C$51:$P$95,H$2,0))+IF(ISNA(VLOOKUP('Project Details by Yr - MASTER'!$B124,'Public Grounds'!$A$11:$N$49,H$2,0)),0,VLOOKUP('Project Details by Yr - MASTER'!$B124,'Public Grounds'!$A$11:$N$49,H$2,0))+IF(ISNA(VLOOKUP('Project Details by Yr - MASTER'!$B124,'Public Buildings'!$A$10:$N$96,H$2,0)),0,VLOOKUP('Project Details by Yr - MASTER'!$B124,'Public Buildings'!$A$10:$N$96,H$2,0))+IF(ISNA(VLOOKUP('Project Details by Yr - MASTER'!$B124,Bridges!$A$9:$N$24,H$2,0)),0,VLOOKUP('Project Details by Yr - MASTER'!$B124,Bridges!$A$9:$N$24,H$2,0))+IF(ISNA(VLOOKUP('Project Details by Yr - MASTER'!$B124,'Parking Lots &amp; Playgrounds'!$A$9:$N$33,H$2,0)),0,VLOOKUP('Project Details by Yr - MASTER'!$B124,'Parking Lots &amp; Playgrounds'!$A$9:$N$33,H$2,0))+IF(ISNA(VLOOKUP($B124,Vehicles!$B$9:$O$50,H$2,0)),0,VLOOKUP($B124,Vehicles!$B$9:$O$50,H$2,0))</f>
        <v>0</v>
      </c>
      <c r="I124" s="8">
        <f>IF(ISNA(VLOOKUP($B124,'Other Capital Needs'!$C$51:$P$95,I$2,0)),0,VLOOKUP($B124,'Other Capital Needs'!$C$51:$P$95,I$2,0))+IF(ISNA(VLOOKUP('Project Details by Yr - MASTER'!$B124,'Public Grounds'!$A$11:$N$49,I$2,0)),0,VLOOKUP('Project Details by Yr - MASTER'!$B124,'Public Grounds'!$A$11:$N$49,I$2,0))+IF(ISNA(VLOOKUP('Project Details by Yr - MASTER'!$B124,'Public Buildings'!$A$10:$N$96,I$2,0)),0,VLOOKUP('Project Details by Yr - MASTER'!$B124,'Public Buildings'!$A$10:$N$96,I$2,0))+IF(ISNA(VLOOKUP('Project Details by Yr - MASTER'!$B124,Bridges!$A$9:$N$24,I$2,0)),0,VLOOKUP('Project Details by Yr - MASTER'!$B124,Bridges!$A$9:$N$24,I$2,0))+IF(ISNA(VLOOKUP('Project Details by Yr - MASTER'!$B124,'Parking Lots &amp; Playgrounds'!$A$9:$N$33,I$2,0)),0,VLOOKUP('Project Details by Yr - MASTER'!$B124,'Parking Lots &amp; Playgrounds'!$A$9:$N$33,I$2,0))+IF(ISNA(VLOOKUP($B124,Vehicles!$B$9:$O$50,I$2,0)),0,VLOOKUP($B124,Vehicles!$B$9:$O$50,I$2,0))</f>
        <v>500000</v>
      </c>
      <c r="J124" s="8">
        <f>IF(ISNA(VLOOKUP($B124,'Other Capital Needs'!$C$51:$P$95,J$2,0)),0,VLOOKUP($B124,'Other Capital Needs'!$C$51:$P$95,J$2,0))+IF(ISNA(VLOOKUP('Project Details by Yr - MASTER'!$B124,'Public Grounds'!$A$11:$N$49,J$2,0)),0,VLOOKUP('Project Details by Yr - MASTER'!$B124,'Public Grounds'!$A$11:$N$49,J$2,0))+IF(ISNA(VLOOKUP('Project Details by Yr - MASTER'!$B124,'Public Buildings'!$A$10:$N$96,J$2,0)),0,VLOOKUP('Project Details by Yr - MASTER'!$B124,'Public Buildings'!$A$10:$N$96,J$2,0))+IF(ISNA(VLOOKUP('Project Details by Yr - MASTER'!$B124,Bridges!$A$9:$N$24,J$2,0)),0,VLOOKUP('Project Details by Yr - MASTER'!$B124,Bridges!$A$9:$N$24,J$2,0))+IF(ISNA(VLOOKUP('Project Details by Yr - MASTER'!$B124,'Parking Lots &amp; Playgrounds'!$A$9:$N$33,J$2,0)),0,VLOOKUP('Project Details by Yr - MASTER'!$B124,'Parking Lots &amp; Playgrounds'!$A$9:$N$33,J$2,0))+IF(ISNA(VLOOKUP($B124,Vehicles!$B$9:$O$50,J$2,0)),0,VLOOKUP($B124,Vehicles!$B$9:$O$50,J$2,0))</f>
        <v>0</v>
      </c>
      <c r="K124" s="8">
        <f>IF(ISNA(VLOOKUP($B124,'Other Capital Needs'!$C$51:$P$95,K$2,0)),0,VLOOKUP($B124,'Other Capital Needs'!$C$51:$P$95,K$2,0))+IF(ISNA(VLOOKUP('Project Details by Yr - MASTER'!$B124,'Public Grounds'!$A$11:$N$49,K$2,0)),0,VLOOKUP('Project Details by Yr - MASTER'!$B124,'Public Grounds'!$A$11:$N$49,K$2,0))+IF(ISNA(VLOOKUP('Project Details by Yr - MASTER'!$B124,'Public Buildings'!$A$10:$N$96,K$2,0)),0,VLOOKUP('Project Details by Yr - MASTER'!$B124,'Public Buildings'!$A$10:$N$96,K$2,0))+IF(ISNA(VLOOKUP('Project Details by Yr - MASTER'!$B124,Bridges!$A$9:$N$24,K$2,0)),0,VLOOKUP('Project Details by Yr - MASTER'!$B124,Bridges!$A$9:$N$24,K$2,0))+IF(ISNA(VLOOKUP('Project Details by Yr - MASTER'!$B124,'Parking Lots &amp; Playgrounds'!$A$9:$N$33,K$2,0)),0,VLOOKUP('Project Details by Yr - MASTER'!$B124,'Parking Lots &amp; Playgrounds'!$A$9:$N$33,K$2,0))+IF(ISNA(VLOOKUP($B124,Vehicles!$B$9:$O$50,K$2,0)),0,VLOOKUP($B124,Vehicles!$B$9:$O$50,K$2,0))</f>
        <v>0</v>
      </c>
    </row>
    <row r="125" spans="2:11" x14ac:dyDescent="0.25">
      <c r="B125" t="s">
        <v>194</v>
      </c>
      <c r="C125" t="s">
        <v>47</v>
      </c>
      <c r="D125" t="s">
        <v>273</v>
      </c>
      <c r="E125" s="1" t="s">
        <v>16</v>
      </c>
      <c r="G125" s="8">
        <f>IF(ISNA(VLOOKUP($B125,'Other Capital Needs'!$C$51:$P$95,G$2,0)),0,VLOOKUP($B125,'Other Capital Needs'!$C$51:$P$95,G$2,0))+IF(ISNA(VLOOKUP('Project Details by Yr - MASTER'!$B125,'Public Grounds'!$A$11:$N$49,G$2,0)),0,VLOOKUP('Project Details by Yr - MASTER'!$B125,'Public Grounds'!$A$11:$N$49,G$2,0))+IF(ISNA(VLOOKUP('Project Details by Yr - MASTER'!$B125,'Public Buildings'!$A$10:$N$96,G$2,0)),0,VLOOKUP('Project Details by Yr - MASTER'!$B125,'Public Buildings'!$A$10:$N$96,G$2,0))+IF(ISNA(VLOOKUP('Project Details by Yr - MASTER'!$B125,Bridges!$A$9:$N$24,G$2,0)),0,VLOOKUP('Project Details by Yr - MASTER'!$B125,Bridges!$A$9:$N$24,G$2,0))+IF(ISNA(VLOOKUP('Project Details by Yr - MASTER'!$B125,'Parking Lots &amp; Playgrounds'!$A$9:$N$33,G$2,0)),0,VLOOKUP('Project Details by Yr - MASTER'!$B125,'Parking Lots &amp; Playgrounds'!$A$9:$N$33,G$2,0))+IF(ISNA(VLOOKUP($B125,Vehicles!$B$9:$O$50,G$2,0)),0,VLOOKUP($B125,Vehicles!$B$9:$O$50,G$2,0))</f>
        <v>0</v>
      </c>
      <c r="H125" s="8">
        <f>IF(ISNA(VLOOKUP($B125,'Other Capital Needs'!$C$51:$P$95,H$2,0)),0,VLOOKUP($B125,'Other Capital Needs'!$C$51:$P$95,H$2,0))+IF(ISNA(VLOOKUP('Project Details by Yr - MASTER'!$B125,'Public Grounds'!$A$11:$N$49,H$2,0)),0,VLOOKUP('Project Details by Yr - MASTER'!$B125,'Public Grounds'!$A$11:$N$49,H$2,0))+IF(ISNA(VLOOKUP('Project Details by Yr - MASTER'!$B125,'Public Buildings'!$A$10:$N$96,H$2,0)),0,VLOOKUP('Project Details by Yr - MASTER'!$B125,'Public Buildings'!$A$10:$N$96,H$2,0))+IF(ISNA(VLOOKUP('Project Details by Yr - MASTER'!$B125,Bridges!$A$9:$N$24,H$2,0)),0,VLOOKUP('Project Details by Yr - MASTER'!$B125,Bridges!$A$9:$N$24,H$2,0))+IF(ISNA(VLOOKUP('Project Details by Yr - MASTER'!$B125,'Parking Lots &amp; Playgrounds'!$A$9:$N$33,H$2,0)),0,VLOOKUP('Project Details by Yr - MASTER'!$B125,'Parking Lots &amp; Playgrounds'!$A$9:$N$33,H$2,0))+IF(ISNA(VLOOKUP($B125,Vehicles!$B$9:$O$50,H$2,0)),0,VLOOKUP($B125,Vehicles!$B$9:$O$50,H$2,0))</f>
        <v>0</v>
      </c>
      <c r="I125" s="8">
        <f>IF(ISNA(VLOOKUP($B125,'Other Capital Needs'!$C$51:$P$95,I$2,0)),0,VLOOKUP($B125,'Other Capital Needs'!$C$51:$P$95,I$2,0))+IF(ISNA(VLOOKUP('Project Details by Yr - MASTER'!$B125,'Public Grounds'!$A$11:$N$49,I$2,0)),0,VLOOKUP('Project Details by Yr - MASTER'!$B125,'Public Grounds'!$A$11:$N$49,I$2,0))+IF(ISNA(VLOOKUP('Project Details by Yr - MASTER'!$B125,'Public Buildings'!$A$10:$N$96,I$2,0)),0,VLOOKUP('Project Details by Yr - MASTER'!$B125,'Public Buildings'!$A$10:$N$96,I$2,0))+IF(ISNA(VLOOKUP('Project Details by Yr - MASTER'!$B125,Bridges!$A$9:$N$24,I$2,0)),0,VLOOKUP('Project Details by Yr - MASTER'!$B125,Bridges!$A$9:$N$24,I$2,0))+IF(ISNA(VLOOKUP('Project Details by Yr - MASTER'!$B125,'Parking Lots &amp; Playgrounds'!$A$9:$N$33,I$2,0)),0,VLOOKUP('Project Details by Yr - MASTER'!$B125,'Parking Lots &amp; Playgrounds'!$A$9:$N$33,I$2,0))+IF(ISNA(VLOOKUP($B125,Vehicles!$B$9:$O$50,I$2,0)),0,VLOOKUP($B125,Vehicles!$B$9:$O$50,I$2,0))</f>
        <v>0</v>
      </c>
      <c r="J125" s="8">
        <f>IF(ISNA(VLOOKUP($B125,'Other Capital Needs'!$C$51:$P$95,J$2,0)),0,VLOOKUP($B125,'Other Capital Needs'!$C$51:$P$95,J$2,0))+IF(ISNA(VLOOKUP('Project Details by Yr - MASTER'!$B125,'Public Grounds'!$A$11:$N$49,J$2,0)),0,VLOOKUP('Project Details by Yr - MASTER'!$B125,'Public Grounds'!$A$11:$N$49,J$2,0))+IF(ISNA(VLOOKUP('Project Details by Yr - MASTER'!$B125,'Public Buildings'!$A$10:$N$96,J$2,0)),0,VLOOKUP('Project Details by Yr - MASTER'!$B125,'Public Buildings'!$A$10:$N$96,J$2,0))+IF(ISNA(VLOOKUP('Project Details by Yr - MASTER'!$B125,Bridges!$A$9:$N$24,J$2,0)),0,VLOOKUP('Project Details by Yr - MASTER'!$B125,Bridges!$A$9:$N$24,J$2,0))+IF(ISNA(VLOOKUP('Project Details by Yr - MASTER'!$B125,'Parking Lots &amp; Playgrounds'!$A$9:$N$33,J$2,0)),0,VLOOKUP('Project Details by Yr - MASTER'!$B125,'Parking Lots &amp; Playgrounds'!$A$9:$N$33,J$2,0))+IF(ISNA(VLOOKUP($B125,Vehicles!$B$9:$O$50,J$2,0)),0,VLOOKUP($B125,Vehicles!$B$9:$O$50,J$2,0))</f>
        <v>500000</v>
      </c>
      <c r="K125" s="8">
        <f>IF(ISNA(VLOOKUP($B125,'Other Capital Needs'!$C$51:$P$95,K$2,0)),0,VLOOKUP($B125,'Other Capital Needs'!$C$51:$P$95,K$2,0))+IF(ISNA(VLOOKUP('Project Details by Yr - MASTER'!$B125,'Public Grounds'!$A$11:$N$49,K$2,0)),0,VLOOKUP('Project Details by Yr - MASTER'!$B125,'Public Grounds'!$A$11:$N$49,K$2,0))+IF(ISNA(VLOOKUP('Project Details by Yr - MASTER'!$B125,'Public Buildings'!$A$10:$N$96,K$2,0)),0,VLOOKUP('Project Details by Yr - MASTER'!$B125,'Public Buildings'!$A$10:$N$96,K$2,0))+IF(ISNA(VLOOKUP('Project Details by Yr - MASTER'!$B125,Bridges!$A$9:$N$24,K$2,0)),0,VLOOKUP('Project Details by Yr - MASTER'!$B125,Bridges!$A$9:$N$24,K$2,0))+IF(ISNA(VLOOKUP('Project Details by Yr - MASTER'!$B125,'Parking Lots &amp; Playgrounds'!$A$9:$N$33,K$2,0)),0,VLOOKUP('Project Details by Yr - MASTER'!$B125,'Parking Lots &amp; Playgrounds'!$A$9:$N$33,K$2,0))+IF(ISNA(VLOOKUP($B125,Vehicles!$B$9:$O$50,K$2,0)),0,VLOOKUP($B125,Vehicles!$B$9:$O$50,K$2,0))</f>
        <v>0</v>
      </c>
    </row>
    <row r="126" spans="2:11" x14ac:dyDescent="0.25">
      <c r="B126" t="s">
        <v>196</v>
      </c>
      <c r="C126" t="s">
        <v>47</v>
      </c>
      <c r="D126" t="s">
        <v>273</v>
      </c>
      <c r="E126" s="1" t="s">
        <v>19</v>
      </c>
      <c r="G126" s="8">
        <f>IF(ISNA(VLOOKUP($B126,'Other Capital Needs'!$C$51:$P$95,G$2,0)),0,VLOOKUP($B126,'Other Capital Needs'!$C$51:$P$95,G$2,0))+IF(ISNA(VLOOKUP('Project Details by Yr - MASTER'!$B126,'Public Grounds'!$A$11:$N$49,G$2,0)),0,VLOOKUP('Project Details by Yr - MASTER'!$B126,'Public Grounds'!$A$11:$N$49,G$2,0))+IF(ISNA(VLOOKUP('Project Details by Yr - MASTER'!$B126,'Public Buildings'!$A$10:$N$96,G$2,0)),0,VLOOKUP('Project Details by Yr - MASTER'!$B126,'Public Buildings'!$A$10:$N$96,G$2,0))+IF(ISNA(VLOOKUP('Project Details by Yr - MASTER'!$B126,Bridges!$A$9:$N$24,G$2,0)),0,VLOOKUP('Project Details by Yr - MASTER'!$B126,Bridges!$A$9:$N$24,G$2,0))+IF(ISNA(VLOOKUP('Project Details by Yr - MASTER'!$B126,'Parking Lots &amp; Playgrounds'!$A$9:$N$33,G$2,0)),0,VLOOKUP('Project Details by Yr - MASTER'!$B126,'Parking Lots &amp; Playgrounds'!$A$9:$N$33,G$2,0))+IF(ISNA(VLOOKUP($B126,Vehicles!$B$9:$O$50,G$2,0)),0,VLOOKUP($B126,Vehicles!$B$9:$O$50,G$2,0))</f>
        <v>0</v>
      </c>
      <c r="H126" s="8">
        <f>IF(ISNA(VLOOKUP($B126,'Other Capital Needs'!$C$51:$P$95,H$2,0)),0,VLOOKUP($B126,'Other Capital Needs'!$C$51:$P$95,H$2,0))+IF(ISNA(VLOOKUP('Project Details by Yr - MASTER'!$B126,'Public Grounds'!$A$11:$N$49,H$2,0)),0,VLOOKUP('Project Details by Yr - MASTER'!$B126,'Public Grounds'!$A$11:$N$49,H$2,0))+IF(ISNA(VLOOKUP('Project Details by Yr - MASTER'!$B126,'Public Buildings'!$A$10:$N$96,H$2,0)),0,VLOOKUP('Project Details by Yr - MASTER'!$B126,'Public Buildings'!$A$10:$N$96,H$2,0))+IF(ISNA(VLOOKUP('Project Details by Yr - MASTER'!$B126,Bridges!$A$9:$N$24,H$2,0)),0,VLOOKUP('Project Details by Yr - MASTER'!$B126,Bridges!$A$9:$N$24,H$2,0))+IF(ISNA(VLOOKUP('Project Details by Yr - MASTER'!$B126,'Parking Lots &amp; Playgrounds'!$A$9:$N$33,H$2,0)),0,VLOOKUP('Project Details by Yr - MASTER'!$B126,'Parking Lots &amp; Playgrounds'!$A$9:$N$33,H$2,0))+IF(ISNA(VLOOKUP($B126,Vehicles!$B$9:$O$50,H$2,0)),0,VLOOKUP($B126,Vehicles!$B$9:$O$50,H$2,0))</f>
        <v>0</v>
      </c>
      <c r="I126" s="8">
        <f>IF(ISNA(VLOOKUP($B126,'Other Capital Needs'!$C$51:$P$95,I$2,0)),0,VLOOKUP($B126,'Other Capital Needs'!$C$51:$P$95,I$2,0))+IF(ISNA(VLOOKUP('Project Details by Yr - MASTER'!$B126,'Public Grounds'!$A$11:$N$49,I$2,0)),0,VLOOKUP('Project Details by Yr - MASTER'!$B126,'Public Grounds'!$A$11:$N$49,I$2,0))+IF(ISNA(VLOOKUP('Project Details by Yr - MASTER'!$B126,'Public Buildings'!$A$10:$N$96,I$2,0)),0,VLOOKUP('Project Details by Yr - MASTER'!$B126,'Public Buildings'!$A$10:$N$96,I$2,0))+IF(ISNA(VLOOKUP('Project Details by Yr - MASTER'!$B126,Bridges!$A$9:$N$24,I$2,0)),0,VLOOKUP('Project Details by Yr - MASTER'!$B126,Bridges!$A$9:$N$24,I$2,0))+IF(ISNA(VLOOKUP('Project Details by Yr - MASTER'!$B126,'Parking Lots &amp; Playgrounds'!$A$9:$N$33,I$2,0)),0,VLOOKUP('Project Details by Yr - MASTER'!$B126,'Parking Lots &amp; Playgrounds'!$A$9:$N$33,I$2,0))+IF(ISNA(VLOOKUP($B126,Vehicles!$B$9:$O$50,I$2,0)),0,VLOOKUP($B126,Vehicles!$B$9:$O$50,I$2,0))</f>
        <v>0</v>
      </c>
      <c r="J126" s="8">
        <f>IF(ISNA(VLOOKUP($B126,'Other Capital Needs'!$C$51:$P$95,J$2,0)),0,VLOOKUP($B126,'Other Capital Needs'!$C$51:$P$95,J$2,0))+IF(ISNA(VLOOKUP('Project Details by Yr - MASTER'!$B126,'Public Grounds'!$A$11:$N$49,J$2,0)),0,VLOOKUP('Project Details by Yr - MASTER'!$B126,'Public Grounds'!$A$11:$N$49,J$2,0))+IF(ISNA(VLOOKUP('Project Details by Yr - MASTER'!$B126,'Public Buildings'!$A$10:$N$96,J$2,0)),0,VLOOKUP('Project Details by Yr - MASTER'!$B126,'Public Buildings'!$A$10:$N$96,J$2,0))+IF(ISNA(VLOOKUP('Project Details by Yr - MASTER'!$B126,Bridges!$A$9:$N$24,J$2,0)),0,VLOOKUP('Project Details by Yr - MASTER'!$B126,Bridges!$A$9:$N$24,J$2,0))+IF(ISNA(VLOOKUP('Project Details by Yr - MASTER'!$B126,'Parking Lots &amp; Playgrounds'!$A$9:$N$33,J$2,0)),0,VLOOKUP('Project Details by Yr - MASTER'!$B126,'Parking Lots &amp; Playgrounds'!$A$9:$N$33,J$2,0))+IF(ISNA(VLOOKUP($B126,Vehicles!$B$9:$O$50,J$2,0)),0,VLOOKUP($B126,Vehicles!$B$9:$O$50,J$2,0))</f>
        <v>950000</v>
      </c>
      <c r="K126" s="8">
        <f>IF(ISNA(VLOOKUP($B126,'Other Capital Needs'!$C$51:$P$95,K$2,0)),0,VLOOKUP($B126,'Other Capital Needs'!$C$51:$P$95,K$2,0))+IF(ISNA(VLOOKUP('Project Details by Yr - MASTER'!$B126,'Public Grounds'!$A$11:$N$49,K$2,0)),0,VLOOKUP('Project Details by Yr - MASTER'!$B126,'Public Grounds'!$A$11:$N$49,K$2,0))+IF(ISNA(VLOOKUP('Project Details by Yr - MASTER'!$B126,'Public Buildings'!$A$10:$N$96,K$2,0)),0,VLOOKUP('Project Details by Yr - MASTER'!$B126,'Public Buildings'!$A$10:$N$96,K$2,0))+IF(ISNA(VLOOKUP('Project Details by Yr - MASTER'!$B126,Bridges!$A$9:$N$24,K$2,0)),0,VLOOKUP('Project Details by Yr - MASTER'!$B126,Bridges!$A$9:$N$24,K$2,0))+IF(ISNA(VLOOKUP('Project Details by Yr - MASTER'!$B126,'Parking Lots &amp; Playgrounds'!$A$9:$N$33,K$2,0)),0,VLOOKUP('Project Details by Yr - MASTER'!$B126,'Parking Lots &amp; Playgrounds'!$A$9:$N$33,K$2,0))+IF(ISNA(VLOOKUP($B126,Vehicles!$B$9:$O$50,K$2,0)),0,VLOOKUP($B126,Vehicles!$B$9:$O$50,K$2,0))</f>
        <v>0</v>
      </c>
    </row>
    <row r="127" spans="2:11" x14ac:dyDescent="0.25">
      <c r="B127" t="s">
        <v>197</v>
      </c>
      <c r="C127" t="s">
        <v>47</v>
      </c>
      <c r="D127" t="s">
        <v>273</v>
      </c>
      <c r="E127" s="1" t="s">
        <v>16</v>
      </c>
      <c r="G127" s="8">
        <f>IF(ISNA(VLOOKUP($B127,'Other Capital Needs'!$C$51:$P$95,G$2,0)),0,VLOOKUP($B127,'Other Capital Needs'!$C$51:$P$95,G$2,0))+IF(ISNA(VLOOKUP('Project Details by Yr - MASTER'!$B127,'Public Grounds'!$A$11:$N$49,G$2,0)),0,VLOOKUP('Project Details by Yr - MASTER'!$B127,'Public Grounds'!$A$11:$N$49,G$2,0))+IF(ISNA(VLOOKUP('Project Details by Yr - MASTER'!$B127,'Public Buildings'!$A$10:$N$96,G$2,0)),0,VLOOKUP('Project Details by Yr - MASTER'!$B127,'Public Buildings'!$A$10:$N$96,G$2,0))+IF(ISNA(VLOOKUP('Project Details by Yr - MASTER'!$B127,Bridges!$A$9:$N$24,G$2,0)),0,VLOOKUP('Project Details by Yr - MASTER'!$B127,Bridges!$A$9:$N$24,G$2,0))+IF(ISNA(VLOOKUP('Project Details by Yr - MASTER'!$B127,'Parking Lots &amp; Playgrounds'!$A$9:$N$33,G$2,0)),0,VLOOKUP('Project Details by Yr - MASTER'!$B127,'Parking Lots &amp; Playgrounds'!$A$9:$N$33,G$2,0))+IF(ISNA(VLOOKUP($B127,Vehicles!$B$9:$O$50,G$2,0)),0,VLOOKUP($B127,Vehicles!$B$9:$O$50,G$2,0))</f>
        <v>0</v>
      </c>
      <c r="H127" s="8">
        <f>IF(ISNA(VLOOKUP($B127,'Other Capital Needs'!$C$51:$P$95,H$2,0)),0,VLOOKUP($B127,'Other Capital Needs'!$C$51:$P$95,H$2,0))+IF(ISNA(VLOOKUP('Project Details by Yr - MASTER'!$B127,'Public Grounds'!$A$11:$N$49,H$2,0)),0,VLOOKUP('Project Details by Yr - MASTER'!$B127,'Public Grounds'!$A$11:$N$49,H$2,0))+IF(ISNA(VLOOKUP('Project Details by Yr - MASTER'!$B127,'Public Buildings'!$A$10:$N$96,H$2,0)),0,VLOOKUP('Project Details by Yr - MASTER'!$B127,'Public Buildings'!$A$10:$N$96,H$2,0))+IF(ISNA(VLOOKUP('Project Details by Yr - MASTER'!$B127,Bridges!$A$9:$N$24,H$2,0)),0,VLOOKUP('Project Details by Yr - MASTER'!$B127,Bridges!$A$9:$N$24,H$2,0))+IF(ISNA(VLOOKUP('Project Details by Yr - MASTER'!$B127,'Parking Lots &amp; Playgrounds'!$A$9:$N$33,H$2,0)),0,VLOOKUP('Project Details by Yr - MASTER'!$B127,'Parking Lots &amp; Playgrounds'!$A$9:$N$33,H$2,0))+IF(ISNA(VLOOKUP($B127,Vehicles!$B$9:$O$50,H$2,0)),0,VLOOKUP($B127,Vehicles!$B$9:$O$50,H$2,0))</f>
        <v>0</v>
      </c>
      <c r="I127" s="8">
        <f>IF(ISNA(VLOOKUP($B127,'Other Capital Needs'!$C$51:$P$95,I$2,0)),0,VLOOKUP($B127,'Other Capital Needs'!$C$51:$P$95,I$2,0))+IF(ISNA(VLOOKUP('Project Details by Yr - MASTER'!$B127,'Public Grounds'!$A$11:$N$49,I$2,0)),0,VLOOKUP('Project Details by Yr - MASTER'!$B127,'Public Grounds'!$A$11:$N$49,I$2,0))+IF(ISNA(VLOOKUP('Project Details by Yr - MASTER'!$B127,'Public Buildings'!$A$10:$N$96,I$2,0)),0,VLOOKUP('Project Details by Yr - MASTER'!$B127,'Public Buildings'!$A$10:$N$96,I$2,0))+IF(ISNA(VLOOKUP('Project Details by Yr - MASTER'!$B127,Bridges!$A$9:$N$24,I$2,0)),0,VLOOKUP('Project Details by Yr - MASTER'!$B127,Bridges!$A$9:$N$24,I$2,0))+IF(ISNA(VLOOKUP('Project Details by Yr - MASTER'!$B127,'Parking Lots &amp; Playgrounds'!$A$9:$N$33,I$2,0)),0,VLOOKUP('Project Details by Yr - MASTER'!$B127,'Parking Lots &amp; Playgrounds'!$A$9:$N$33,I$2,0))+IF(ISNA(VLOOKUP($B127,Vehicles!$B$9:$O$50,I$2,0)),0,VLOOKUP($B127,Vehicles!$B$9:$O$50,I$2,0))</f>
        <v>175000</v>
      </c>
      <c r="J127" s="8">
        <f>IF(ISNA(VLOOKUP($B127,'Other Capital Needs'!$C$51:$P$95,J$2,0)),0,VLOOKUP($B127,'Other Capital Needs'!$C$51:$P$95,J$2,0))+IF(ISNA(VLOOKUP('Project Details by Yr - MASTER'!$B127,'Public Grounds'!$A$11:$N$49,J$2,0)),0,VLOOKUP('Project Details by Yr - MASTER'!$B127,'Public Grounds'!$A$11:$N$49,J$2,0))+IF(ISNA(VLOOKUP('Project Details by Yr - MASTER'!$B127,'Public Buildings'!$A$10:$N$96,J$2,0)),0,VLOOKUP('Project Details by Yr - MASTER'!$B127,'Public Buildings'!$A$10:$N$96,J$2,0))+IF(ISNA(VLOOKUP('Project Details by Yr - MASTER'!$B127,Bridges!$A$9:$N$24,J$2,0)),0,VLOOKUP('Project Details by Yr - MASTER'!$B127,Bridges!$A$9:$N$24,J$2,0))+IF(ISNA(VLOOKUP('Project Details by Yr - MASTER'!$B127,'Parking Lots &amp; Playgrounds'!$A$9:$N$33,J$2,0)),0,VLOOKUP('Project Details by Yr - MASTER'!$B127,'Parking Lots &amp; Playgrounds'!$A$9:$N$33,J$2,0))+IF(ISNA(VLOOKUP($B127,Vehicles!$B$9:$O$50,J$2,0)),0,VLOOKUP($B127,Vehicles!$B$9:$O$50,J$2,0))</f>
        <v>200000</v>
      </c>
      <c r="K127" s="8">
        <f>IF(ISNA(VLOOKUP($B127,'Other Capital Needs'!$C$51:$P$95,K$2,0)),0,VLOOKUP($B127,'Other Capital Needs'!$C$51:$P$95,K$2,0))+IF(ISNA(VLOOKUP('Project Details by Yr - MASTER'!$B127,'Public Grounds'!$A$11:$N$49,K$2,0)),0,VLOOKUP('Project Details by Yr - MASTER'!$B127,'Public Grounds'!$A$11:$N$49,K$2,0))+IF(ISNA(VLOOKUP('Project Details by Yr - MASTER'!$B127,'Public Buildings'!$A$10:$N$96,K$2,0)),0,VLOOKUP('Project Details by Yr - MASTER'!$B127,'Public Buildings'!$A$10:$N$96,K$2,0))+IF(ISNA(VLOOKUP('Project Details by Yr - MASTER'!$B127,Bridges!$A$9:$N$24,K$2,0)),0,VLOOKUP('Project Details by Yr - MASTER'!$B127,Bridges!$A$9:$N$24,K$2,0))+IF(ISNA(VLOOKUP('Project Details by Yr - MASTER'!$B127,'Parking Lots &amp; Playgrounds'!$A$9:$N$33,K$2,0)),0,VLOOKUP('Project Details by Yr - MASTER'!$B127,'Parking Lots &amp; Playgrounds'!$A$9:$N$33,K$2,0))+IF(ISNA(VLOOKUP($B127,Vehicles!$B$9:$O$50,K$2,0)),0,VLOOKUP($B127,Vehicles!$B$9:$O$50,K$2,0))</f>
        <v>0</v>
      </c>
    </row>
    <row r="128" spans="2:11" x14ac:dyDescent="0.25">
      <c r="B128" t="s">
        <v>198</v>
      </c>
      <c r="C128" t="s">
        <v>47</v>
      </c>
      <c r="D128" t="s">
        <v>273</v>
      </c>
      <c r="E128" s="1" t="s">
        <v>19</v>
      </c>
      <c r="G128" s="8">
        <f>IF(ISNA(VLOOKUP($B128,'Other Capital Needs'!$C$51:$P$95,G$2,0)),0,VLOOKUP($B128,'Other Capital Needs'!$C$51:$P$95,G$2,0))+IF(ISNA(VLOOKUP('Project Details by Yr - MASTER'!$B128,'Public Grounds'!$A$11:$N$49,G$2,0)),0,VLOOKUP('Project Details by Yr - MASTER'!$B128,'Public Grounds'!$A$11:$N$49,G$2,0))+IF(ISNA(VLOOKUP('Project Details by Yr - MASTER'!$B128,'Public Buildings'!$A$10:$N$96,G$2,0)),0,VLOOKUP('Project Details by Yr - MASTER'!$B128,'Public Buildings'!$A$10:$N$96,G$2,0))+IF(ISNA(VLOOKUP('Project Details by Yr - MASTER'!$B128,Bridges!$A$9:$N$24,G$2,0)),0,VLOOKUP('Project Details by Yr - MASTER'!$B128,Bridges!$A$9:$N$24,G$2,0))+IF(ISNA(VLOOKUP('Project Details by Yr - MASTER'!$B128,'Parking Lots &amp; Playgrounds'!$A$9:$N$33,G$2,0)),0,VLOOKUP('Project Details by Yr - MASTER'!$B128,'Parking Lots &amp; Playgrounds'!$A$9:$N$33,G$2,0))+IF(ISNA(VLOOKUP($B128,Vehicles!$B$9:$O$50,G$2,0)),0,VLOOKUP($B128,Vehicles!$B$9:$O$50,G$2,0))</f>
        <v>0</v>
      </c>
      <c r="H128" s="8">
        <f>IF(ISNA(VLOOKUP($B128,'Other Capital Needs'!$C$51:$P$95,H$2,0)),0,VLOOKUP($B128,'Other Capital Needs'!$C$51:$P$95,H$2,0))+IF(ISNA(VLOOKUP('Project Details by Yr - MASTER'!$B128,'Public Grounds'!$A$11:$N$49,H$2,0)),0,VLOOKUP('Project Details by Yr - MASTER'!$B128,'Public Grounds'!$A$11:$N$49,H$2,0))+IF(ISNA(VLOOKUP('Project Details by Yr - MASTER'!$B128,'Public Buildings'!$A$10:$N$96,H$2,0)),0,VLOOKUP('Project Details by Yr - MASTER'!$B128,'Public Buildings'!$A$10:$N$96,H$2,0))+IF(ISNA(VLOOKUP('Project Details by Yr - MASTER'!$B128,Bridges!$A$9:$N$24,H$2,0)),0,VLOOKUP('Project Details by Yr - MASTER'!$B128,Bridges!$A$9:$N$24,H$2,0))+IF(ISNA(VLOOKUP('Project Details by Yr - MASTER'!$B128,'Parking Lots &amp; Playgrounds'!$A$9:$N$33,H$2,0)),0,VLOOKUP('Project Details by Yr - MASTER'!$B128,'Parking Lots &amp; Playgrounds'!$A$9:$N$33,H$2,0))+IF(ISNA(VLOOKUP($B128,Vehicles!$B$9:$O$50,H$2,0)),0,VLOOKUP($B128,Vehicles!$B$9:$O$50,H$2,0))</f>
        <v>0</v>
      </c>
      <c r="I128" s="8">
        <f>IF(ISNA(VLOOKUP($B128,'Other Capital Needs'!$C$51:$P$95,I$2,0)),0,VLOOKUP($B128,'Other Capital Needs'!$C$51:$P$95,I$2,0))+IF(ISNA(VLOOKUP('Project Details by Yr - MASTER'!$B128,'Public Grounds'!$A$11:$N$49,I$2,0)),0,VLOOKUP('Project Details by Yr - MASTER'!$B128,'Public Grounds'!$A$11:$N$49,I$2,0))+IF(ISNA(VLOOKUP('Project Details by Yr - MASTER'!$B128,'Public Buildings'!$A$10:$N$96,I$2,0)),0,VLOOKUP('Project Details by Yr - MASTER'!$B128,'Public Buildings'!$A$10:$N$96,I$2,0))+IF(ISNA(VLOOKUP('Project Details by Yr - MASTER'!$B128,Bridges!$A$9:$N$24,I$2,0)),0,VLOOKUP('Project Details by Yr - MASTER'!$B128,Bridges!$A$9:$N$24,I$2,0))+IF(ISNA(VLOOKUP('Project Details by Yr - MASTER'!$B128,'Parking Lots &amp; Playgrounds'!$A$9:$N$33,I$2,0)),0,VLOOKUP('Project Details by Yr - MASTER'!$B128,'Parking Lots &amp; Playgrounds'!$A$9:$N$33,I$2,0))+IF(ISNA(VLOOKUP($B128,Vehicles!$B$9:$O$50,I$2,0)),0,VLOOKUP($B128,Vehicles!$B$9:$O$50,I$2,0))</f>
        <v>0</v>
      </c>
      <c r="J128" s="8">
        <f>IF(ISNA(VLOOKUP($B128,'Other Capital Needs'!$C$51:$P$95,J$2,0)),0,VLOOKUP($B128,'Other Capital Needs'!$C$51:$P$95,J$2,0))+IF(ISNA(VLOOKUP('Project Details by Yr - MASTER'!$B128,'Public Grounds'!$A$11:$N$49,J$2,0)),0,VLOOKUP('Project Details by Yr - MASTER'!$B128,'Public Grounds'!$A$11:$N$49,J$2,0))+IF(ISNA(VLOOKUP('Project Details by Yr - MASTER'!$B128,'Public Buildings'!$A$10:$N$96,J$2,0)),0,VLOOKUP('Project Details by Yr - MASTER'!$B128,'Public Buildings'!$A$10:$N$96,J$2,0))+IF(ISNA(VLOOKUP('Project Details by Yr - MASTER'!$B128,Bridges!$A$9:$N$24,J$2,0)),0,VLOOKUP('Project Details by Yr - MASTER'!$B128,Bridges!$A$9:$N$24,J$2,0))+IF(ISNA(VLOOKUP('Project Details by Yr - MASTER'!$B128,'Parking Lots &amp; Playgrounds'!$A$9:$N$33,J$2,0)),0,VLOOKUP('Project Details by Yr - MASTER'!$B128,'Parking Lots &amp; Playgrounds'!$A$9:$N$33,J$2,0))+IF(ISNA(VLOOKUP($B128,Vehicles!$B$9:$O$50,J$2,0)),0,VLOOKUP($B128,Vehicles!$B$9:$O$50,J$2,0))</f>
        <v>0</v>
      </c>
      <c r="K128" s="8">
        <f>IF(ISNA(VLOOKUP($B128,'Other Capital Needs'!$C$51:$P$95,K$2,0)),0,VLOOKUP($B128,'Other Capital Needs'!$C$51:$P$95,K$2,0))+IF(ISNA(VLOOKUP('Project Details by Yr - MASTER'!$B128,'Public Grounds'!$A$11:$N$49,K$2,0)),0,VLOOKUP('Project Details by Yr - MASTER'!$B128,'Public Grounds'!$A$11:$N$49,K$2,0))+IF(ISNA(VLOOKUP('Project Details by Yr - MASTER'!$B128,'Public Buildings'!$A$10:$N$96,K$2,0)),0,VLOOKUP('Project Details by Yr - MASTER'!$B128,'Public Buildings'!$A$10:$N$96,K$2,0))+IF(ISNA(VLOOKUP('Project Details by Yr - MASTER'!$B128,Bridges!$A$9:$N$24,K$2,0)),0,VLOOKUP('Project Details by Yr - MASTER'!$B128,Bridges!$A$9:$N$24,K$2,0))+IF(ISNA(VLOOKUP('Project Details by Yr - MASTER'!$B128,'Parking Lots &amp; Playgrounds'!$A$9:$N$33,K$2,0)),0,VLOOKUP('Project Details by Yr - MASTER'!$B128,'Parking Lots &amp; Playgrounds'!$A$9:$N$33,K$2,0))+IF(ISNA(VLOOKUP($B128,Vehicles!$B$9:$O$50,K$2,0)),0,VLOOKUP($B128,Vehicles!$B$9:$O$50,K$2,0))</f>
        <v>0</v>
      </c>
    </row>
    <row r="129" spans="2:11" x14ac:dyDescent="0.25">
      <c r="B129" t="s">
        <v>199</v>
      </c>
      <c r="C129" t="s">
        <v>47</v>
      </c>
      <c r="D129" t="s">
        <v>273</v>
      </c>
      <c r="E129" s="1" t="s">
        <v>19</v>
      </c>
      <c r="G129" s="8">
        <f>IF(ISNA(VLOOKUP($B129,'Other Capital Needs'!$C$51:$P$95,G$2,0)),0,VLOOKUP($B129,'Other Capital Needs'!$C$51:$P$95,G$2,0))+IF(ISNA(VLOOKUP('Project Details by Yr - MASTER'!$B129,'Public Grounds'!$A$11:$N$49,G$2,0)),0,VLOOKUP('Project Details by Yr - MASTER'!$B129,'Public Grounds'!$A$11:$N$49,G$2,0))+IF(ISNA(VLOOKUP('Project Details by Yr - MASTER'!$B129,'Public Buildings'!$A$10:$N$96,G$2,0)),0,VLOOKUP('Project Details by Yr - MASTER'!$B129,'Public Buildings'!$A$10:$N$96,G$2,0))+IF(ISNA(VLOOKUP('Project Details by Yr - MASTER'!$B129,Bridges!$A$9:$N$24,G$2,0)),0,VLOOKUP('Project Details by Yr - MASTER'!$B129,Bridges!$A$9:$N$24,G$2,0))+IF(ISNA(VLOOKUP('Project Details by Yr - MASTER'!$B129,'Parking Lots &amp; Playgrounds'!$A$9:$N$33,G$2,0)),0,VLOOKUP('Project Details by Yr - MASTER'!$B129,'Parking Lots &amp; Playgrounds'!$A$9:$N$33,G$2,0))+IF(ISNA(VLOOKUP($B129,Vehicles!$B$9:$O$50,G$2,0)),0,VLOOKUP($B129,Vehicles!$B$9:$O$50,G$2,0))</f>
        <v>0</v>
      </c>
      <c r="H129" s="8">
        <f>IF(ISNA(VLOOKUP($B129,'Other Capital Needs'!$C$51:$P$95,H$2,0)),0,VLOOKUP($B129,'Other Capital Needs'!$C$51:$P$95,H$2,0))+IF(ISNA(VLOOKUP('Project Details by Yr - MASTER'!$B129,'Public Grounds'!$A$11:$N$49,H$2,0)),0,VLOOKUP('Project Details by Yr - MASTER'!$B129,'Public Grounds'!$A$11:$N$49,H$2,0))+IF(ISNA(VLOOKUP('Project Details by Yr - MASTER'!$B129,'Public Buildings'!$A$10:$N$96,H$2,0)),0,VLOOKUP('Project Details by Yr - MASTER'!$B129,'Public Buildings'!$A$10:$N$96,H$2,0))+IF(ISNA(VLOOKUP('Project Details by Yr - MASTER'!$B129,Bridges!$A$9:$N$24,H$2,0)),0,VLOOKUP('Project Details by Yr - MASTER'!$B129,Bridges!$A$9:$N$24,H$2,0))+IF(ISNA(VLOOKUP('Project Details by Yr - MASTER'!$B129,'Parking Lots &amp; Playgrounds'!$A$9:$N$33,H$2,0)),0,VLOOKUP('Project Details by Yr - MASTER'!$B129,'Parking Lots &amp; Playgrounds'!$A$9:$N$33,H$2,0))+IF(ISNA(VLOOKUP($B129,Vehicles!$B$9:$O$50,H$2,0)),0,VLOOKUP($B129,Vehicles!$B$9:$O$50,H$2,0))</f>
        <v>0</v>
      </c>
      <c r="I129" s="8">
        <f>IF(ISNA(VLOOKUP($B129,'Other Capital Needs'!$C$51:$P$95,I$2,0)),0,VLOOKUP($B129,'Other Capital Needs'!$C$51:$P$95,I$2,0))+IF(ISNA(VLOOKUP('Project Details by Yr - MASTER'!$B129,'Public Grounds'!$A$11:$N$49,I$2,0)),0,VLOOKUP('Project Details by Yr - MASTER'!$B129,'Public Grounds'!$A$11:$N$49,I$2,0))+IF(ISNA(VLOOKUP('Project Details by Yr - MASTER'!$B129,'Public Buildings'!$A$10:$N$96,I$2,0)),0,VLOOKUP('Project Details by Yr - MASTER'!$B129,'Public Buildings'!$A$10:$N$96,I$2,0))+IF(ISNA(VLOOKUP('Project Details by Yr - MASTER'!$B129,Bridges!$A$9:$N$24,I$2,0)),0,VLOOKUP('Project Details by Yr - MASTER'!$B129,Bridges!$A$9:$N$24,I$2,0))+IF(ISNA(VLOOKUP('Project Details by Yr - MASTER'!$B129,'Parking Lots &amp; Playgrounds'!$A$9:$N$33,I$2,0)),0,VLOOKUP('Project Details by Yr - MASTER'!$B129,'Parking Lots &amp; Playgrounds'!$A$9:$N$33,I$2,0))+IF(ISNA(VLOOKUP($B129,Vehicles!$B$9:$O$50,I$2,0)),0,VLOOKUP($B129,Vehicles!$B$9:$O$50,I$2,0))</f>
        <v>0</v>
      </c>
      <c r="J129" s="8">
        <f>IF(ISNA(VLOOKUP($B129,'Other Capital Needs'!$C$51:$P$95,J$2,0)),0,VLOOKUP($B129,'Other Capital Needs'!$C$51:$P$95,J$2,0))+IF(ISNA(VLOOKUP('Project Details by Yr - MASTER'!$B129,'Public Grounds'!$A$11:$N$49,J$2,0)),0,VLOOKUP('Project Details by Yr - MASTER'!$B129,'Public Grounds'!$A$11:$N$49,J$2,0))+IF(ISNA(VLOOKUP('Project Details by Yr - MASTER'!$B129,'Public Buildings'!$A$10:$N$96,J$2,0)),0,VLOOKUP('Project Details by Yr - MASTER'!$B129,'Public Buildings'!$A$10:$N$96,J$2,0))+IF(ISNA(VLOOKUP('Project Details by Yr - MASTER'!$B129,Bridges!$A$9:$N$24,J$2,0)),0,VLOOKUP('Project Details by Yr - MASTER'!$B129,Bridges!$A$9:$N$24,J$2,0))+IF(ISNA(VLOOKUP('Project Details by Yr - MASTER'!$B129,'Parking Lots &amp; Playgrounds'!$A$9:$N$33,J$2,0)),0,VLOOKUP('Project Details by Yr - MASTER'!$B129,'Parking Lots &amp; Playgrounds'!$A$9:$N$33,J$2,0))+IF(ISNA(VLOOKUP($B129,Vehicles!$B$9:$O$50,J$2,0)),0,VLOOKUP($B129,Vehicles!$B$9:$O$50,J$2,0))</f>
        <v>0</v>
      </c>
      <c r="K129" s="8">
        <f>IF(ISNA(VLOOKUP($B129,'Other Capital Needs'!$C$51:$P$95,K$2,0)),0,VLOOKUP($B129,'Other Capital Needs'!$C$51:$P$95,K$2,0))+IF(ISNA(VLOOKUP('Project Details by Yr - MASTER'!$B129,'Public Grounds'!$A$11:$N$49,K$2,0)),0,VLOOKUP('Project Details by Yr - MASTER'!$B129,'Public Grounds'!$A$11:$N$49,K$2,0))+IF(ISNA(VLOOKUP('Project Details by Yr - MASTER'!$B129,'Public Buildings'!$A$10:$N$96,K$2,0)),0,VLOOKUP('Project Details by Yr - MASTER'!$B129,'Public Buildings'!$A$10:$N$96,K$2,0))+IF(ISNA(VLOOKUP('Project Details by Yr - MASTER'!$B129,Bridges!$A$9:$N$24,K$2,0)),0,VLOOKUP('Project Details by Yr - MASTER'!$B129,Bridges!$A$9:$N$24,K$2,0))+IF(ISNA(VLOOKUP('Project Details by Yr - MASTER'!$B129,'Parking Lots &amp; Playgrounds'!$A$9:$N$33,K$2,0)),0,VLOOKUP('Project Details by Yr - MASTER'!$B129,'Parking Lots &amp; Playgrounds'!$A$9:$N$33,K$2,0))+IF(ISNA(VLOOKUP($B129,Vehicles!$B$9:$O$50,K$2,0)),0,VLOOKUP($B129,Vehicles!$B$9:$O$50,K$2,0))</f>
        <v>1100000</v>
      </c>
    </row>
    <row r="130" spans="2:11" x14ac:dyDescent="0.25">
      <c r="B130" t="s">
        <v>240</v>
      </c>
      <c r="C130" t="s">
        <v>47</v>
      </c>
      <c r="D130" t="s">
        <v>273</v>
      </c>
      <c r="E130" s="1" t="s">
        <v>19</v>
      </c>
      <c r="G130" s="8">
        <f>IF(ISNA(VLOOKUP($B130,'Other Capital Needs'!$C$51:$P$95,G$2,0)),0,VLOOKUP($B130,'Other Capital Needs'!$C$51:$P$95,G$2,0))+IF(ISNA(VLOOKUP('Project Details by Yr - MASTER'!$B130,'Public Grounds'!$A$11:$N$49,G$2,0)),0,VLOOKUP('Project Details by Yr - MASTER'!$B130,'Public Grounds'!$A$11:$N$49,G$2,0))+IF(ISNA(VLOOKUP('Project Details by Yr - MASTER'!$B130,'Public Buildings'!$A$10:$N$96,G$2,0)),0,VLOOKUP('Project Details by Yr - MASTER'!$B130,'Public Buildings'!$A$10:$N$96,G$2,0))+IF(ISNA(VLOOKUP('Project Details by Yr - MASTER'!$B130,Bridges!$A$9:$N$24,G$2,0)),0,VLOOKUP('Project Details by Yr - MASTER'!$B130,Bridges!$A$9:$N$24,G$2,0))+IF(ISNA(VLOOKUP('Project Details by Yr - MASTER'!$B130,'Parking Lots &amp; Playgrounds'!$A$9:$N$33,G$2,0)),0,VLOOKUP('Project Details by Yr - MASTER'!$B130,'Parking Lots &amp; Playgrounds'!$A$9:$N$33,G$2,0))+IF(ISNA(VLOOKUP($B130,Vehicles!$B$9:$O$50,G$2,0)),0,VLOOKUP($B130,Vehicles!$B$9:$O$50,G$2,0))</f>
        <v>0</v>
      </c>
      <c r="H130" s="8">
        <f>IF(ISNA(VLOOKUP($B130,'Other Capital Needs'!$C$51:$P$95,H$2,0)),0,VLOOKUP($B130,'Other Capital Needs'!$C$51:$P$95,H$2,0))+IF(ISNA(VLOOKUP('Project Details by Yr - MASTER'!$B130,'Public Grounds'!$A$11:$N$49,H$2,0)),0,VLOOKUP('Project Details by Yr - MASTER'!$B130,'Public Grounds'!$A$11:$N$49,H$2,0))+IF(ISNA(VLOOKUP('Project Details by Yr - MASTER'!$B130,'Public Buildings'!$A$10:$N$96,H$2,0)),0,VLOOKUP('Project Details by Yr - MASTER'!$B130,'Public Buildings'!$A$10:$N$96,H$2,0))+IF(ISNA(VLOOKUP('Project Details by Yr - MASTER'!$B130,Bridges!$A$9:$N$24,H$2,0)),0,VLOOKUP('Project Details by Yr - MASTER'!$B130,Bridges!$A$9:$N$24,H$2,0))+IF(ISNA(VLOOKUP('Project Details by Yr - MASTER'!$B130,'Parking Lots &amp; Playgrounds'!$A$9:$N$33,H$2,0)),0,VLOOKUP('Project Details by Yr - MASTER'!$B130,'Parking Lots &amp; Playgrounds'!$A$9:$N$33,H$2,0))+IF(ISNA(VLOOKUP($B130,Vehicles!$B$9:$O$50,H$2,0)),0,VLOOKUP($B130,Vehicles!$B$9:$O$50,H$2,0))</f>
        <v>0</v>
      </c>
      <c r="I130" s="8">
        <f>IF(ISNA(VLOOKUP($B130,'Other Capital Needs'!$C$51:$P$95,I$2,0)),0,VLOOKUP($B130,'Other Capital Needs'!$C$51:$P$95,I$2,0))+IF(ISNA(VLOOKUP('Project Details by Yr - MASTER'!$B130,'Public Grounds'!$A$11:$N$49,I$2,0)),0,VLOOKUP('Project Details by Yr - MASTER'!$B130,'Public Grounds'!$A$11:$N$49,I$2,0))+IF(ISNA(VLOOKUP('Project Details by Yr - MASTER'!$B130,'Public Buildings'!$A$10:$N$96,I$2,0)),0,VLOOKUP('Project Details by Yr - MASTER'!$B130,'Public Buildings'!$A$10:$N$96,I$2,0))+IF(ISNA(VLOOKUP('Project Details by Yr - MASTER'!$B130,Bridges!$A$9:$N$24,I$2,0)),0,VLOOKUP('Project Details by Yr - MASTER'!$B130,Bridges!$A$9:$N$24,I$2,0))+IF(ISNA(VLOOKUP('Project Details by Yr - MASTER'!$B130,'Parking Lots &amp; Playgrounds'!$A$9:$N$33,I$2,0)),0,VLOOKUP('Project Details by Yr - MASTER'!$B130,'Parking Lots &amp; Playgrounds'!$A$9:$N$33,I$2,0))+IF(ISNA(VLOOKUP($B130,Vehicles!$B$9:$O$50,I$2,0)),0,VLOOKUP($B130,Vehicles!$B$9:$O$50,I$2,0))</f>
        <v>1100000</v>
      </c>
      <c r="J130" s="8">
        <f>IF(ISNA(VLOOKUP($B130,'Other Capital Needs'!$C$51:$P$95,J$2,0)),0,VLOOKUP($B130,'Other Capital Needs'!$C$51:$P$95,J$2,0))+IF(ISNA(VLOOKUP('Project Details by Yr - MASTER'!$B130,'Public Grounds'!$A$11:$N$49,J$2,0)),0,VLOOKUP('Project Details by Yr - MASTER'!$B130,'Public Grounds'!$A$11:$N$49,J$2,0))+IF(ISNA(VLOOKUP('Project Details by Yr - MASTER'!$B130,'Public Buildings'!$A$10:$N$96,J$2,0)),0,VLOOKUP('Project Details by Yr - MASTER'!$B130,'Public Buildings'!$A$10:$N$96,J$2,0))+IF(ISNA(VLOOKUP('Project Details by Yr - MASTER'!$B130,Bridges!$A$9:$N$24,J$2,0)),0,VLOOKUP('Project Details by Yr - MASTER'!$B130,Bridges!$A$9:$N$24,J$2,0))+IF(ISNA(VLOOKUP('Project Details by Yr - MASTER'!$B130,'Parking Lots &amp; Playgrounds'!$A$9:$N$33,J$2,0)),0,VLOOKUP('Project Details by Yr - MASTER'!$B130,'Parking Lots &amp; Playgrounds'!$A$9:$N$33,J$2,0))+IF(ISNA(VLOOKUP($B130,Vehicles!$B$9:$O$50,J$2,0)),0,VLOOKUP($B130,Vehicles!$B$9:$O$50,J$2,0))</f>
        <v>0</v>
      </c>
      <c r="K130" s="8">
        <f>IF(ISNA(VLOOKUP($B130,'Other Capital Needs'!$C$51:$P$95,K$2,0)),0,VLOOKUP($B130,'Other Capital Needs'!$C$51:$P$95,K$2,0))+IF(ISNA(VLOOKUP('Project Details by Yr - MASTER'!$B130,'Public Grounds'!$A$11:$N$49,K$2,0)),0,VLOOKUP('Project Details by Yr - MASTER'!$B130,'Public Grounds'!$A$11:$N$49,K$2,0))+IF(ISNA(VLOOKUP('Project Details by Yr - MASTER'!$B130,'Public Buildings'!$A$10:$N$96,K$2,0)),0,VLOOKUP('Project Details by Yr - MASTER'!$B130,'Public Buildings'!$A$10:$N$96,K$2,0))+IF(ISNA(VLOOKUP('Project Details by Yr - MASTER'!$B130,Bridges!$A$9:$N$24,K$2,0)),0,VLOOKUP('Project Details by Yr - MASTER'!$B130,Bridges!$A$9:$N$24,K$2,0))+IF(ISNA(VLOOKUP('Project Details by Yr - MASTER'!$B130,'Parking Lots &amp; Playgrounds'!$A$9:$N$33,K$2,0)),0,VLOOKUP('Project Details by Yr - MASTER'!$B130,'Parking Lots &amp; Playgrounds'!$A$9:$N$33,K$2,0))+IF(ISNA(VLOOKUP($B130,Vehicles!$B$9:$O$50,K$2,0)),0,VLOOKUP($B130,Vehicles!$B$9:$O$50,K$2,0))</f>
        <v>0</v>
      </c>
    </row>
    <row r="131" spans="2:11" x14ac:dyDescent="0.25">
      <c r="B131" t="s">
        <v>241</v>
      </c>
      <c r="C131" t="s">
        <v>47</v>
      </c>
      <c r="D131" t="s">
        <v>273</v>
      </c>
      <c r="E131" s="1"/>
      <c r="G131" s="8">
        <f>IF(ISNA(VLOOKUP($B131,'Other Capital Needs'!$C$51:$P$95,G$2,0)),0,VLOOKUP($B131,'Other Capital Needs'!$C$51:$P$95,G$2,0))+IF(ISNA(VLOOKUP('Project Details by Yr - MASTER'!$B131,'Public Grounds'!$A$11:$N$49,G$2,0)),0,VLOOKUP('Project Details by Yr - MASTER'!$B131,'Public Grounds'!$A$11:$N$49,G$2,0))+IF(ISNA(VLOOKUP('Project Details by Yr - MASTER'!$B131,'Public Buildings'!$A$10:$N$96,G$2,0)),0,VLOOKUP('Project Details by Yr - MASTER'!$B131,'Public Buildings'!$A$10:$N$96,G$2,0))+IF(ISNA(VLOOKUP('Project Details by Yr - MASTER'!$B131,Bridges!$A$9:$N$24,G$2,0)),0,VLOOKUP('Project Details by Yr - MASTER'!$B131,Bridges!$A$9:$N$24,G$2,0))+IF(ISNA(VLOOKUP('Project Details by Yr - MASTER'!$B131,'Parking Lots &amp; Playgrounds'!$A$9:$N$33,G$2,0)),0,VLOOKUP('Project Details by Yr - MASTER'!$B131,'Parking Lots &amp; Playgrounds'!$A$9:$N$33,G$2,0))+IF(ISNA(VLOOKUP($B131,Vehicles!$B$9:$O$50,G$2,0)),0,VLOOKUP($B131,Vehicles!$B$9:$O$50,G$2,0))</f>
        <v>0</v>
      </c>
      <c r="H131" s="8">
        <f>IF(ISNA(VLOOKUP($B131,'Other Capital Needs'!$C$51:$P$95,H$2,0)),0,VLOOKUP($B131,'Other Capital Needs'!$C$51:$P$95,H$2,0))+IF(ISNA(VLOOKUP('Project Details by Yr - MASTER'!$B131,'Public Grounds'!$A$11:$N$49,H$2,0)),0,VLOOKUP('Project Details by Yr - MASTER'!$B131,'Public Grounds'!$A$11:$N$49,H$2,0))+IF(ISNA(VLOOKUP('Project Details by Yr - MASTER'!$B131,'Public Buildings'!$A$10:$N$96,H$2,0)),0,VLOOKUP('Project Details by Yr - MASTER'!$B131,'Public Buildings'!$A$10:$N$96,H$2,0))+IF(ISNA(VLOOKUP('Project Details by Yr - MASTER'!$B131,Bridges!$A$9:$N$24,H$2,0)),0,VLOOKUP('Project Details by Yr - MASTER'!$B131,Bridges!$A$9:$N$24,H$2,0))+IF(ISNA(VLOOKUP('Project Details by Yr - MASTER'!$B131,'Parking Lots &amp; Playgrounds'!$A$9:$N$33,H$2,0)),0,VLOOKUP('Project Details by Yr - MASTER'!$B131,'Parking Lots &amp; Playgrounds'!$A$9:$N$33,H$2,0))+IF(ISNA(VLOOKUP($B131,Vehicles!$B$9:$O$50,H$2,0)),0,VLOOKUP($B131,Vehicles!$B$9:$O$50,H$2,0))</f>
        <v>0</v>
      </c>
      <c r="I131" s="8">
        <f>IF(ISNA(VLOOKUP($B131,'Other Capital Needs'!$C$51:$P$95,I$2,0)),0,VLOOKUP($B131,'Other Capital Needs'!$C$51:$P$95,I$2,0))+IF(ISNA(VLOOKUP('Project Details by Yr - MASTER'!$B131,'Public Grounds'!$A$11:$N$49,I$2,0)),0,VLOOKUP('Project Details by Yr - MASTER'!$B131,'Public Grounds'!$A$11:$N$49,I$2,0))+IF(ISNA(VLOOKUP('Project Details by Yr - MASTER'!$B131,'Public Buildings'!$A$10:$N$96,I$2,0)),0,VLOOKUP('Project Details by Yr - MASTER'!$B131,'Public Buildings'!$A$10:$N$96,I$2,0))+IF(ISNA(VLOOKUP('Project Details by Yr - MASTER'!$B131,Bridges!$A$9:$N$24,I$2,0)),0,VLOOKUP('Project Details by Yr - MASTER'!$B131,Bridges!$A$9:$N$24,I$2,0))+IF(ISNA(VLOOKUP('Project Details by Yr - MASTER'!$B131,'Parking Lots &amp; Playgrounds'!$A$9:$N$33,I$2,0)),0,VLOOKUP('Project Details by Yr - MASTER'!$B131,'Parking Lots &amp; Playgrounds'!$A$9:$N$33,I$2,0))+IF(ISNA(VLOOKUP($B131,Vehicles!$B$9:$O$50,I$2,0)),0,VLOOKUP($B131,Vehicles!$B$9:$O$50,I$2,0))</f>
        <v>0</v>
      </c>
      <c r="J131" s="8">
        <f>IF(ISNA(VLOOKUP($B131,'Other Capital Needs'!$C$51:$P$95,J$2,0)),0,VLOOKUP($B131,'Other Capital Needs'!$C$51:$P$95,J$2,0))+IF(ISNA(VLOOKUP('Project Details by Yr - MASTER'!$B131,'Public Grounds'!$A$11:$N$49,J$2,0)),0,VLOOKUP('Project Details by Yr - MASTER'!$B131,'Public Grounds'!$A$11:$N$49,J$2,0))+IF(ISNA(VLOOKUP('Project Details by Yr - MASTER'!$B131,'Public Buildings'!$A$10:$N$96,J$2,0)),0,VLOOKUP('Project Details by Yr - MASTER'!$B131,'Public Buildings'!$A$10:$N$96,J$2,0))+IF(ISNA(VLOOKUP('Project Details by Yr - MASTER'!$B131,Bridges!$A$9:$N$24,J$2,0)),0,VLOOKUP('Project Details by Yr - MASTER'!$B131,Bridges!$A$9:$N$24,J$2,0))+IF(ISNA(VLOOKUP('Project Details by Yr - MASTER'!$B131,'Parking Lots &amp; Playgrounds'!$A$9:$N$33,J$2,0)),0,VLOOKUP('Project Details by Yr - MASTER'!$B131,'Parking Lots &amp; Playgrounds'!$A$9:$N$33,J$2,0))+IF(ISNA(VLOOKUP($B131,Vehicles!$B$9:$O$50,J$2,0)),0,VLOOKUP($B131,Vehicles!$B$9:$O$50,J$2,0))</f>
        <v>0</v>
      </c>
      <c r="K131" s="8">
        <f>IF(ISNA(VLOOKUP($B131,'Other Capital Needs'!$C$51:$P$95,K$2,0)),0,VLOOKUP($B131,'Other Capital Needs'!$C$51:$P$95,K$2,0))+IF(ISNA(VLOOKUP('Project Details by Yr - MASTER'!$B131,'Public Grounds'!$A$11:$N$49,K$2,0)),0,VLOOKUP('Project Details by Yr - MASTER'!$B131,'Public Grounds'!$A$11:$N$49,K$2,0))+IF(ISNA(VLOOKUP('Project Details by Yr - MASTER'!$B131,'Public Buildings'!$A$10:$N$96,K$2,0)),0,VLOOKUP('Project Details by Yr - MASTER'!$B131,'Public Buildings'!$A$10:$N$96,K$2,0))+IF(ISNA(VLOOKUP('Project Details by Yr - MASTER'!$B131,Bridges!$A$9:$N$24,K$2,0)),0,VLOOKUP('Project Details by Yr - MASTER'!$B131,Bridges!$A$9:$N$24,K$2,0))+IF(ISNA(VLOOKUP('Project Details by Yr - MASTER'!$B131,'Parking Lots &amp; Playgrounds'!$A$9:$N$33,K$2,0)),0,VLOOKUP('Project Details by Yr - MASTER'!$B131,'Parking Lots &amp; Playgrounds'!$A$9:$N$33,K$2,0))+IF(ISNA(VLOOKUP($B131,Vehicles!$B$9:$O$50,K$2,0)),0,VLOOKUP($B131,Vehicles!$B$9:$O$50,K$2,0))</f>
        <v>0</v>
      </c>
    </row>
    <row r="132" spans="2:11" x14ac:dyDescent="0.25">
      <c r="B132" t="s">
        <v>200</v>
      </c>
      <c r="C132" t="s">
        <v>47</v>
      </c>
      <c r="D132" t="s">
        <v>273</v>
      </c>
      <c r="E132" s="1" t="s">
        <v>16</v>
      </c>
      <c r="G132" s="8">
        <f>IF(ISNA(VLOOKUP($B132,'Other Capital Needs'!$C$51:$P$95,G$2,0)),0,VLOOKUP($B132,'Other Capital Needs'!$C$51:$P$95,G$2,0))+IF(ISNA(VLOOKUP('Project Details by Yr - MASTER'!$B132,'Public Grounds'!$A$11:$N$49,G$2,0)),0,VLOOKUP('Project Details by Yr - MASTER'!$B132,'Public Grounds'!$A$11:$N$49,G$2,0))+IF(ISNA(VLOOKUP('Project Details by Yr - MASTER'!$B132,'Public Buildings'!$A$10:$N$96,G$2,0)),0,VLOOKUP('Project Details by Yr - MASTER'!$B132,'Public Buildings'!$A$10:$N$96,G$2,0))+IF(ISNA(VLOOKUP('Project Details by Yr - MASTER'!$B132,Bridges!$A$9:$N$24,G$2,0)),0,VLOOKUP('Project Details by Yr - MASTER'!$B132,Bridges!$A$9:$N$24,G$2,0))+IF(ISNA(VLOOKUP('Project Details by Yr - MASTER'!$B132,'Parking Lots &amp; Playgrounds'!$A$9:$N$33,G$2,0)),0,VLOOKUP('Project Details by Yr - MASTER'!$B132,'Parking Lots &amp; Playgrounds'!$A$9:$N$33,G$2,0))+IF(ISNA(VLOOKUP($B132,Vehicles!$B$9:$O$50,G$2,0)),0,VLOOKUP($B132,Vehicles!$B$9:$O$50,G$2,0))</f>
        <v>50000</v>
      </c>
      <c r="H132" s="8">
        <f>IF(ISNA(VLOOKUP($B132,'Other Capital Needs'!$C$51:$P$95,H$2,0)),0,VLOOKUP($B132,'Other Capital Needs'!$C$51:$P$95,H$2,0))+IF(ISNA(VLOOKUP('Project Details by Yr - MASTER'!$B132,'Public Grounds'!$A$11:$N$49,H$2,0)),0,VLOOKUP('Project Details by Yr - MASTER'!$B132,'Public Grounds'!$A$11:$N$49,H$2,0))+IF(ISNA(VLOOKUP('Project Details by Yr - MASTER'!$B132,'Public Buildings'!$A$10:$N$96,H$2,0)),0,VLOOKUP('Project Details by Yr - MASTER'!$B132,'Public Buildings'!$A$10:$N$96,H$2,0))+IF(ISNA(VLOOKUP('Project Details by Yr - MASTER'!$B132,Bridges!$A$9:$N$24,H$2,0)),0,VLOOKUP('Project Details by Yr - MASTER'!$B132,Bridges!$A$9:$N$24,H$2,0))+IF(ISNA(VLOOKUP('Project Details by Yr - MASTER'!$B132,'Parking Lots &amp; Playgrounds'!$A$9:$N$33,H$2,0)),0,VLOOKUP('Project Details by Yr - MASTER'!$B132,'Parking Lots &amp; Playgrounds'!$A$9:$N$33,H$2,0))+IF(ISNA(VLOOKUP($B132,Vehicles!$B$9:$O$50,H$2,0)),0,VLOOKUP($B132,Vehicles!$B$9:$O$50,H$2,0))</f>
        <v>0</v>
      </c>
      <c r="I132" s="8">
        <f>IF(ISNA(VLOOKUP($B132,'Other Capital Needs'!$C$51:$P$95,I$2,0)),0,VLOOKUP($B132,'Other Capital Needs'!$C$51:$P$95,I$2,0))+IF(ISNA(VLOOKUP('Project Details by Yr - MASTER'!$B132,'Public Grounds'!$A$11:$N$49,I$2,0)),0,VLOOKUP('Project Details by Yr - MASTER'!$B132,'Public Grounds'!$A$11:$N$49,I$2,0))+IF(ISNA(VLOOKUP('Project Details by Yr - MASTER'!$B132,'Public Buildings'!$A$10:$N$96,I$2,0)),0,VLOOKUP('Project Details by Yr - MASTER'!$B132,'Public Buildings'!$A$10:$N$96,I$2,0))+IF(ISNA(VLOOKUP('Project Details by Yr - MASTER'!$B132,Bridges!$A$9:$N$24,I$2,0)),0,VLOOKUP('Project Details by Yr - MASTER'!$B132,Bridges!$A$9:$N$24,I$2,0))+IF(ISNA(VLOOKUP('Project Details by Yr - MASTER'!$B132,'Parking Lots &amp; Playgrounds'!$A$9:$N$33,I$2,0)),0,VLOOKUP('Project Details by Yr - MASTER'!$B132,'Parking Lots &amp; Playgrounds'!$A$9:$N$33,I$2,0))+IF(ISNA(VLOOKUP($B132,Vehicles!$B$9:$O$50,I$2,0)),0,VLOOKUP($B132,Vehicles!$B$9:$O$50,I$2,0))</f>
        <v>0</v>
      </c>
      <c r="J132" s="8">
        <f>IF(ISNA(VLOOKUP($B132,'Other Capital Needs'!$C$51:$P$95,J$2,0)),0,VLOOKUP($B132,'Other Capital Needs'!$C$51:$P$95,J$2,0))+IF(ISNA(VLOOKUP('Project Details by Yr - MASTER'!$B132,'Public Grounds'!$A$11:$N$49,J$2,0)),0,VLOOKUP('Project Details by Yr - MASTER'!$B132,'Public Grounds'!$A$11:$N$49,J$2,0))+IF(ISNA(VLOOKUP('Project Details by Yr - MASTER'!$B132,'Public Buildings'!$A$10:$N$96,J$2,0)),0,VLOOKUP('Project Details by Yr - MASTER'!$B132,'Public Buildings'!$A$10:$N$96,J$2,0))+IF(ISNA(VLOOKUP('Project Details by Yr - MASTER'!$B132,Bridges!$A$9:$N$24,J$2,0)),0,VLOOKUP('Project Details by Yr - MASTER'!$B132,Bridges!$A$9:$N$24,J$2,0))+IF(ISNA(VLOOKUP('Project Details by Yr - MASTER'!$B132,'Parking Lots &amp; Playgrounds'!$A$9:$N$33,J$2,0)),0,VLOOKUP('Project Details by Yr - MASTER'!$B132,'Parking Lots &amp; Playgrounds'!$A$9:$N$33,J$2,0))+IF(ISNA(VLOOKUP($B132,Vehicles!$B$9:$O$50,J$2,0)),0,VLOOKUP($B132,Vehicles!$B$9:$O$50,J$2,0))</f>
        <v>0</v>
      </c>
      <c r="K132" s="8">
        <f>IF(ISNA(VLOOKUP($B132,'Other Capital Needs'!$C$51:$P$95,K$2,0)),0,VLOOKUP($B132,'Other Capital Needs'!$C$51:$P$95,K$2,0))+IF(ISNA(VLOOKUP('Project Details by Yr - MASTER'!$B132,'Public Grounds'!$A$11:$N$49,K$2,0)),0,VLOOKUP('Project Details by Yr - MASTER'!$B132,'Public Grounds'!$A$11:$N$49,K$2,0))+IF(ISNA(VLOOKUP('Project Details by Yr - MASTER'!$B132,'Public Buildings'!$A$10:$N$96,K$2,0)),0,VLOOKUP('Project Details by Yr - MASTER'!$B132,'Public Buildings'!$A$10:$N$96,K$2,0))+IF(ISNA(VLOOKUP('Project Details by Yr - MASTER'!$B132,Bridges!$A$9:$N$24,K$2,0)),0,VLOOKUP('Project Details by Yr - MASTER'!$B132,Bridges!$A$9:$N$24,K$2,0))+IF(ISNA(VLOOKUP('Project Details by Yr - MASTER'!$B132,'Parking Lots &amp; Playgrounds'!$A$9:$N$33,K$2,0)),0,VLOOKUP('Project Details by Yr - MASTER'!$B132,'Parking Lots &amp; Playgrounds'!$A$9:$N$33,K$2,0))+IF(ISNA(VLOOKUP($B132,Vehicles!$B$9:$O$50,K$2,0)),0,VLOOKUP($B132,Vehicles!$B$9:$O$50,K$2,0))</f>
        <v>0</v>
      </c>
    </row>
    <row r="133" spans="2:11" x14ac:dyDescent="0.25">
      <c r="B133" t="s">
        <v>201</v>
      </c>
      <c r="C133" t="s">
        <v>47</v>
      </c>
      <c r="D133" t="s">
        <v>273</v>
      </c>
      <c r="E133" s="1" t="s">
        <v>16</v>
      </c>
      <c r="G133" s="8">
        <f>IF(ISNA(VLOOKUP($B133,'Other Capital Needs'!$C$51:$P$95,G$2,0)),0,VLOOKUP($B133,'Other Capital Needs'!$C$51:$P$95,G$2,0))+IF(ISNA(VLOOKUP('Project Details by Yr - MASTER'!$B133,'Public Grounds'!$A$11:$N$49,G$2,0)),0,VLOOKUP('Project Details by Yr - MASTER'!$B133,'Public Grounds'!$A$11:$N$49,G$2,0))+IF(ISNA(VLOOKUP('Project Details by Yr - MASTER'!$B133,'Public Buildings'!$A$10:$N$96,G$2,0)),0,VLOOKUP('Project Details by Yr - MASTER'!$B133,'Public Buildings'!$A$10:$N$96,G$2,0))+IF(ISNA(VLOOKUP('Project Details by Yr - MASTER'!$B133,Bridges!$A$9:$N$24,G$2,0)),0,VLOOKUP('Project Details by Yr - MASTER'!$B133,Bridges!$A$9:$N$24,G$2,0))+IF(ISNA(VLOOKUP('Project Details by Yr - MASTER'!$B133,'Parking Lots &amp; Playgrounds'!$A$9:$N$33,G$2,0)),0,VLOOKUP('Project Details by Yr - MASTER'!$B133,'Parking Lots &amp; Playgrounds'!$A$9:$N$33,G$2,0))+IF(ISNA(VLOOKUP($B133,Vehicles!$B$9:$O$50,G$2,0)),0,VLOOKUP($B133,Vehicles!$B$9:$O$50,G$2,0))</f>
        <v>0</v>
      </c>
      <c r="H133" s="8">
        <f>IF(ISNA(VLOOKUP($B133,'Other Capital Needs'!$C$51:$P$95,H$2,0)),0,VLOOKUP($B133,'Other Capital Needs'!$C$51:$P$95,H$2,0))+IF(ISNA(VLOOKUP('Project Details by Yr - MASTER'!$B133,'Public Grounds'!$A$11:$N$49,H$2,0)),0,VLOOKUP('Project Details by Yr - MASTER'!$B133,'Public Grounds'!$A$11:$N$49,H$2,0))+IF(ISNA(VLOOKUP('Project Details by Yr - MASTER'!$B133,'Public Buildings'!$A$10:$N$96,H$2,0)),0,VLOOKUP('Project Details by Yr - MASTER'!$B133,'Public Buildings'!$A$10:$N$96,H$2,0))+IF(ISNA(VLOOKUP('Project Details by Yr - MASTER'!$B133,Bridges!$A$9:$N$24,H$2,0)),0,VLOOKUP('Project Details by Yr - MASTER'!$B133,Bridges!$A$9:$N$24,H$2,0))+IF(ISNA(VLOOKUP('Project Details by Yr - MASTER'!$B133,'Parking Lots &amp; Playgrounds'!$A$9:$N$33,H$2,0)),0,VLOOKUP('Project Details by Yr - MASTER'!$B133,'Parking Lots &amp; Playgrounds'!$A$9:$N$33,H$2,0))+IF(ISNA(VLOOKUP($B133,Vehicles!$B$9:$O$50,H$2,0)),0,VLOOKUP($B133,Vehicles!$B$9:$O$50,H$2,0))</f>
        <v>35000</v>
      </c>
      <c r="I133" s="8">
        <f>IF(ISNA(VLOOKUP($B133,'Other Capital Needs'!$C$51:$P$95,I$2,0)),0,VLOOKUP($B133,'Other Capital Needs'!$C$51:$P$95,I$2,0))+IF(ISNA(VLOOKUP('Project Details by Yr - MASTER'!$B133,'Public Grounds'!$A$11:$N$49,I$2,0)),0,VLOOKUP('Project Details by Yr - MASTER'!$B133,'Public Grounds'!$A$11:$N$49,I$2,0))+IF(ISNA(VLOOKUP('Project Details by Yr - MASTER'!$B133,'Public Buildings'!$A$10:$N$96,I$2,0)),0,VLOOKUP('Project Details by Yr - MASTER'!$B133,'Public Buildings'!$A$10:$N$96,I$2,0))+IF(ISNA(VLOOKUP('Project Details by Yr - MASTER'!$B133,Bridges!$A$9:$N$24,I$2,0)),0,VLOOKUP('Project Details by Yr - MASTER'!$B133,Bridges!$A$9:$N$24,I$2,0))+IF(ISNA(VLOOKUP('Project Details by Yr - MASTER'!$B133,'Parking Lots &amp; Playgrounds'!$A$9:$N$33,I$2,0)),0,VLOOKUP('Project Details by Yr - MASTER'!$B133,'Parking Lots &amp; Playgrounds'!$A$9:$N$33,I$2,0))+IF(ISNA(VLOOKUP($B133,Vehicles!$B$9:$O$50,I$2,0)),0,VLOOKUP($B133,Vehicles!$B$9:$O$50,I$2,0))</f>
        <v>0</v>
      </c>
      <c r="J133" s="8">
        <f>IF(ISNA(VLOOKUP($B133,'Other Capital Needs'!$C$51:$P$95,J$2,0)),0,VLOOKUP($B133,'Other Capital Needs'!$C$51:$P$95,J$2,0))+IF(ISNA(VLOOKUP('Project Details by Yr - MASTER'!$B133,'Public Grounds'!$A$11:$N$49,J$2,0)),0,VLOOKUP('Project Details by Yr - MASTER'!$B133,'Public Grounds'!$A$11:$N$49,J$2,0))+IF(ISNA(VLOOKUP('Project Details by Yr - MASTER'!$B133,'Public Buildings'!$A$10:$N$96,J$2,0)),0,VLOOKUP('Project Details by Yr - MASTER'!$B133,'Public Buildings'!$A$10:$N$96,J$2,0))+IF(ISNA(VLOOKUP('Project Details by Yr - MASTER'!$B133,Bridges!$A$9:$N$24,J$2,0)),0,VLOOKUP('Project Details by Yr - MASTER'!$B133,Bridges!$A$9:$N$24,J$2,0))+IF(ISNA(VLOOKUP('Project Details by Yr - MASTER'!$B133,'Parking Lots &amp; Playgrounds'!$A$9:$N$33,J$2,0)),0,VLOOKUP('Project Details by Yr - MASTER'!$B133,'Parking Lots &amp; Playgrounds'!$A$9:$N$33,J$2,0))+IF(ISNA(VLOOKUP($B133,Vehicles!$B$9:$O$50,J$2,0)),0,VLOOKUP($B133,Vehicles!$B$9:$O$50,J$2,0))</f>
        <v>0</v>
      </c>
      <c r="K133" s="8">
        <f>IF(ISNA(VLOOKUP($B133,'Other Capital Needs'!$C$51:$P$95,K$2,0)),0,VLOOKUP($B133,'Other Capital Needs'!$C$51:$P$95,K$2,0))+IF(ISNA(VLOOKUP('Project Details by Yr - MASTER'!$B133,'Public Grounds'!$A$11:$N$49,K$2,0)),0,VLOOKUP('Project Details by Yr - MASTER'!$B133,'Public Grounds'!$A$11:$N$49,K$2,0))+IF(ISNA(VLOOKUP('Project Details by Yr - MASTER'!$B133,'Public Buildings'!$A$10:$N$96,K$2,0)),0,VLOOKUP('Project Details by Yr - MASTER'!$B133,'Public Buildings'!$A$10:$N$96,K$2,0))+IF(ISNA(VLOOKUP('Project Details by Yr - MASTER'!$B133,Bridges!$A$9:$N$24,K$2,0)),0,VLOOKUP('Project Details by Yr - MASTER'!$B133,Bridges!$A$9:$N$24,K$2,0))+IF(ISNA(VLOOKUP('Project Details by Yr - MASTER'!$B133,'Parking Lots &amp; Playgrounds'!$A$9:$N$33,K$2,0)),0,VLOOKUP('Project Details by Yr - MASTER'!$B133,'Parking Lots &amp; Playgrounds'!$A$9:$N$33,K$2,0))+IF(ISNA(VLOOKUP($B133,Vehicles!$B$9:$O$50,K$2,0)),0,VLOOKUP($B133,Vehicles!$B$9:$O$50,K$2,0))</f>
        <v>0</v>
      </c>
    </row>
    <row r="134" spans="2:11" x14ac:dyDescent="0.25">
      <c r="B134" t="s">
        <v>202</v>
      </c>
      <c r="C134" t="s">
        <v>47</v>
      </c>
      <c r="D134" t="s">
        <v>273</v>
      </c>
      <c r="E134" s="1" t="s">
        <v>16</v>
      </c>
      <c r="G134" s="8">
        <f>IF(ISNA(VLOOKUP($B134,'Other Capital Needs'!$C$51:$P$95,G$2,0)),0,VLOOKUP($B134,'Other Capital Needs'!$C$51:$P$95,G$2,0))+IF(ISNA(VLOOKUP('Project Details by Yr - MASTER'!$B134,'Public Grounds'!$A$11:$N$49,G$2,0)),0,VLOOKUP('Project Details by Yr - MASTER'!$B134,'Public Grounds'!$A$11:$N$49,G$2,0))+IF(ISNA(VLOOKUP('Project Details by Yr - MASTER'!$B134,'Public Buildings'!$A$10:$N$96,G$2,0)),0,VLOOKUP('Project Details by Yr - MASTER'!$B134,'Public Buildings'!$A$10:$N$96,G$2,0))+IF(ISNA(VLOOKUP('Project Details by Yr - MASTER'!$B134,Bridges!$A$9:$N$24,G$2,0)),0,VLOOKUP('Project Details by Yr - MASTER'!$B134,Bridges!$A$9:$N$24,G$2,0))+IF(ISNA(VLOOKUP('Project Details by Yr - MASTER'!$B134,'Parking Lots &amp; Playgrounds'!$A$9:$N$33,G$2,0)),0,VLOOKUP('Project Details by Yr - MASTER'!$B134,'Parking Lots &amp; Playgrounds'!$A$9:$N$33,G$2,0))+IF(ISNA(VLOOKUP($B134,Vehicles!$B$9:$O$50,G$2,0)),0,VLOOKUP($B134,Vehicles!$B$9:$O$50,G$2,0))</f>
        <v>0</v>
      </c>
      <c r="H134" s="8">
        <f>IF(ISNA(VLOOKUP($B134,'Other Capital Needs'!$C$51:$P$95,H$2,0)),0,VLOOKUP($B134,'Other Capital Needs'!$C$51:$P$95,H$2,0))+IF(ISNA(VLOOKUP('Project Details by Yr - MASTER'!$B134,'Public Grounds'!$A$11:$N$49,H$2,0)),0,VLOOKUP('Project Details by Yr - MASTER'!$B134,'Public Grounds'!$A$11:$N$49,H$2,0))+IF(ISNA(VLOOKUP('Project Details by Yr - MASTER'!$B134,'Public Buildings'!$A$10:$N$96,H$2,0)),0,VLOOKUP('Project Details by Yr - MASTER'!$B134,'Public Buildings'!$A$10:$N$96,H$2,0))+IF(ISNA(VLOOKUP('Project Details by Yr - MASTER'!$B134,Bridges!$A$9:$N$24,H$2,0)),0,VLOOKUP('Project Details by Yr - MASTER'!$B134,Bridges!$A$9:$N$24,H$2,0))+IF(ISNA(VLOOKUP('Project Details by Yr - MASTER'!$B134,'Parking Lots &amp; Playgrounds'!$A$9:$N$33,H$2,0)),0,VLOOKUP('Project Details by Yr - MASTER'!$B134,'Parking Lots &amp; Playgrounds'!$A$9:$N$33,H$2,0))+IF(ISNA(VLOOKUP($B134,Vehicles!$B$9:$O$50,H$2,0)),0,VLOOKUP($B134,Vehicles!$B$9:$O$50,H$2,0))</f>
        <v>0</v>
      </c>
      <c r="I134" s="8">
        <f>IF(ISNA(VLOOKUP($B134,'Other Capital Needs'!$C$51:$P$95,I$2,0)),0,VLOOKUP($B134,'Other Capital Needs'!$C$51:$P$95,I$2,0))+IF(ISNA(VLOOKUP('Project Details by Yr - MASTER'!$B134,'Public Grounds'!$A$11:$N$49,I$2,0)),0,VLOOKUP('Project Details by Yr - MASTER'!$B134,'Public Grounds'!$A$11:$N$49,I$2,0))+IF(ISNA(VLOOKUP('Project Details by Yr - MASTER'!$B134,'Public Buildings'!$A$10:$N$96,I$2,0)),0,VLOOKUP('Project Details by Yr - MASTER'!$B134,'Public Buildings'!$A$10:$N$96,I$2,0))+IF(ISNA(VLOOKUP('Project Details by Yr - MASTER'!$B134,Bridges!$A$9:$N$24,I$2,0)),0,VLOOKUP('Project Details by Yr - MASTER'!$B134,Bridges!$A$9:$N$24,I$2,0))+IF(ISNA(VLOOKUP('Project Details by Yr - MASTER'!$B134,'Parking Lots &amp; Playgrounds'!$A$9:$N$33,I$2,0)),0,VLOOKUP('Project Details by Yr - MASTER'!$B134,'Parking Lots &amp; Playgrounds'!$A$9:$N$33,I$2,0))+IF(ISNA(VLOOKUP($B134,Vehicles!$B$9:$O$50,I$2,0)),0,VLOOKUP($B134,Vehicles!$B$9:$O$50,I$2,0))</f>
        <v>40000</v>
      </c>
      <c r="J134" s="8">
        <f>IF(ISNA(VLOOKUP($B134,'Other Capital Needs'!$C$51:$P$95,J$2,0)),0,VLOOKUP($B134,'Other Capital Needs'!$C$51:$P$95,J$2,0))+IF(ISNA(VLOOKUP('Project Details by Yr - MASTER'!$B134,'Public Grounds'!$A$11:$N$49,J$2,0)),0,VLOOKUP('Project Details by Yr - MASTER'!$B134,'Public Grounds'!$A$11:$N$49,J$2,0))+IF(ISNA(VLOOKUP('Project Details by Yr - MASTER'!$B134,'Public Buildings'!$A$10:$N$96,J$2,0)),0,VLOOKUP('Project Details by Yr - MASTER'!$B134,'Public Buildings'!$A$10:$N$96,J$2,0))+IF(ISNA(VLOOKUP('Project Details by Yr - MASTER'!$B134,Bridges!$A$9:$N$24,J$2,0)),0,VLOOKUP('Project Details by Yr - MASTER'!$B134,Bridges!$A$9:$N$24,J$2,0))+IF(ISNA(VLOOKUP('Project Details by Yr - MASTER'!$B134,'Parking Lots &amp; Playgrounds'!$A$9:$N$33,J$2,0)),0,VLOOKUP('Project Details by Yr - MASTER'!$B134,'Parking Lots &amp; Playgrounds'!$A$9:$N$33,J$2,0))+IF(ISNA(VLOOKUP($B134,Vehicles!$B$9:$O$50,J$2,0)),0,VLOOKUP($B134,Vehicles!$B$9:$O$50,J$2,0))</f>
        <v>0</v>
      </c>
      <c r="K134" s="8">
        <f>IF(ISNA(VLOOKUP($B134,'Other Capital Needs'!$C$51:$P$95,K$2,0)),0,VLOOKUP($B134,'Other Capital Needs'!$C$51:$P$95,K$2,0))+IF(ISNA(VLOOKUP('Project Details by Yr - MASTER'!$B134,'Public Grounds'!$A$11:$N$49,K$2,0)),0,VLOOKUP('Project Details by Yr - MASTER'!$B134,'Public Grounds'!$A$11:$N$49,K$2,0))+IF(ISNA(VLOOKUP('Project Details by Yr - MASTER'!$B134,'Public Buildings'!$A$10:$N$96,K$2,0)),0,VLOOKUP('Project Details by Yr - MASTER'!$B134,'Public Buildings'!$A$10:$N$96,K$2,0))+IF(ISNA(VLOOKUP('Project Details by Yr - MASTER'!$B134,Bridges!$A$9:$N$24,K$2,0)),0,VLOOKUP('Project Details by Yr - MASTER'!$B134,Bridges!$A$9:$N$24,K$2,0))+IF(ISNA(VLOOKUP('Project Details by Yr - MASTER'!$B134,'Parking Lots &amp; Playgrounds'!$A$9:$N$33,K$2,0)),0,VLOOKUP('Project Details by Yr - MASTER'!$B134,'Parking Lots &amp; Playgrounds'!$A$9:$N$33,K$2,0))+IF(ISNA(VLOOKUP($B134,Vehicles!$B$9:$O$50,K$2,0)),0,VLOOKUP($B134,Vehicles!$B$9:$O$50,K$2,0))</f>
        <v>0</v>
      </c>
    </row>
    <row r="135" spans="2:11" x14ac:dyDescent="0.25">
      <c r="B135" t="s">
        <v>203</v>
      </c>
      <c r="C135" t="s">
        <v>47</v>
      </c>
      <c r="D135" t="s">
        <v>273</v>
      </c>
      <c r="E135" s="1" t="s">
        <v>16</v>
      </c>
      <c r="G135" s="8">
        <f>IF(ISNA(VLOOKUP($B135,'Other Capital Needs'!$C$51:$P$95,G$2,0)),0,VLOOKUP($B135,'Other Capital Needs'!$C$51:$P$95,G$2,0))+IF(ISNA(VLOOKUP('Project Details by Yr - MASTER'!$B135,'Public Grounds'!$A$11:$N$49,G$2,0)),0,VLOOKUP('Project Details by Yr - MASTER'!$B135,'Public Grounds'!$A$11:$N$49,G$2,0))+IF(ISNA(VLOOKUP('Project Details by Yr - MASTER'!$B135,'Public Buildings'!$A$10:$N$96,G$2,0)),0,VLOOKUP('Project Details by Yr - MASTER'!$B135,'Public Buildings'!$A$10:$N$96,G$2,0))+IF(ISNA(VLOOKUP('Project Details by Yr - MASTER'!$B135,Bridges!$A$9:$N$24,G$2,0)),0,VLOOKUP('Project Details by Yr - MASTER'!$B135,Bridges!$A$9:$N$24,G$2,0))+IF(ISNA(VLOOKUP('Project Details by Yr - MASTER'!$B135,'Parking Lots &amp; Playgrounds'!$A$9:$N$33,G$2,0)),0,VLOOKUP('Project Details by Yr - MASTER'!$B135,'Parking Lots &amp; Playgrounds'!$A$9:$N$33,G$2,0))+IF(ISNA(VLOOKUP($B135,Vehicles!$B$9:$O$50,G$2,0)),0,VLOOKUP($B135,Vehicles!$B$9:$O$50,G$2,0))</f>
        <v>0</v>
      </c>
      <c r="H135" s="8">
        <f>IF(ISNA(VLOOKUP($B135,'Other Capital Needs'!$C$51:$P$95,H$2,0)),0,VLOOKUP($B135,'Other Capital Needs'!$C$51:$P$95,H$2,0))+IF(ISNA(VLOOKUP('Project Details by Yr - MASTER'!$B135,'Public Grounds'!$A$11:$N$49,H$2,0)),0,VLOOKUP('Project Details by Yr - MASTER'!$B135,'Public Grounds'!$A$11:$N$49,H$2,0))+IF(ISNA(VLOOKUP('Project Details by Yr - MASTER'!$B135,'Public Buildings'!$A$10:$N$96,H$2,0)),0,VLOOKUP('Project Details by Yr - MASTER'!$B135,'Public Buildings'!$A$10:$N$96,H$2,0))+IF(ISNA(VLOOKUP('Project Details by Yr - MASTER'!$B135,Bridges!$A$9:$N$24,H$2,0)),0,VLOOKUP('Project Details by Yr - MASTER'!$B135,Bridges!$A$9:$N$24,H$2,0))+IF(ISNA(VLOOKUP('Project Details by Yr - MASTER'!$B135,'Parking Lots &amp; Playgrounds'!$A$9:$N$33,H$2,0)),0,VLOOKUP('Project Details by Yr - MASTER'!$B135,'Parking Lots &amp; Playgrounds'!$A$9:$N$33,H$2,0))+IF(ISNA(VLOOKUP($B135,Vehicles!$B$9:$O$50,H$2,0)),0,VLOOKUP($B135,Vehicles!$B$9:$O$50,H$2,0))</f>
        <v>0</v>
      </c>
      <c r="I135" s="8">
        <f>IF(ISNA(VLOOKUP($B135,'Other Capital Needs'!$C$51:$P$95,I$2,0)),0,VLOOKUP($B135,'Other Capital Needs'!$C$51:$P$95,I$2,0))+IF(ISNA(VLOOKUP('Project Details by Yr - MASTER'!$B135,'Public Grounds'!$A$11:$N$49,I$2,0)),0,VLOOKUP('Project Details by Yr - MASTER'!$B135,'Public Grounds'!$A$11:$N$49,I$2,0))+IF(ISNA(VLOOKUP('Project Details by Yr - MASTER'!$B135,'Public Buildings'!$A$10:$N$96,I$2,0)),0,VLOOKUP('Project Details by Yr - MASTER'!$B135,'Public Buildings'!$A$10:$N$96,I$2,0))+IF(ISNA(VLOOKUP('Project Details by Yr - MASTER'!$B135,Bridges!$A$9:$N$24,I$2,0)),0,VLOOKUP('Project Details by Yr - MASTER'!$B135,Bridges!$A$9:$N$24,I$2,0))+IF(ISNA(VLOOKUP('Project Details by Yr - MASTER'!$B135,'Parking Lots &amp; Playgrounds'!$A$9:$N$33,I$2,0)),0,VLOOKUP('Project Details by Yr - MASTER'!$B135,'Parking Lots &amp; Playgrounds'!$A$9:$N$33,I$2,0))+IF(ISNA(VLOOKUP($B135,Vehicles!$B$9:$O$50,I$2,0)),0,VLOOKUP($B135,Vehicles!$B$9:$O$50,I$2,0))</f>
        <v>0</v>
      </c>
      <c r="J135" s="8">
        <f>IF(ISNA(VLOOKUP($B135,'Other Capital Needs'!$C$51:$P$95,J$2,0)),0,VLOOKUP($B135,'Other Capital Needs'!$C$51:$P$95,J$2,0))+IF(ISNA(VLOOKUP('Project Details by Yr - MASTER'!$B135,'Public Grounds'!$A$11:$N$49,J$2,0)),0,VLOOKUP('Project Details by Yr - MASTER'!$B135,'Public Grounds'!$A$11:$N$49,J$2,0))+IF(ISNA(VLOOKUP('Project Details by Yr - MASTER'!$B135,'Public Buildings'!$A$10:$N$96,J$2,0)),0,VLOOKUP('Project Details by Yr - MASTER'!$B135,'Public Buildings'!$A$10:$N$96,J$2,0))+IF(ISNA(VLOOKUP('Project Details by Yr - MASTER'!$B135,Bridges!$A$9:$N$24,J$2,0)),0,VLOOKUP('Project Details by Yr - MASTER'!$B135,Bridges!$A$9:$N$24,J$2,0))+IF(ISNA(VLOOKUP('Project Details by Yr - MASTER'!$B135,'Parking Lots &amp; Playgrounds'!$A$9:$N$33,J$2,0)),0,VLOOKUP('Project Details by Yr - MASTER'!$B135,'Parking Lots &amp; Playgrounds'!$A$9:$N$33,J$2,0))+IF(ISNA(VLOOKUP($B135,Vehicles!$B$9:$O$50,J$2,0)),0,VLOOKUP($B135,Vehicles!$B$9:$O$50,J$2,0))</f>
        <v>45000</v>
      </c>
      <c r="K135" s="8">
        <f>IF(ISNA(VLOOKUP($B135,'Other Capital Needs'!$C$51:$P$95,K$2,0)),0,VLOOKUP($B135,'Other Capital Needs'!$C$51:$P$95,K$2,0))+IF(ISNA(VLOOKUP('Project Details by Yr - MASTER'!$B135,'Public Grounds'!$A$11:$N$49,K$2,0)),0,VLOOKUP('Project Details by Yr - MASTER'!$B135,'Public Grounds'!$A$11:$N$49,K$2,0))+IF(ISNA(VLOOKUP('Project Details by Yr - MASTER'!$B135,'Public Buildings'!$A$10:$N$96,K$2,0)),0,VLOOKUP('Project Details by Yr - MASTER'!$B135,'Public Buildings'!$A$10:$N$96,K$2,0))+IF(ISNA(VLOOKUP('Project Details by Yr - MASTER'!$B135,Bridges!$A$9:$N$24,K$2,0)),0,VLOOKUP('Project Details by Yr - MASTER'!$B135,Bridges!$A$9:$N$24,K$2,0))+IF(ISNA(VLOOKUP('Project Details by Yr - MASTER'!$B135,'Parking Lots &amp; Playgrounds'!$A$9:$N$33,K$2,0)),0,VLOOKUP('Project Details by Yr - MASTER'!$B135,'Parking Lots &amp; Playgrounds'!$A$9:$N$33,K$2,0))+IF(ISNA(VLOOKUP($B135,Vehicles!$B$9:$O$50,K$2,0)),0,VLOOKUP($B135,Vehicles!$B$9:$O$50,K$2,0))</f>
        <v>0</v>
      </c>
    </row>
    <row r="136" spans="2:11" x14ac:dyDescent="0.25">
      <c r="B136" t="s">
        <v>80</v>
      </c>
      <c r="C136" t="s">
        <v>91</v>
      </c>
      <c r="D136" t="s">
        <v>272</v>
      </c>
      <c r="E136" s="1" t="s">
        <v>16</v>
      </c>
      <c r="G136" s="8">
        <f>IF(ISNA(VLOOKUP($B136,'Other Capital Needs'!$C$51:$P$95,G$2,0)),0,VLOOKUP($B136,'Other Capital Needs'!$C$51:$P$95,G$2,0))+IF(ISNA(VLOOKUP('Project Details by Yr - MASTER'!$B136,'Public Grounds'!$A$11:$N$49,G$2,0)),0,VLOOKUP('Project Details by Yr - MASTER'!$B136,'Public Grounds'!$A$11:$N$49,G$2,0))+IF(ISNA(VLOOKUP('Project Details by Yr - MASTER'!$B136,'Public Buildings'!$A$10:$N$96,G$2,0)),0,VLOOKUP('Project Details by Yr - MASTER'!$B136,'Public Buildings'!$A$10:$N$96,G$2,0))+IF(ISNA(VLOOKUP('Project Details by Yr - MASTER'!$B136,Bridges!$A$9:$N$24,G$2,0)),0,VLOOKUP('Project Details by Yr - MASTER'!$B136,Bridges!$A$9:$N$24,G$2,0))+IF(ISNA(VLOOKUP('Project Details by Yr - MASTER'!$B136,'Parking Lots &amp; Playgrounds'!$A$9:$N$33,G$2,0)),0,VLOOKUP('Project Details by Yr - MASTER'!$B136,'Parking Lots &amp; Playgrounds'!$A$9:$N$33,G$2,0))+IF(ISNA(VLOOKUP($B136,Vehicles!$B$9:$O$50,G$2,0)),0,VLOOKUP($B136,Vehicles!$B$9:$O$50,G$2,0))</f>
        <v>0</v>
      </c>
      <c r="H136" s="8">
        <f>IF(ISNA(VLOOKUP($B136,'Other Capital Needs'!$C$51:$P$95,H$2,0)),0,VLOOKUP($B136,'Other Capital Needs'!$C$51:$P$95,H$2,0))+IF(ISNA(VLOOKUP('Project Details by Yr - MASTER'!$B136,'Public Grounds'!$A$11:$N$49,H$2,0)),0,VLOOKUP('Project Details by Yr - MASTER'!$B136,'Public Grounds'!$A$11:$N$49,H$2,0))+IF(ISNA(VLOOKUP('Project Details by Yr - MASTER'!$B136,'Public Buildings'!$A$10:$N$96,H$2,0)),0,VLOOKUP('Project Details by Yr - MASTER'!$B136,'Public Buildings'!$A$10:$N$96,H$2,0))+IF(ISNA(VLOOKUP('Project Details by Yr - MASTER'!$B136,Bridges!$A$9:$N$24,H$2,0)),0,VLOOKUP('Project Details by Yr - MASTER'!$B136,Bridges!$A$9:$N$24,H$2,0))+IF(ISNA(VLOOKUP('Project Details by Yr - MASTER'!$B136,'Parking Lots &amp; Playgrounds'!$A$9:$N$33,H$2,0)),0,VLOOKUP('Project Details by Yr - MASTER'!$B136,'Parking Lots &amp; Playgrounds'!$A$9:$N$33,H$2,0))+IF(ISNA(VLOOKUP($B136,Vehicles!$B$9:$O$50,H$2,0)),0,VLOOKUP($B136,Vehicles!$B$9:$O$50,H$2,0))</f>
        <v>0</v>
      </c>
      <c r="I136" s="8">
        <f>IF(ISNA(VLOOKUP($B136,'Other Capital Needs'!$C$51:$P$95,I$2,0)),0,VLOOKUP($B136,'Other Capital Needs'!$C$51:$P$95,I$2,0))+IF(ISNA(VLOOKUP('Project Details by Yr - MASTER'!$B136,'Public Grounds'!$A$11:$N$49,I$2,0)),0,VLOOKUP('Project Details by Yr - MASTER'!$B136,'Public Grounds'!$A$11:$N$49,I$2,0))+IF(ISNA(VLOOKUP('Project Details by Yr - MASTER'!$B136,'Public Buildings'!$A$10:$N$96,I$2,0)),0,VLOOKUP('Project Details by Yr - MASTER'!$B136,'Public Buildings'!$A$10:$N$96,I$2,0))+IF(ISNA(VLOOKUP('Project Details by Yr - MASTER'!$B136,Bridges!$A$9:$N$24,I$2,0)),0,VLOOKUP('Project Details by Yr - MASTER'!$B136,Bridges!$A$9:$N$24,I$2,0))+IF(ISNA(VLOOKUP('Project Details by Yr - MASTER'!$B136,'Parking Lots &amp; Playgrounds'!$A$9:$N$33,I$2,0)),0,VLOOKUP('Project Details by Yr - MASTER'!$B136,'Parking Lots &amp; Playgrounds'!$A$9:$N$33,I$2,0))+IF(ISNA(VLOOKUP($B136,Vehicles!$B$9:$O$50,I$2,0)),0,VLOOKUP($B136,Vehicles!$B$9:$O$50,I$2,0))</f>
        <v>0</v>
      </c>
      <c r="J136" s="8">
        <f>IF(ISNA(VLOOKUP($B136,'Other Capital Needs'!$C$51:$P$95,J$2,0)),0,VLOOKUP($B136,'Other Capital Needs'!$C$51:$P$95,J$2,0))+IF(ISNA(VLOOKUP('Project Details by Yr - MASTER'!$B136,'Public Grounds'!$A$11:$N$49,J$2,0)),0,VLOOKUP('Project Details by Yr - MASTER'!$B136,'Public Grounds'!$A$11:$N$49,J$2,0))+IF(ISNA(VLOOKUP('Project Details by Yr - MASTER'!$B136,'Public Buildings'!$A$10:$N$96,J$2,0)),0,VLOOKUP('Project Details by Yr - MASTER'!$B136,'Public Buildings'!$A$10:$N$96,J$2,0))+IF(ISNA(VLOOKUP('Project Details by Yr - MASTER'!$B136,Bridges!$A$9:$N$24,J$2,0)),0,VLOOKUP('Project Details by Yr - MASTER'!$B136,Bridges!$A$9:$N$24,J$2,0))+IF(ISNA(VLOOKUP('Project Details by Yr - MASTER'!$B136,'Parking Lots &amp; Playgrounds'!$A$9:$N$33,J$2,0)),0,VLOOKUP('Project Details by Yr - MASTER'!$B136,'Parking Lots &amp; Playgrounds'!$A$9:$N$33,J$2,0))+IF(ISNA(VLOOKUP($B136,Vehicles!$B$9:$O$50,J$2,0)),0,VLOOKUP($B136,Vehicles!$B$9:$O$50,J$2,0))</f>
        <v>0</v>
      </c>
      <c r="K136" s="8">
        <f>IF(ISNA(VLOOKUP($B136,'Other Capital Needs'!$C$51:$P$95,K$2,0)),0,VLOOKUP($B136,'Other Capital Needs'!$C$51:$P$95,K$2,0))+IF(ISNA(VLOOKUP('Project Details by Yr - MASTER'!$B136,'Public Grounds'!$A$11:$N$49,K$2,0)),0,VLOOKUP('Project Details by Yr - MASTER'!$B136,'Public Grounds'!$A$11:$N$49,K$2,0))+IF(ISNA(VLOOKUP('Project Details by Yr - MASTER'!$B136,'Public Buildings'!$A$10:$N$96,K$2,0)),0,VLOOKUP('Project Details by Yr - MASTER'!$B136,'Public Buildings'!$A$10:$N$96,K$2,0))+IF(ISNA(VLOOKUP('Project Details by Yr - MASTER'!$B136,Bridges!$A$9:$N$24,K$2,0)),0,VLOOKUP('Project Details by Yr - MASTER'!$B136,Bridges!$A$9:$N$24,K$2,0))+IF(ISNA(VLOOKUP('Project Details by Yr - MASTER'!$B136,'Parking Lots &amp; Playgrounds'!$A$9:$N$33,K$2,0)),0,VLOOKUP('Project Details by Yr - MASTER'!$B136,'Parking Lots &amp; Playgrounds'!$A$9:$N$33,K$2,0))+IF(ISNA(VLOOKUP($B136,Vehicles!$B$9:$O$50,K$2,0)),0,VLOOKUP($B136,Vehicles!$B$9:$O$50,K$2,0))</f>
        <v>0</v>
      </c>
    </row>
    <row r="137" spans="2:11" x14ac:dyDescent="0.25">
      <c r="B137" t="s">
        <v>81</v>
      </c>
      <c r="C137" t="s">
        <v>91</v>
      </c>
      <c r="D137" t="s">
        <v>272</v>
      </c>
      <c r="E137" s="1" t="s">
        <v>16</v>
      </c>
      <c r="G137" s="8">
        <f>IF(ISNA(VLOOKUP($B137,'Other Capital Needs'!$C$51:$P$95,G$2,0)),0,VLOOKUP($B137,'Other Capital Needs'!$C$51:$P$95,G$2,0))+IF(ISNA(VLOOKUP('Project Details by Yr - MASTER'!$B137,'Public Grounds'!$A$11:$N$49,G$2,0)),0,VLOOKUP('Project Details by Yr - MASTER'!$B137,'Public Grounds'!$A$11:$N$49,G$2,0))+IF(ISNA(VLOOKUP('Project Details by Yr - MASTER'!$B137,'Public Buildings'!$A$10:$N$96,G$2,0)),0,VLOOKUP('Project Details by Yr - MASTER'!$B137,'Public Buildings'!$A$10:$N$96,G$2,0))+IF(ISNA(VLOOKUP('Project Details by Yr - MASTER'!$B137,Bridges!$A$9:$N$24,G$2,0)),0,VLOOKUP('Project Details by Yr - MASTER'!$B137,Bridges!$A$9:$N$24,G$2,0))+IF(ISNA(VLOOKUP('Project Details by Yr - MASTER'!$B137,'Parking Lots &amp; Playgrounds'!$A$9:$N$33,G$2,0)),0,VLOOKUP('Project Details by Yr - MASTER'!$B137,'Parking Lots &amp; Playgrounds'!$A$9:$N$33,G$2,0))+IF(ISNA(VLOOKUP($B137,Vehicles!$B$9:$O$50,G$2,0)),0,VLOOKUP($B137,Vehicles!$B$9:$O$50,G$2,0))</f>
        <v>0</v>
      </c>
      <c r="H137" s="8">
        <f>IF(ISNA(VLOOKUP($B137,'Other Capital Needs'!$C$51:$P$95,H$2,0)),0,VLOOKUP($B137,'Other Capital Needs'!$C$51:$P$95,H$2,0))+IF(ISNA(VLOOKUP('Project Details by Yr - MASTER'!$B137,'Public Grounds'!$A$11:$N$49,H$2,0)),0,VLOOKUP('Project Details by Yr - MASTER'!$B137,'Public Grounds'!$A$11:$N$49,H$2,0))+IF(ISNA(VLOOKUP('Project Details by Yr - MASTER'!$B137,'Public Buildings'!$A$10:$N$96,H$2,0)),0,VLOOKUP('Project Details by Yr - MASTER'!$B137,'Public Buildings'!$A$10:$N$96,H$2,0))+IF(ISNA(VLOOKUP('Project Details by Yr - MASTER'!$B137,Bridges!$A$9:$N$24,H$2,0)),0,VLOOKUP('Project Details by Yr - MASTER'!$B137,Bridges!$A$9:$N$24,H$2,0))+IF(ISNA(VLOOKUP('Project Details by Yr - MASTER'!$B137,'Parking Lots &amp; Playgrounds'!$A$9:$N$33,H$2,0)),0,VLOOKUP('Project Details by Yr - MASTER'!$B137,'Parking Lots &amp; Playgrounds'!$A$9:$N$33,H$2,0))+IF(ISNA(VLOOKUP($B137,Vehicles!$B$9:$O$50,H$2,0)),0,VLOOKUP($B137,Vehicles!$B$9:$O$50,H$2,0))</f>
        <v>55000</v>
      </c>
      <c r="I137" s="8">
        <f>IF(ISNA(VLOOKUP($B137,'Other Capital Needs'!$C$51:$P$95,I$2,0)),0,VLOOKUP($B137,'Other Capital Needs'!$C$51:$P$95,I$2,0))+IF(ISNA(VLOOKUP('Project Details by Yr - MASTER'!$B137,'Public Grounds'!$A$11:$N$49,I$2,0)),0,VLOOKUP('Project Details by Yr - MASTER'!$B137,'Public Grounds'!$A$11:$N$49,I$2,0))+IF(ISNA(VLOOKUP('Project Details by Yr - MASTER'!$B137,'Public Buildings'!$A$10:$N$96,I$2,0)),0,VLOOKUP('Project Details by Yr - MASTER'!$B137,'Public Buildings'!$A$10:$N$96,I$2,0))+IF(ISNA(VLOOKUP('Project Details by Yr - MASTER'!$B137,Bridges!$A$9:$N$24,I$2,0)),0,VLOOKUP('Project Details by Yr - MASTER'!$B137,Bridges!$A$9:$N$24,I$2,0))+IF(ISNA(VLOOKUP('Project Details by Yr - MASTER'!$B137,'Parking Lots &amp; Playgrounds'!$A$9:$N$33,I$2,0)),0,VLOOKUP('Project Details by Yr - MASTER'!$B137,'Parking Lots &amp; Playgrounds'!$A$9:$N$33,I$2,0))+IF(ISNA(VLOOKUP($B137,Vehicles!$B$9:$O$50,I$2,0)),0,VLOOKUP($B137,Vehicles!$B$9:$O$50,I$2,0))</f>
        <v>0</v>
      </c>
      <c r="J137" s="8">
        <f>IF(ISNA(VLOOKUP($B137,'Other Capital Needs'!$C$51:$P$95,J$2,0)),0,VLOOKUP($B137,'Other Capital Needs'!$C$51:$P$95,J$2,0))+IF(ISNA(VLOOKUP('Project Details by Yr - MASTER'!$B137,'Public Grounds'!$A$11:$N$49,J$2,0)),0,VLOOKUP('Project Details by Yr - MASTER'!$B137,'Public Grounds'!$A$11:$N$49,J$2,0))+IF(ISNA(VLOOKUP('Project Details by Yr - MASTER'!$B137,'Public Buildings'!$A$10:$N$96,J$2,0)),0,VLOOKUP('Project Details by Yr - MASTER'!$B137,'Public Buildings'!$A$10:$N$96,J$2,0))+IF(ISNA(VLOOKUP('Project Details by Yr - MASTER'!$B137,Bridges!$A$9:$N$24,J$2,0)),0,VLOOKUP('Project Details by Yr - MASTER'!$B137,Bridges!$A$9:$N$24,J$2,0))+IF(ISNA(VLOOKUP('Project Details by Yr - MASTER'!$B137,'Parking Lots &amp; Playgrounds'!$A$9:$N$33,J$2,0)),0,VLOOKUP('Project Details by Yr - MASTER'!$B137,'Parking Lots &amp; Playgrounds'!$A$9:$N$33,J$2,0))+IF(ISNA(VLOOKUP($B137,Vehicles!$B$9:$O$50,J$2,0)),0,VLOOKUP($B137,Vehicles!$B$9:$O$50,J$2,0))</f>
        <v>0</v>
      </c>
      <c r="K137" s="8">
        <f>IF(ISNA(VLOOKUP($B137,'Other Capital Needs'!$C$51:$P$95,K$2,0)),0,VLOOKUP($B137,'Other Capital Needs'!$C$51:$P$95,K$2,0))+IF(ISNA(VLOOKUP('Project Details by Yr - MASTER'!$B137,'Public Grounds'!$A$11:$N$49,K$2,0)),0,VLOOKUP('Project Details by Yr - MASTER'!$B137,'Public Grounds'!$A$11:$N$49,K$2,0))+IF(ISNA(VLOOKUP('Project Details by Yr - MASTER'!$B137,'Public Buildings'!$A$10:$N$96,K$2,0)),0,VLOOKUP('Project Details by Yr - MASTER'!$B137,'Public Buildings'!$A$10:$N$96,K$2,0))+IF(ISNA(VLOOKUP('Project Details by Yr - MASTER'!$B137,Bridges!$A$9:$N$24,K$2,0)),0,VLOOKUP('Project Details by Yr - MASTER'!$B137,Bridges!$A$9:$N$24,K$2,0))+IF(ISNA(VLOOKUP('Project Details by Yr - MASTER'!$B137,'Parking Lots &amp; Playgrounds'!$A$9:$N$33,K$2,0)),0,VLOOKUP('Project Details by Yr - MASTER'!$B137,'Parking Lots &amp; Playgrounds'!$A$9:$N$33,K$2,0))+IF(ISNA(VLOOKUP($B137,Vehicles!$B$9:$O$50,K$2,0)),0,VLOOKUP($B137,Vehicles!$B$9:$O$50,K$2,0))</f>
        <v>0</v>
      </c>
    </row>
    <row r="138" spans="2:11" x14ac:dyDescent="0.25">
      <c r="B138" t="s">
        <v>82</v>
      </c>
      <c r="C138" t="s">
        <v>91</v>
      </c>
      <c r="D138" t="s">
        <v>272</v>
      </c>
      <c r="E138" s="1" t="s">
        <v>16</v>
      </c>
      <c r="G138" s="8">
        <f>IF(ISNA(VLOOKUP($B138,'Other Capital Needs'!$C$51:$P$95,G$2,0)),0,VLOOKUP($B138,'Other Capital Needs'!$C$51:$P$95,G$2,0))+IF(ISNA(VLOOKUP('Project Details by Yr - MASTER'!$B138,'Public Grounds'!$A$11:$N$49,G$2,0)),0,VLOOKUP('Project Details by Yr - MASTER'!$B138,'Public Grounds'!$A$11:$N$49,G$2,0))+IF(ISNA(VLOOKUP('Project Details by Yr - MASTER'!$B138,'Public Buildings'!$A$10:$N$96,G$2,0)),0,VLOOKUP('Project Details by Yr - MASTER'!$B138,'Public Buildings'!$A$10:$N$96,G$2,0))+IF(ISNA(VLOOKUP('Project Details by Yr - MASTER'!$B138,Bridges!$A$9:$N$24,G$2,0)),0,VLOOKUP('Project Details by Yr - MASTER'!$B138,Bridges!$A$9:$N$24,G$2,0))+IF(ISNA(VLOOKUP('Project Details by Yr - MASTER'!$B138,'Parking Lots &amp; Playgrounds'!$A$9:$N$33,G$2,0)),0,VLOOKUP('Project Details by Yr - MASTER'!$B138,'Parking Lots &amp; Playgrounds'!$A$9:$N$33,G$2,0))+IF(ISNA(VLOOKUP($B138,Vehicles!$B$9:$O$50,G$2,0)),0,VLOOKUP($B138,Vehicles!$B$9:$O$50,G$2,0))</f>
        <v>0</v>
      </c>
      <c r="H138" s="8">
        <f>IF(ISNA(VLOOKUP($B138,'Other Capital Needs'!$C$51:$P$95,H$2,0)),0,VLOOKUP($B138,'Other Capital Needs'!$C$51:$P$95,H$2,0))+IF(ISNA(VLOOKUP('Project Details by Yr - MASTER'!$B138,'Public Grounds'!$A$11:$N$49,H$2,0)),0,VLOOKUP('Project Details by Yr - MASTER'!$B138,'Public Grounds'!$A$11:$N$49,H$2,0))+IF(ISNA(VLOOKUP('Project Details by Yr - MASTER'!$B138,'Public Buildings'!$A$10:$N$96,H$2,0)),0,VLOOKUP('Project Details by Yr - MASTER'!$B138,'Public Buildings'!$A$10:$N$96,H$2,0))+IF(ISNA(VLOOKUP('Project Details by Yr - MASTER'!$B138,Bridges!$A$9:$N$24,H$2,0)),0,VLOOKUP('Project Details by Yr - MASTER'!$B138,Bridges!$A$9:$N$24,H$2,0))+IF(ISNA(VLOOKUP('Project Details by Yr - MASTER'!$B138,'Parking Lots &amp; Playgrounds'!$A$9:$N$33,H$2,0)),0,VLOOKUP('Project Details by Yr - MASTER'!$B138,'Parking Lots &amp; Playgrounds'!$A$9:$N$33,H$2,0))+IF(ISNA(VLOOKUP($B138,Vehicles!$B$9:$O$50,H$2,0)),0,VLOOKUP($B138,Vehicles!$B$9:$O$50,H$2,0))</f>
        <v>275000</v>
      </c>
      <c r="I138" s="8">
        <f>IF(ISNA(VLOOKUP($B138,'Other Capital Needs'!$C$51:$P$95,I$2,0)),0,VLOOKUP($B138,'Other Capital Needs'!$C$51:$P$95,I$2,0))+IF(ISNA(VLOOKUP('Project Details by Yr - MASTER'!$B138,'Public Grounds'!$A$11:$N$49,I$2,0)),0,VLOOKUP('Project Details by Yr - MASTER'!$B138,'Public Grounds'!$A$11:$N$49,I$2,0))+IF(ISNA(VLOOKUP('Project Details by Yr - MASTER'!$B138,'Public Buildings'!$A$10:$N$96,I$2,0)),0,VLOOKUP('Project Details by Yr - MASTER'!$B138,'Public Buildings'!$A$10:$N$96,I$2,0))+IF(ISNA(VLOOKUP('Project Details by Yr - MASTER'!$B138,Bridges!$A$9:$N$24,I$2,0)),0,VLOOKUP('Project Details by Yr - MASTER'!$B138,Bridges!$A$9:$N$24,I$2,0))+IF(ISNA(VLOOKUP('Project Details by Yr - MASTER'!$B138,'Parking Lots &amp; Playgrounds'!$A$9:$N$33,I$2,0)),0,VLOOKUP('Project Details by Yr - MASTER'!$B138,'Parking Lots &amp; Playgrounds'!$A$9:$N$33,I$2,0))+IF(ISNA(VLOOKUP($B138,Vehicles!$B$9:$O$50,I$2,0)),0,VLOOKUP($B138,Vehicles!$B$9:$O$50,I$2,0))</f>
        <v>0</v>
      </c>
      <c r="J138" s="8">
        <f>IF(ISNA(VLOOKUP($B138,'Other Capital Needs'!$C$51:$P$95,J$2,0)),0,VLOOKUP($B138,'Other Capital Needs'!$C$51:$P$95,J$2,0))+IF(ISNA(VLOOKUP('Project Details by Yr - MASTER'!$B138,'Public Grounds'!$A$11:$N$49,J$2,0)),0,VLOOKUP('Project Details by Yr - MASTER'!$B138,'Public Grounds'!$A$11:$N$49,J$2,0))+IF(ISNA(VLOOKUP('Project Details by Yr - MASTER'!$B138,'Public Buildings'!$A$10:$N$96,J$2,0)),0,VLOOKUP('Project Details by Yr - MASTER'!$B138,'Public Buildings'!$A$10:$N$96,J$2,0))+IF(ISNA(VLOOKUP('Project Details by Yr - MASTER'!$B138,Bridges!$A$9:$N$24,J$2,0)),0,VLOOKUP('Project Details by Yr - MASTER'!$B138,Bridges!$A$9:$N$24,J$2,0))+IF(ISNA(VLOOKUP('Project Details by Yr - MASTER'!$B138,'Parking Lots &amp; Playgrounds'!$A$9:$N$33,J$2,0)),0,VLOOKUP('Project Details by Yr - MASTER'!$B138,'Parking Lots &amp; Playgrounds'!$A$9:$N$33,J$2,0))+IF(ISNA(VLOOKUP($B138,Vehicles!$B$9:$O$50,J$2,0)),0,VLOOKUP($B138,Vehicles!$B$9:$O$50,J$2,0))</f>
        <v>0</v>
      </c>
      <c r="K138" s="8">
        <f>IF(ISNA(VLOOKUP($B138,'Other Capital Needs'!$C$51:$P$95,K$2,0)),0,VLOOKUP($B138,'Other Capital Needs'!$C$51:$P$95,K$2,0))+IF(ISNA(VLOOKUP('Project Details by Yr - MASTER'!$B138,'Public Grounds'!$A$11:$N$49,K$2,0)),0,VLOOKUP('Project Details by Yr - MASTER'!$B138,'Public Grounds'!$A$11:$N$49,K$2,0))+IF(ISNA(VLOOKUP('Project Details by Yr - MASTER'!$B138,'Public Buildings'!$A$10:$N$96,K$2,0)),0,VLOOKUP('Project Details by Yr - MASTER'!$B138,'Public Buildings'!$A$10:$N$96,K$2,0))+IF(ISNA(VLOOKUP('Project Details by Yr - MASTER'!$B138,Bridges!$A$9:$N$24,K$2,0)),0,VLOOKUP('Project Details by Yr - MASTER'!$B138,Bridges!$A$9:$N$24,K$2,0))+IF(ISNA(VLOOKUP('Project Details by Yr - MASTER'!$B138,'Parking Lots &amp; Playgrounds'!$A$9:$N$33,K$2,0)),0,VLOOKUP('Project Details by Yr - MASTER'!$B138,'Parking Lots &amp; Playgrounds'!$A$9:$N$33,K$2,0))+IF(ISNA(VLOOKUP($B138,Vehicles!$B$9:$O$50,K$2,0)),0,VLOOKUP($B138,Vehicles!$B$9:$O$50,K$2,0))</f>
        <v>0</v>
      </c>
    </row>
    <row r="139" spans="2:11" x14ac:dyDescent="0.25">
      <c r="B139" t="s">
        <v>83</v>
      </c>
      <c r="C139" t="s">
        <v>91</v>
      </c>
      <c r="D139" t="s">
        <v>272</v>
      </c>
      <c r="E139" s="1" t="s">
        <v>16</v>
      </c>
      <c r="G139" s="8">
        <f>IF(ISNA(VLOOKUP($B139,'Other Capital Needs'!$C$51:$P$95,G$2,0)),0,VLOOKUP($B139,'Other Capital Needs'!$C$51:$P$95,G$2,0))+IF(ISNA(VLOOKUP('Project Details by Yr - MASTER'!$B139,'Public Grounds'!$A$11:$N$49,G$2,0)),0,VLOOKUP('Project Details by Yr - MASTER'!$B139,'Public Grounds'!$A$11:$N$49,G$2,0))+IF(ISNA(VLOOKUP('Project Details by Yr - MASTER'!$B139,'Public Buildings'!$A$10:$N$96,G$2,0)),0,VLOOKUP('Project Details by Yr - MASTER'!$B139,'Public Buildings'!$A$10:$N$96,G$2,0))+IF(ISNA(VLOOKUP('Project Details by Yr - MASTER'!$B139,Bridges!$A$9:$N$24,G$2,0)),0,VLOOKUP('Project Details by Yr - MASTER'!$B139,Bridges!$A$9:$N$24,G$2,0))+IF(ISNA(VLOOKUP('Project Details by Yr - MASTER'!$B139,'Parking Lots &amp; Playgrounds'!$A$9:$N$33,G$2,0)),0,VLOOKUP('Project Details by Yr - MASTER'!$B139,'Parking Lots &amp; Playgrounds'!$A$9:$N$33,G$2,0))+IF(ISNA(VLOOKUP($B139,Vehicles!$B$9:$O$50,G$2,0)),0,VLOOKUP($B139,Vehicles!$B$9:$O$50,G$2,0))</f>
        <v>0</v>
      </c>
      <c r="H139" s="8">
        <f>IF(ISNA(VLOOKUP($B139,'Other Capital Needs'!$C$51:$P$95,H$2,0)),0,VLOOKUP($B139,'Other Capital Needs'!$C$51:$P$95,H$2,0))+IF(ISNA(VLOOKUP('Project Details by Yr - MASTER'!$B139,'Public Grounds'!$A$11:$N$49,H$2,0)),0,VLOOKUP('Project Details by Yr - MASTER'!$B139,'Public Grounds'!$A$11:$N$49,H$2,0))+IF(ISNA(VLOOKUP('Project Details by Yr - MASTER'!$B139,'Public Buildings'!$A$10:$N$96,H$2,0)),0,VLOOKUP('Project Details by Yr - MASTER'!$B139,'Public Buildings'!$A$10:$N$96,H$2,0))+IF(ISNA(VLOOKUP('Project Details by Yr - MASTER'!$B139,Bridges!$A$9:$N$24,H$2,0)),0,VLOOKUP('Project Details by Yr - MASTER'!$B139,Bridges!$A$9:$N$24,H$2,0))+IF(ISNA(VLOOKUP('Project Details by Yr - MASTER'!$B139,'Parking Lots &amp; Playgrounds'!$A$9:$N$33,H$2,0)),0,VLOOKUP('Project Details by Yr - MASTER'!$B139,'Parking Lots &amp; Playgrounds'!$A$9:$N$33,H$2,0))+IF(ISNA(VLOOKUP($B139,Vehicles!$B$9:$O$50,H$2,0)),0,VLOOKUP($B139,Vehicles!$B$9:$O$50,H$2,0))</f>
        <v>0</v>
      </c>
      <c r="I139" s="8">
        <f>IF(ISNA(VLOOKUP($B139,'Other Capital Needs'!$C$51:$P$95,I$2,0)),0,VLOOKUP($B139,'Other Capital Needs'!$C$51:$P$95,I$2,0))+IF(ISNA(VLOOKUP('Project Details by Yr - MASTER'!$B139,'Public Grounds'!$A$11:$N$49,I$2,0)),0,VLOOKUP('Project Details by Yr - MASTER'!$B139,'Public Grounds'!$A$11:$N$49,I$2,0))+IF(ISNA(VLOOKUP('Project Details by Yr - MASTER'!$B139,'Public Buildings'!$A$10:$N$96,I$2,0)),0,VLOOKUP('Project Details by Yr - MASTER'!$B139,'Public Buildings'!$A$10:$N$96,I$2,0))+IF(ISNA(VLOOKUP('Project Details by Yr - MASTER'!$B139,Bridges!$A$9:$N$24,I$2,0)),0,VLOOKUP('Project Details by Yr - MASTER'!$B139,Bridges!$A$9:$N$24,I$2,0))+IF(ISNA(VLOOKUP('Project Details by Yr - MASTER'!$B139,'Parking Lots &amp; Playgrounds'!$A$9:$N$33,I$2,0)),0,VLOOKUP('Project Details by Yr - MASTER'!$B139,'Parking Lots &amp; Playgrounds'!$A$9:$N$33,I$2,0))+IF(ISNA(VLOOKUP($B139,Vehicles!$B$9:$O$50,I$2,0)),0,VLOOKUP($B139,Vehicles!$B$9:$O$50,I$2,0))</f>
        <v>235000</v>
      </c>
      <c r="J139" s="8">
        <f>IF(ISNA(VLOOKUP($B139,'Other Capital Needs'!$C$51:$P$95,J$2,0)),0,VLOOKUP($B139,'Other Capital Needs'!$C$51:$P$95,J$2,0))+IF(ISNA(VLOOKUP('Project Details by Yr - MASTER'!$B139,'Public Grounds'!$A$11:$N$49,J$2,0)),0,VLOOKUP('Project Details by Yr - MASTER'!$B139,'Public Grounds'!$A$11:$N$49,J$2,0))+IF(ISNA(VLOOKUP('Project Details by Yr - MASTER'!$B139,'Public Buildings'!$A$10:$N$96,J$2,0)),0,VLOOKUP('Project Details by Yr - MASTER'!$B139,'Public Buildings'!$A$10:$N$96,J$2,0))+IF(ISNA(VLOOKUP('Project Details by Yr - MASTER'!$B139,Bridges!$A$9:$N$24,J$2,0)),0,VLOOKUP('Project Details by Yr - MASTER'!$B139,Bridges!$A$9:$N$24,J$2,0))+IF(ISNA(VLOOKUP('Project Details by Yr - MASTER'!$B139,'Parking Lots &amp; Playgrounds'!$A$9:$N$33,J$2,0)),0,VLOOKUP('Project Details by Yr - MASTER'!$B139,'Parking Lots &amp; Playgrounds'!$A$9:$N$33,J$2,0))+IF(ISNA(VLOOKUP($B139,Vehicles!$B$9:$O$50,J$2,0)),0,VLOOKUP($B139,Vehicles!$B$9:$O$50,J$2,0))</f>
        <v>0</v>
      </c>
      <c r="K139" s="8">
        <f>IF(ISNA(VLOOKUP($B139,'Other Capital Needs'!$C$51:$P$95,K$2,0)),0,VLOOKUP($B139,'Other Capital Needs'!$C$51:$P$95,K$2,0))+IF(ISNA(VLOOKUP('Project Details by Yr - MASTER'!$B139,'Public Grounds'!$A$11:$N$49,K$2,0)),0,VLOOKUP('Project Details by Yr - MASTER'!$B139,'Public Grounds'!$A$11:$N$49,K$2,0))+IF(ISNA(VLOOKUP('Project Details by Yr - MASTER'!$B139,'Public Buildings'!$A$10:$N$96,K$2,0)),0,VLOOKUP('Project Details by Yr - MASTER'!$B139,'Public Buildings'!$A$10:$N$96,K$2,0))+IF(ISNA(VLOOKUP('Project Details by Yr - MASTER'!$B139,Bridges!$A$9:$N$24,K$2,0)),0,VLOOKUP('Project Details by Yr - MASTER'!$B139,Bridges!$A$9:$N$24,K$2,0))+IF(ISNA(VLOOKUP('Project Details by Yr - MASTER'!$B139,'Parking Lots &amp; Playgrounds'!$A$9:$N$33,K$2,0)),0,VLOOKUP('Project Details by Yr - MASTER'!$B139,'Parking Lots &amp; Playgrounds'!$A$9:$N$33,K$2,0))+IF(ISNA(VLOOKUP($B139,Vehicles!$B$9:$O$50,K$2,0)),0,VLOOKUP($B139,Vehicles!$B$9:$O$50,K$2,0))</f>
        <v>0</v>
      </c>
    </row>
    <row r="140" spans="2:11" x14ac:dyDescent="0.25">
      <c r="B140" t="s">
        <v>84</v>
      </c>
      <c r="C140" t="s">
        <v>91</v>
      </c>
      <c r="D140" t="s">
        <v>272</v>
      </c>
      <c r="E140" s="1" t="s">
        <v>16</v>
      </c>
      <c r="G140" s="8">
        <f>IF(ISNA(VLOOKUP($B140,'Other Capital Needs'!$C$51:$P$95,G$2,0)),0,VLOOKUP($B140,'Other Capital Needs'!$C$51:$P$95,G$2,0))+IF(ISNA(VLOOKUP('Project Details by Yr - MASTER'!$B140,'Public Grounds'!$A$11:$N$49,G$2,0)),0,VLOOKUP('Project Details by Yr - MASTER'!$B140,'Public Grounds'!$A$11:$N$49,G$2,0))+IF(ISNA(VLOOKUP('Project Details by Yr - MASTER'!$B140,'Public Buildings'!$A$10:$N$96,G$2,0)),0,VLOOKUP('Project Details by Yr - MASTER'!$B140,'Public Buildings'!$A$10:$N$96,G$2,0))+IF(ISNA(VLOOKUP('Project Details by Yr - MASTER'!$B140,Bridges!$A$9:$N$24,G$2,0)),0,VLOOKUP('Project Details by Yr - MASTER'!$B140,Bridges!$A$9:$N$24,G$2,0))+IF(ISNA(VLOOKUP('Project Details by Yr - MASTER'!$B140,'Parking Lots &amp; Playgrounds'!$A$9:$N$33,G$2,0)),0,VLOOKUP('Project Details by Yr - MASTER'!$B140,'Parking Lots &amp; Playgrounds'!$A$9:$N$33,G$2,0))+IF(ISNA(VLOOKUP($B140,Vehicles!$B$9:$O$50,G$2,0)),0,VLOOKUP($B140,Vehicles!$B$9:$O$50,G$2,0))</f>
        <v>0</v>
      </c>
      <c r="H140" s="8">
        <f>IF(ISNA(VLOOKUP($B140,'Other Capital Needs'!$C$51:$P$95,H$2,0)),0,VLOOKUP($B140,'Other Capital Needs'!$C$51:$P$95,H$2,0))+IF(ISNA(VLOOKUP('Project Details by Yr - MASTER'!$B140,'Public Grounds'!$A$11:$N$49,H$2,0)),0,VLOOKUP('Project Details by Yr - MASTER'!$B140,'Public Grounds'!$A$11:$N$49,H$2,0))+IF(ISNA(VLOOKUP('Project Details by Yr - MASTER'!$B140,'Public Buildings'!$A$10:$N$96,H$2,0)),0,VLOOKUP('Project Details by Yr - MASTER'!$B140,'Public Buildings'!$A$10:$N$96,H$2,0))+IF(ISNA(VLOOKUP('Project Details by Yr - MASTER'!$B140,Bridges!$A$9:$N$24,H$2,0)),0,VLOOKUP('Project Details by Yr - MASTER'!$B140,Bridges!$A$9:$N$24,H$2,0))+IF(ISNA(VLOOKUP('Project Details by Yr - MASTER'!$B140,'Parking Lots &amp; Playgrounds'!$A$9:$N$33,H$2,0)),0,VLOOKUP('Project Details by Yr - MASTER'!$B140,'Parking Lots &amp; Playgrounds'!$A$9:$N$33,H$2,0))+IF(ISNA(VLOOKUP($B140,Vehicles!$B$9:$O$50,H$2,0)),0,VLOOKUP($B140,Vehicles!$B$9:$O$50,H$2,0))</f>
        <v>0</v>
      </c>
      <c r="I140" s="8">
        <f>IF(ISNA(VLOOKUP($B140,'Other Capital Needs'!$C$51:$P$95,I$2,0)),0,VLOOKUP($B140,'Other Capital Needs'!$C$51:$P$95,I$2,0))+IF(ISNA(VLOOKUP('Project Details by Yr - MASTER'!$B140,'Public Grounds'!$A$11:$N$49,I$2,0)),0,VLOOKUP('Project Details by Yr - MASTER'!$B140,'Public Grounds'!$A$11:$N$49,I$2,0))+IF(ISNA(VLOOKUP('Project Details by Yr - MASTER'!$B140,'Public Buildings'!$A$10:$N$96,I$2,0)),0,VLOOKUP('Project Details by Yr - MASTER'!$B140,'Public Buildings'!$A$10:$N$96,I$2,0))+IF(ISNA(VLOOKUP('Project Details by Yr - MASTER'!$B140,Bridges!$A$9:$N$24,I$2,0)),0,VLOOKUP('Project Details by Yr - MASTER'!$B140,Bridges!$A$9:$N$24,I$2,0))+IF(ISNA(VLOOKUP('Project Details by Yr - MASTER'!$B140,'Parking Lots &amp; Playgrounds'!$A$9:$N$33,I$2,0)),0,VLOOKUP('Project Details by Yr - MASTER'!$B140,'Parking Lots &amp; Playgrounds'!$A$9:$N$33,I$2,0))+IF(ISNA(VLOOKUP($B140,Vehicles!$B$9:$O$50,I$2,0)),0,VLOOKUP($B140,Vehicles!$B$9:$O$50,I$2,0))</f>
        <v>16000</v>
      </c>
      <c r="J140" s="8">
        <f>IF(ISNA(VLOOKUP($B140,'Other Capital Needs'!$C$51:$P$95,J$2,0)),0,VLOOKUP($B140,'Other Capital Needs'!$C$51:$P$95,J$2,0))+IF(ISNA(VLOOKUP('Project Details by Yr - MASTER'!$B140,'Public Grounds'!$A$11:$N$49,J$2,0)),0,VLOOKUP('Project Details by Yr - MASTER'!$B140,'Public Grounds'!$A$11:$N$49,J$2,0))+IF(ISNA(VLOOKUP('Project Details by Yr - MASTER'!$B140,'Public Buildings'!$A$10:$N$96,J$2,0)),0,VLOOKUP('Project Details by Yr - MASTER'!$B140,'Public Buildings'!$A$10:$N$96,J$2,0))+IF(ISNA(VLOOKUP('Project Details by Yr - MASTER'!$B140,Bridges!$A$9:$N$24,J$2,0)),0,VLOOKUP('Project Details by Yr - MASTER'!$B140,Bridges!$A$9:$N$24,J$2,0))+IF(ISNA(VLOOKUP('Project Details by Yr - MASTER'!$B140,'Parking Lots &amp; Playgrounds'!$A$9:$N$33,J$2,0)),0,VLOOKUP('Project Details by Yr - MASTER'!$B140,'Parking Lots &amp; Playgrounds'!$A$9:$N$33,J$2,0))+IF(ISNA(VLOOKUP($B140,Vehicles!$B$9:$O$50,J$2,0)),0,VLOOKUP($B140,Vehicles!$B$9:$O$50,J$2,0))</f>
        <v>0</v>
      </c>
      <c r="K140" s="8">
        <f>IF(ISNA(VLOOKUP($B140,'Other Capital Needs'!$C$51:$P$95,K$2,0)),0,VLOOKUP($B140,'Other Capital Needs'!$C$51:$P$95,K$2,0))+IF(ISNA(VLOOKUP('Project Details by Yr - MASTER'!$B140,'Public Grounds'!$A$11:$N$49,K$2,0)),0,VLOOKUP('Project Details by Yr - MASTER'!$B140,'Public Grounds'!$A$11:$N$49,K$2,0))+IF(ISNA(VLOOKUP('Project Details by Yr - MASTER'!$B140,'Public Buildings'!$A$10:$N$96,K$2,0)),0,VLOOKUP('Project Details by Yr - MASTER'!$B140,'Public Buildings'!$A$10:$N$96,K$2,0))+IF(ISNA(VLOOKUP('Project Details by Yr - MASTER'!$B140,Bridges!$A$9:$N$24,K$2,0)),0,VLOOKUP('Project Details by Yr - MASTER'!$B140,Bridges!$A$9:$N$24,K$2,0))+IF(ISNA(VLOOKUP('Project Details by Yr - MASTER'!$B140,'Parking Lots &amp; Playgrounds'!$A$9:$N$33,K$2,0)),0,VLOOKUP('Project Details by Yr - MASTER'!$B140,'Parking Lots &amp; Playgrounds'!$A$9:$N$33,K$2,0))+IF(ISNA(VLOOKUP($B140,Vehicles!$B$9:$O$50,K$2,0)),0,VLOOKUP($B140,Vehicles!$B$9:$O$50,K$2,0))</f>
        <v>0</v>
      </c>
    </row>
    <row r="141" spans="2:11" x14ac:dyDescent="0.25">
      <c r="B141" t="s">
        <v>97</v>
      </c>
      <c r="C141" t="s">
        <v>91</v>
      </c>
      <c r="D141" t="s">
        <v>272</v>
      </c>
      <c r="E141" s="1" t="s">
        <v>16</v>
      </c>
      <c r="G141" s="8">
        <f>IF(ISNA(VLOOKUP($B141,'Other Capital Needs'!$C$51:$P$95,G$2,0)),0,VLOOKUP($B141,'Other Capital Needs'!$C$51:$P$95,G$2,0))+IF(ISNA(VLOOKUP('Project Details by Yr - MASTER'!$B141,'Public Grounds'!$A$11:$N$49,G$2,0)),0,VLOOKUP('Project Details by Yr - MASTER'!$B141,'Public Grounds'!$A$11:$N$49,G$2,0))+IF(ISNA(VLOOKUP('Project Details by Yr - MASTER'!$B141,'Public Buildings'!$A$10:$N$96,G$2,0)),0,VLOOKUP('Project Details by Yr - MASTER'!$B141,'Public Buildings'!$A$10:$N$96,G$2,0))+IF(ISNA(VLOOKUP('Project Details by Yr - MASTER'!$B141,Bridges!$A$9:$N$24,G$2,0)),0,VLOOKUP('Project Details by Yr - MASTER'!$B141,Bridges!$A$9:$N$24,G$2,0))+IF(ISNA(VLOOKUP('Project Details by Yr - MASTER'!$B141,'Parking Lots &amp; Playgrounds'!$A$9:$N$33,G$2,0)),0,VLOOKUP('Project Details by Yr - MASTER'!$B141,'Parking Lots &amp; Playgrounds'!$A$9:$N$33,G$2,0))+IF(ISNA(VLOOKUP($B141,Vehicles!$B$9:$O$50,G$2,0)),0,VLOOKUP($B141,Vehicles!$B$9:$O$50,G$2,0))</f>
        <v>0</v>
      </c>
      <c r="H141" s="8">
        <f>IF(ISNA(VLOOKUP($B141,'Other Capital Needs'!$C$51:$P$95,H$2,0)),0,VLOOKUP($B141,'Other Capital Needs'!$C$51:$P$95,H$2,0))+IF(ISNA(VLOOKUP('Project Details by Yr - MASTER'!$B141,'Public Grounds'!$A$11:$N$49,H$2,0)),0,VLOOKUP('Project Details by Yr - MASTER'!$B141,'Public Grounds'!$A$11:$N$49,H$2,0))+IF(ISNA(VLOOKUP('Project Details by Yr - MASTER'!$B141,'Public Buildings'!$A$10:$N$96,H$2,0)),0,VLOOKUP('Project Details by Yr - MASTER'!$B141,'Public Buildings'!$A$10:$N$96,H$2,0))+IF(ISNA(VLOOKUP('Project Details by Yr - MASTER'!$B141,Bridges!$A$9:$N$24,H$2,0)),0,VLOOKUP('Project Details by Yr - MASTER'!$B141,Bridges!$A$9:$N$24,H$2,0))+IF(ISNA(VLOOKUP('Project Details by Yr - MASTER'!$B141,'Parking Lots &amp; Playgrounds'!$A$9:$N$33,H$2,0)),0,VLOOKUP('Project Details by Yr - MASTER'!$B141,'Parking Lots &amp; Playgrounds'!$A$9:$N$33,H$2,0))+IF(ISNA(VLOOKUP($B141,Vehicles!$B$9:$O$50,H$2,0)),0,VLOOKUP($B141,Vehicles!$B$9:$O$50,H$2,0))</f>
        <v>0</v>
      </c>
      <c r="I141" s="8">
        <f>IF(ISNA(VLOOKUP($B141,'Other Capital Needs'!$C$51:$P$95,I$2,0)),0,VLOOKUP($B141,'Other Capital Needs'!$C$51:$P$95,I$2,0))+IF(ISNA(VLOOKUP('Project Details by Yr - MASTER'!$B141,'Public Grounds'!$A$11:$N$49,I$2,0)),0,VLOOKUP('Project Details by Yr - MASTER'!$B141,'Public Grounds'!$A$11:$N$49,I$2,0))+IF(ISNA(VLOOKUP('Project Details by Yr - MASTER'!$B141,'Public Buildings'!$A$10:$N$96,I$2,0)),0,VLOOKUP('Project Details by Yr - MASTER'!$B141,'Public Buildings'!$A$10:$N$96,I$2,0))+IF(ISNA(VLOOKUP('Project Details by Yr - MASTER'!$B141,Bridges!$A$9:$N$24,I$2,0)),0,VLOOKUP('Project Details by Yr - MASTER'!$B141,Bridges!$A$9:$N$24,I$2,0))+IF(ISNA(VLOOKUP('Project Details by Yr - MASTER'!$B141,'Parking Lots &amp; Playgrounds'!$A$9:$N$33,I$2,0)),0,VLOOKUP('Project Details by Yr - MASTER'!$B141,'Parking Lots &amp; Playgrounds'!$A$9:$N$33,I$2,0))+IF(ISNA(VLOOKUP($B141,Vehicles!$B$9:$O$50,I$2,0)),0,VLOOKUP($B141,Vehicles!$B$9:$O$50,I$2,0))</f>
        <v>0</v>
      </c>
      <c r="J141" s="8">
        <f>IF(ISNA(VLOOKUP($B141,'Other Capital Needs'!$C$51:$P$95,J$2,0)),0,VLOOKUP($B141,'Other Capital Needs'!$C$51:$P$95,J$2,0))+IF(ISNA(VLOOKUP('Project Details by Yr - MASTER'!$B141,'Public Grounds'!$A$11:$N$49,J$2,0)),0,VLOOKUP('Project Details by Yr - MASTER'!$B141,'Public Grounds'!$A$11:$N$49,J$2,0))+IF(ISNA(VLOOKUP('Project Details by Yr - MASTER'!$B141,'Public Buildings'!$A$10:$N$96,J$2,0)),0,VLOOKUP('Project Details by Yr - MASTER'!$B141,'Public Buildings'!$A$10:$N$96,J$2,0))+IF(ISNA(VLOOKUP('Project Details by Yr - MASTER'!$B141,Bridges!$A$9:$N$24,J$2,0)),0,VLOOKUP('Project Details by Yr - MASTER'!$B141,Bridges!$A$9:$N$24,J$2,0))+IF(ISNA(VLOOKUP('Project Details by Yr - MASTER'!$B141,'Parking Lots &amp; Playgrounds'!$A$9:$N$33,J$2,0)),0,VLOOKUP('Project Details by Yr - MASTER'!$B141,'Parking Lots &amp; Playgrounds'!$A$9:$N$33,J$2,0))+IF(ISNA(VLOOKUP($B141,Vehicles!$B$9:$O$50,J$2,0)),0,VLOOKUP($B141,Vehicles!$B$9:$O$50,J$2,0))</f>
        <v>325000</v>
      </c>
      <c r="K141" s="8">
        <f>IF(ISNA(VLOOKUP($B141,'Other Capital Needs'!$C$51:$P$95,K$2,0)),0,VLOOKUP($B141,'Other Capital Needs'!$C$51:$P$95,K$2,0))+IF(ISNA(VLOOKUP('Project Details by Yr - MASTER'!$B141,'Public Grounds'!$A$11:$N$49,K$2,0)),0,VLOOKUP('Project Details by Yr - MASTER'!$B141,'Public Grounds'!$A$11:$N$49,K$2,0))+IF(ISNA(VLOOKUP('Project Details by Yr - MASTER'!$B141,'Public Buildings'!$A$10:$N$96,K$2,0)),0,VLOOKUP('Project Details by Yr - MASTER'!$B141,'Public Buildings'!$A$10:$N$96,K$2,0))+IF(ISNA(VLOOKUP('Project Details by Yr - MASTER'!$B141,Bridges!$A$9:$N$24,K$2,0)),0,VLOOKUP('Project Details by Yr - MASTER'!$B141,Bridges!$A$9:$N$24,K$2,0))+IF(ISNA(VLOOKUP('Project Details by Yr - MASTER'!$B141,'Parking Lots &amp; Playgrounds'!$A$9:$N$33,K$2,0)),0,VLOOKUP('Project Details by Yr - MASTER'!$B141,'Parking Lots &amp; Playgrounds'!$A$9:$N$33,K$2,0))+IF(ISNA(VLOOKUP($B141,Vehicles!$B$9:$O$50,K$2,0)),0,VLOOKUP($B141,Vehicles!$B$9:$O$50,K$2,0))</f>
        <v>0</v>
      </c>
    </row>
    <row r="142" spans="2:11" x14ac:dyDescent="0.25">
      <c r="B142" t="s">
        <v>85</v>
      </c>
      <c r="C142" t="s">
        <v>91</v>
      </c>
      <c r="D142" t="s">
        <v>272</v>
      </c>
      <c r="E142" s="1" t="s">
        <v>16</v>
      </c>
      <c r="G142" s="8">
        <f>IF(ISNA(VLOOKUP($B142,'Other Capital Needs'!$C$51:$P$95,G$2,0)),0,VLOOKUP($B142,'Other Capital Needs'!$C$51:$P$95,G$2,0))+IF(ISNA(VLOOKUP('Project Details by Yr - MASTER'!$B142,'Public Grounds'!$A$11:$N$49,G$2,0)),0,VLOOKUP('Project Details by Yr - MASTER'!$B142,'Public Grounds'!$A$11:$N$49,G$2,0))+IF(ISNA(VLOOKUP('Project Details by Yr - MASTER'!$B142,'Public Buildings'!$A$10:$N$96,G$2,0)),0,VLOOKUP('Project Details by Yr - MASTER'!$B142,'Public Buildings'!$A$10:$N$96,G$2,0))+IF(ISNA(VLOOKUP('Project Details by Yr - MASTER'!$B142,Bridges!$A$9:$N$24,G$2,0)),0,VLOOKUP('Project Details by Yr - MASTER'!$B142,Bridges!$A$9:$N$24,G$2,0))+IF(ISNA(VLOOKUP('Project Details by Yr - MASTER'!$B142,'Parking Lots &amp; Playgrounds'!$A$9:$N$33,G$2,0)),0,VLOOKUP('Project Details by Yr - MASTER'!$B142,'Parking Lots &amp; Playgrounds'!$A$9:$N$33,G$2,0))+IF(ISNA(VLOOKUP($B142,Vehicles!$B$9:$O$50,G$2,0)),0,VLOOKUP($B142,Vehicles!$B$9:$O$50,G$2,0))</f>
        <v>0</v>
      </c>
      <c r="H142" s="8">
        <f>IF(ISNA(VLOOKUP($B142,'Other Capital Needs'!$C$51:$P$95,H$2,0)),0,VLOOKUP($B142,'Other Capital Needs'!$C$51:$P$95,H$2,0))+IF(ISNA(VLOOKUP('Project Details by Yr - MASTER'!$B142,'Public Grounds'!$A$11:$N$49,H$2,0)),0,VLOOKUP('Project Details by Yr - MASTER'!$B142,'Public Grounds'!$A$11:$N$49,H$2,0))+IF(ISNA(VLOOKUP('Project Details by Yr - MASTER'!$B142,'Public Buildings'!$A$10:$N$96,H$2,0)),0,VLOOKUP('Project Details by Yr - MASTER'!$B142,'Public Buildings'!$A$10:$N$96,H$2,0))+IF(ISNA(VLOOKUP('Project Details by Yr - MASTER'!$B142,Bridges!$A$9:$N$24,H$2,0)),0,VLOOKUP('Project Details by Yr - MASTER'!$B142,Bridges!$A$9:$N$24,H$2,0))+IF(ISNA(VLOOKUP('Project Details by Yr - MASTER'!$B142,'Parking Lots &amp; Playgrounds'!$A$9:$N$33,H$2,0)),0,VLOOKUP('Project Details by Yr - MASTER'!$B142,'Parking Lots &amp; Playgrounds'!$A$9:$N$33,H$2,0))+IF(ISNA(VLOOKUP($B142,Vehicles!$B$9:$O$50,H$2,0)),0,VLOOKUP($B142,Vehicles!$B$9:$O$50,H$2,0))</f>
        <v>0</v>
      </c>
      <c r="I142" s="8">
        <f>IF(ISNA(VLOOKUP($B142,'Other Capital Needs'!$C$51:$P$95,I$2,0)),0,VLOOKUP($B142,'Other Capital Needs'!$C$51:$P$95,I$2,0))+IF(ISNA(VLOOKUP('Project Details by Yr - MASTER'!$B142,'Public Grounds'!$A$11:$N$49,I$2,0)),0,VLOOKUP('Project Details by Yr - MASTER'!$B142,'Public Grounds'!$A$11:$N$49,I$2,0))+IF(ISNA(VLOOKUP('Project Details by Yr - MASTER'!$B142,'Public Buildings'!$A$10:$N$96,I$2,0)),0,VLOOKUP('Project Details by Yr - MASTER'!$B142,'Public Buildings'!$A$10:$N$96,I$2,0))+IF(ISNA(VLOOKUP('Project Details by Yr - MASTER'!$B142,Bridges!$A$9:$N$24,I$2,0)),0,VLOOKUP('Project Details by Yr - MASTER'!$B142,Bridges!$A$9:$N$24,I$2,0))+IF(ISNA(VLOOKUP('Project Details by Yr - MASTER'!$B142,'Parking Lots &amp; Playgrounds'!$A$9:$N$33,I$2,0)),0,VLOOKUP('Project Details by Yr - MASTER'!$B142,'Parking Lots &amp; Playgrounds'!$A$9:$N$33,I$2,0))+IF(ISNA(VLOOKUP($B142,Vehicles!$B$9:$O$50,I$2,0)),0,VLOOKUP($B142,Vehicles!$B$9:$O$50,I$2,0))</f>
        <v>0</v>
      </c>
      <c r="J142" s="8">
        <f>IF(ISNA(VLOOKUP($B142,'Other Capital Needs'!$C$51:$P$95,J$2,0)),0,VLOOKUP($B142,'Other Capital Needs'!$C$51:$P$95,J$2,0))+IF(ISNA(VLOOKUP('Project Details by Yr - MASTER'!$B142,'Public Grounds'!$A$11:$N$49,J$2,0)),0,VLOOKUP('Project Details by Yr - MASTER'!$B142,'Public Grounds'!$A$11:$N$49,J$2,0))+IF(ISNA(VLOOKUP('Project Details by Yr - MASTER'!$B142,'Public Buildings'!$A$10:$N$96,J$2,0)),0,VLOOKUP('Project Details by Yr - MASTER'!$B142,'Public Buildings'!$A$10:$N$96,J$2,0))+IF(ISNA(VLOOKUP('Project Details by Yr - MASTER'!$B142,Bridges!$A$9:$N$24,J$2,0)),0,VLOOKUP('Project Details by Yr - MASTER'!$B142,Bridges!$A$9:$N$24,J$2,0))+IF(ISNA(VLOOKUP('Project Details by Yr - MASTER'!$B142,'Parking Lots &amp; Playgrounds'!$A$9:$N$33,J$2,0)),0,VLOOKUP('Project Details by Yr - MASTER'!$B142,'Parking Lots &amp; Playgrounds'!$A$9:$N$33,J$2,0))+IF(ISNA(VLOOKUP($B142,Vehicles!$B$9:$O$50,J$2,0)),0,VLOOKUP($B142,Vehicles!$B$9:$O$50,J$2,0))</f>
        <v>0</v>
      </c>
      <c r="K142" s="8">
        <f>IF(ISNA(VLOOKUP($B142,'Other Capital Needs'!$C$51:$P$95,K$2,0)),0,VLOOKUP($B142,'Other Capital Needs'!$C$51:$P$95,K$2,0))+IF(ISNA(VLOOKUP('Project Details by Yr - MASTER'!$B142,'Public Grounds'!$A$11:$N$49,K$2,0)),0,VLOOKUP('Project Details by Yr - MASTER'!$B142,'Public Grounds'!$A$11:$N$49,K$2,0))+IF(ISNA(VLOOKUP('Project Details by Yr - MASTER'!$B142,'Public Buildings'!$A$10:$N$96,K$2,0)),0,VLOOKUP('Project Details by Yr - MASTER'!$B142,'Public Buildings'!$A$10:$N$96,K$2,0))+IF(ISNA(VLOOKUP('Project Details by Yr - MASTER'!$B142,Bridges!$A$9:$N$24,K$2,0)),0,VLOOKUP('Project Details by Yr - MASTER'!$B142,Bridges!$A$9:$N$24,K$2,0))+IF(ISNA(VLOOKUP('Project Details by Yr - MASTER'!$B142,'Parking Lots &amp; Playgrounds'!$A$9:$N$33,K$2,0)),0,VLOOKUP('Project Details by Yr - MASTER'!$B142,'Parking Lots &amp; Playgrounds'!$A$9:$N$33,K$2,0))+IF(ISNA(VLOOKUP($B142,Vehicles!$B$9:$O$50,K$2,0)),0,VLOOKUP($B142,Vehicles!$B$9:$O$50,K$2,0))</f>
        <v>0</v>
      </c>
    </row>
    <row r="143" spans="2:11" x14ac:dyDescent="0.25">
      <c r="B143" t="s">
        <v>86</v>
      </c>
      <c r="C143" t="s">
        <v>91</v>
      </c>
      <c r="D143" t="s">
        <v>272</v>
      </c>
      <c r="E143" s="1" t="s">
        <v>16</v>
      </c>
      <c r="G143" s="8">
        <f>IF(ISNA(VLOOKUP($B143,'Other Capital Needs'!$C$51:$P$95,G$2,0)),0,VLOOKUP($B143,'Other Capital Needs'!$C$51:$P$95,G$2,0))+IF(ISNA(VLOOKUP('Project Details by Yr - MASTER'!$B143,'Public Grounds'!$A$11:$N$49,G$2,0)),0,VLOOKUP('Project Details by Yr - MASTER'!$B143,'Public Grounds'!$A$11:$N$49,G$2,0))+IF(ISNA(VLOOKUP('Project Details by Yr - MASTER'!$B143,'Public Buildings'!$A$10:$N$96,G$2,0)),0,VLOOKUP('Project Details by Yr - MASTER'!$B143,'Public Buildings'!$A$10:$N$96,G$2,0))+IF(ISNA(VLOOKUP('Project Details by Yr - MASTER'!$B143,Bridges!$A$9:$N$24,G$2,0)),0,VLOOKUP('Project Details by Yr - MASTER'!$B143,Bridges!$A$9:$N$24,G$2,0))+IF(ISNA(VLOOKUP('Project Details by Yr - MASTER'!$B143,'Parking Lots &amp; Playgrounds'!$A$9:$N$33,G$2,0)),0,VLOOKUP('Project Details by Yr - MASTER'!$B143,'Parking Lots &amp; Playgrounds'!$A$9:$N$33,G$2,0))+IF(ISNA(VLOOKUP($B143,Vehicles!$B$9:$O$50,G$2,0)),0,VLOOKUP($B143,Vehicles!$B$9:$O$50,G$2,0))</f>
        <v>0</v>
      </c>
      <c r="H143" s="8">
        <f>IF(ISNA(VLOOKUP($B143,'Other Capital Needs'!$C$51:$P$95,H$2,0)),0,VLOOKUP($B143,'Other Capital Needs'!$C$51:$P$95,H$2,0))+IF(ISNA(VLOOKUP('Project Details by Yr - MASTER'!$B143,'Public Grounds'!$A$11:$N$49,H$2,0)),0,VLOOKUP('Project Details by Yr - MASTER'!$B143,'Public Grounds'!$A$11:$N$49,H$2,0))+IF(ISNA(VLOOKUP('Project Details by Yr - MASTER'!$B143,'Public Buildings'!$A$10:$N$96,H$2,0)),0,VLOOKUP('Project Details by Yr - MASTER'!$B143,'Public Buildings'!$A$10:$N$96,H$2,0))+IF(ISNA(VLOOKUP('Project Details by Yr - MASTER'!$B143,Bridges!$A$9:$N$24,H$2,0)),0,VLOOKUP('Project Details by Yr - MASTER'!$B143,Bridges!$A$9:$N$24,H$2,0))+IF(ISNA(VLOOKUP('Project Details by Yr - MASTER'!$B143,'Parking Lots &amp; Playgrounds'!$A$9:$N$33,H$2,0)),0,VLOOKUP('Project Details by Yr - MASTER'!$B143,'Parking Lots &amp; Playgrounds'!$A$9:$N$33,H$2,0))+IF(ISNA(VLOOKUP($B143,Vehicles!$B$9:$O$50,H$2,0)),0,VLOOKUP($B143,Vehicles!$B$9:$O$50,H$2,0))</f>
        <v>0</v>
      </c>
      <c r="I143" s="8">
        <f>IF(ISNA(VLOOKUP($B143,'Other Capital Needs'!$C$51:$P$95,I$2,0)),0,VLOOKUP($B143,'Other Capital Needs'!$C$51:$P$95,I$2,0))+IF(ISNA(VLOOKUP('Project Details by Yr - MASTER'!$B143,'Public Grounds'!$A$11:$N$49,I$2,0)),0,VLOOKUP('Project Details by Yr - MASTER'!$B143,'Public Grounds'!$A$11:$N$49,I$2,0))+IF(ISNA(VLOOKUP('Project Details by Yr - MASTER'!$B143,'Public Buildings'!$A$10:$N$96,I$2,0)),0,VLOOKUP('Project Details by Yr - MASTER'!$B143,'Public Buildings'!$A$10:$N$96,I$2,0))+IF(ISNA(VLOOKUP('Project Details by Yr - MASTER'!$B143,Bridges!$A$9:$N$24,I$2,0)),0,VLOOKUP('Project Details by Yr - MASTER'!$B143,Bridges!$A$9:$N$24,I$2,0))+IF(ISNA(VLOOKUP('Project Details by Yr - MASTER'!$B143,'Parking Lots &amp; Playgrounds'!$A$9:$N$33,I$2,0)),0,VLOOKUP('Project Details by Yr - MASTER'!$B143,'Parking Lots &amp; Playgrounds'!$A$9:$N$33,I$2,0))+IF(ISNA(VLOOKUP($B143,Vehicles!$B$9:$O$50,I$2,0)),0,VLOOKUP($B143,Vehicles!$B$9:$O$50,I$2,0))</f>
        <v>0</v>
      </c>
      <c r="J143" s="8">
        <f>IF(ISNA(VLOOKUP($B143,'Other Capital Needs'!$C$51:$P$95,J$2,0)),0,VLOOKUP($B143,'Other Capital Needs'!$C$51:$P$95,J$2,0))+IF(ISNA(VLOOKUP('Project Details by Yr - MASTER'!$B143,'Public Grounds'!$A$11:$N$49,J$2,0)),0,VLOOKUP('Project Details by Yr - MASTER'!$B143,'Public Grounds'!$A$11:$N$49,J$2,0))+IF(ISNA(VLOOKUP('Project Details by Yr - MASTER'!$B143,'Public Buildings'!$A$10:$N$96,J$2,0)),0,VLOOKUP('Project Details by Yr - MASTER'!$B143,'Public Buildings'!$A$10:$N$96,J$2,0))+IF(ISNA(VLOOKUP('Project Details by Yr - MASTER'!$B143,Bridges!$A$9:$N$24,J$2,0)),0,VLOOKUP('Project Details by Yr - MASTER'!$B143,Bridges!$A$9:$N$24,J$2,0))+IF(ISNA(VLOOKUP('Project Details by Yr - MASTER'!$B143,'Parking Lots &amp; Playgrounds'!$A$9:$N$33,J$2,0)),0,VLOOKUP('Project Details by Yr - MASTER'!$B143,'Parking Lots &amp; Playgrounds'!$A$9:$N$33,J$2,0))+IF(ISNA(VLOOKUP($B143,Vehicles!$B$9:$O$50,J$2,0)),0,VLOOKUP($B143,Vehicles!$B$9:$O$50,J$2,0))</f>
        <v>0</v>
      </c>
      <c r="K143" s="8">
        <f>IF(ISNA(VLOOKUP($B143,'Other Capital Needs'!$C$51:$P$95,K$2,0)),0,VLOOKUP($B143,'Other Capital Needs'!$C$51:$P$95,K$2,0))+IF(ISNA(VLOOKUP('Project Details by Yr - MASTER'!$B143,'Public Grounds'!$A$11:$N$49,K$2,0)),0,VLOOKUP('Project Details by Yr - MASTER'!$B143,'Public Grounds'!$A$11:$N$49,K$2,0))+IF(ISNA(VLOOKUP('Project Details by Yr - MASTER'!$B143,'Public Buildings'!$A$10:$N$96,K$2,0)),0,VLOOKUP('Project Details by Yr - MASTER'!$B143,'Public Buildings'!$A$10:$N$96,K$2,0))+IF(ISNA(VLOOKUP('Project Details by Yr - MASTER'!$B143,Bridges!$A$9:$N$24,K$2,0)),0,VLOOKUP('Project Details by Yr - MASTER'!$B143,Bridges!$A$9:$N$24,K$2,0))+IF(ISNA(VLOOKUP('Project Details by Yr - MASTER'!$B143,'Parking Lots &amp; Playgrounds'!$A$9:$N$33,K$2,0)),0,VLOOKUP('Project Details by Yr - MASTER'!$B143,'Parking Lots &amp; Playgrounds'!$A$9:$N$33,K$2,0))+IF(ISNA(VLOOKUP($B143,Vehicles!$B$9:$O$50,K$2,0)),0,VLOOKUP($B143,Vehicles!$B$9:$O$50,K$2,0))</f>
        <v>0</v>
      </c>
    </row>
    <row r="144" spans="2:11" x14ac:dyDescent="0.25">
      <c r="B144" t="s">
        <v>90</v>
      </c>
      <c r="C144" t="s">
        <v>91</v>
      </c>
      <c r="D144" t="s">
        <v>272</v>
      </c>
      <c r="E144" s="1" t="s">
        <v>16</v>
      </c>
      <c r="G144" s="8">
        <f>IF(ISNA(VLOOKUP($B144,'Other Capital Needs'!$C$51:$P$95,G$2,0)),0,VLOOKUP($B144,'Other Capital Needs'!$C$51:$P$95,G$2,0))+IF(ISNA(VLOOKUP('Project Details by Yr - MASTER'!$B144,'Public Grounds'!$A$11:$N$49,G$2,0)),0,VLOOKUP('Project Details by Yr - MASTER'!$B144,'Public Grounds'!$A$11:$N$49,G$2,0))+IF(ISNA(VLOOKUP('Project Details by Yr - MASTER'!$B144,'Public Buildings'!$A$10:$N$96,G$2,0)),0,VLOOKUP('Project Details by Yr - MASTER'!$B144,'Public Buildings'!$A$10:$N$96,G$2,0))+IF(ISNA(VLOOKUP('Project Details by Yr - MASTER'!$B144,Bridges!$A$9:$N$24,G$2,0)),0,VLOOKUP('Project Details by Yr - MASTER'!$B144,Bridges!$A$9:$N$24,G$2,0))+IF(ISNA(VLOOKUP('Project Details by Yr - MASTER'!$B144,'Parking Lots &amp; Playgrounds'!$A$9:$N$33,G$2,0)),0,VLOOKUP('Project Details by Yr - MASTER'!$B144,'Parking Lots &amp; Playgrounds'!$A$9:$N$33,G$2,0))+IF(ISNA(VLOOKUP($B144,Vehicles!$B$9:$O$50,G$2,0)),0,VLOOKUP($B144,Vehicles!$B$9:$O$50,G$2,0))</f>
        <v>0</v>
      </c>
      <c r="H144" s="8">
        <f>IF(ISNA(VLOOKUP($B144,'Other Capital Needs'!$C$51:$P$95,H$2,0)),0,VLOOKUP($B144,'Other Capital Needs'!$C$51:$P$95,H$2,0))+IF(ISNA(VLOOKUP('Project Details by Yr - MASTER'!$B144,'Public Grounds'!$A$11:$N$49,H$2,0)),0,VLOOKUP('Project Details by Yr - MASTER'!$B144,'Public Grounds'!$A$11:$N$49,H$2,0))+IF(ISNA(VLOOKUP('Project Details by Yr - MASTER'!$B144,'Public Buildings'!$A$10:$N$96,H$2,0)),0,VLOOKUP('Project Details by Yr - MASTER'!$B144,'Public Buildings'!$A$10:$N$96,H$2,0))+IF(ISNA(VLOOKUP('Project Details by Yr - MASTER'!$B144,Bridges!$A$9:$N$24,H$2,0)),0,VLOOKUP('Project Details by Yr - MASTER'!$B144,Bridges!$A$9:$N$24,H$2,0))+IF(ISNA(VLOOKUP('Project Details by Yr - MASTER'!$B144,'Parking Lots &amp; Playgrounds'!$A$9:$N$33,H$2,0)),0,VLOOKUP('Project Details by Yr - MASTER'!$B144,'Parking Lots &amp; Playgrounds'!$A$9:$N$33,H$2,0))+IF(ISNA(VLOOKUP($B144,Vehicles!$B$9:$O$50,H$2,0)),0,VLOOKUP($B144,Vehicles!$B$9:$O$50,H$2,0))</f>
        <v>0</v>
      </c>
      <c r="I144" s="8">
        <f>IF(ISNA(VLOOKUP($B144,'Other Capital Needs'!$C$51:$P$95,I$2,0)),0,VLOOKUP($B144,'Other Capital Needs'!$C$51:$P$95,I$2,0))+IF(ISNA(VLOOKUP('Project Details by Yr - MASTER'!$B144,'Public Grounds'!$A$11:$N$49,I$2,0)),0,VLOOKUP('Project Details by Yr - MASTER'!$B144,'Public Grounds'!$A$11:$N$49,I$2,0))+IF(ISNA(VLOOKUP('Project Details by Yr - MASTER'!$B144,'Public Buildings'!$A$10:$N$96,I$2,0)),0,VLOOKUP('Project Details by Yr - MASTER'!$B144,'Public Buildings'!$A$10:$N$96,I$2,0))+IF(ISNA(VLOOKUP('Project Details by Yr - MASTER'!$B144,Bridges!$A$9:$N$24,I$2,0)),0,VLOOKUP('Project Details by Yr - MASTER'!$B144,Bridges!$A$9:$N$24,I$2,0))+IF(ISNA(VLOOKUP('Project Details by Yr - MASTER'!$B144,'Parking Lots &amp; Playgrounds'!$A$9:$N$33,I$2,0)),0,VLOOKUP('Project Details by Yr - MASTER'!$B144,'Parking Lots &amp; Playgrounds'!$A$9:$N$33,I$2,0))+IF(ISNA(VLOOKUP($B144,Vehicles!$B$9:$O$50,I$2,0)),0,VLOOKUP($B144,Vehicles!$B$9:$O$50,I$2,0))</f>
        <v>0</v>
      </c>
      <c r="J144" s="8">
        <f>IF(ISNA(VLOOKUP($B144,'Other Capital Needs'!$C$51:$P$95,J$2,0)),0,VLOOKUP($B144,'Other Capital Needs'!$C$51:$P$95,J$2,0))+IF(ISNA(VLOOKUP('Project Details by Yr - MASTER'!$B144,'Public Grounds'!$A$11:$N$49,J$2,0)),0,VLOOKUP('Project Details by Yr - MASTER'!$B144,'Public Grounds'!$A$11:$N$49,J$2,0))+IF(ISNA(VLOOKUP('Project Details by Yr - MASTER'!$B144,'Public Buildings'!$A$10:$N$96,J$2,0)),0,VLOOKUP('Project Details by Yr - MASTER'!$B144,'Public Buildings'!$A$10:$N$96,J$2,0))+IF(ISNA(VLOOKUP('Project Details by Yr - MASTER'!$B144,Bridges!$A$9:$N$24,J$2,0)),0,VLOOKUP('Project Details by Yr - MASTER'!$B144,Bridges!$A$9:$N$24,J$2,0))+IF(ISNA(VLOOKUP('Project Details by Yr - MASTER'!$B144,'Parking Lots &amp; Playgrounds'!$A$9:$N$33,J$2,0)),0,VLOOKUP('Project Details by Yr - MASTER'!$B144,'Parking Lots &amp; Playgrounds'!$A$9:$N$33,J$2,0))+IF(ISNA(VLOOKUP($B144,Vehicles!$B$9:$O$50,J$2,0)),0,VLOOKUP($B144,Vehicles!$B$9:$O$50,J$2,0))</f>
        <v>0</v>
      </c>
      <c r="K144" s="8">
        <f>IF(ISNA(VLOOKUP($B144,'Other Capital Needs'!$C$51:$P$95,K$2,0)),0,VLOOKUP($B144,'Other Capital Needs'!$C$51:$P$95,K$2,0))+IF(ISNA(VLOOKUP('Project Details by Yr - MASTER'!$B144,'Public Grounds'!$A$11:$N$49,K$2,0)),0,VLOOKUP('Project Details by Yr - MASTER'!$B144,'Public Grounds'!$A$11:$N$49,K$2,0))+IF(ISNA(VLOOKUP('Project Details by Yr - MASTER'!$B144,'Public Buildings'!$A$10:$N$96,K$2,0)),0,VLOOKUP('Project Details by Yr - MASTER'!$B144,'Public Buildings'!$A$10:$N$96,K$2,0))+IF(ISNA(VLOOKUP('Project Details by Yr - MASTER'!$B144,Bridges!$A$9:$N$24,K$2,0)),0,VLOOKUP('Project Details by Yr - MASTER'!$B144,Bridges!$A$9:$N$24,K$2,0))+IF(ISNA(VLOOKUP('Project Details by Yr - MASTER'!$B144,'Parking Lots &amp; Playgrounds'!$A$9:$N$33,K$2,0)),0,VLOOKUP('Project Details by Yr - MASTER'!$B144,'Parking Lots &amp; Playgrounds'!$A$9:$N$33,K$2,0))+IF(ISNA(VLOOKUP($B144,Vehicles!$B$9:$O$50,K$2,0)),0,VLOOKUP($B144,Vehicles!$B$9:$O$50,K$2,0))</f>
        <v>0</v>
      </c>
    </row>
    <row r="145" spans="2:11" x14ac:dyDescent="0.25">
      <c r="B145" t="s">
        <v>92</v>
      </c>
      <c r="C145" t="s">
        <v>91</v>
      </c>
      <c r="D145" t="s">
        <v>272</v>
      </c>
      <c r="E145" s="1" t="s">
        <v>16</v>
      </c>
      <c r="G145" s="8">
        <f>IF(ISNA(VLOOKUP($B145,'Other Capital Needs'!$C$51:$P$95,G$2,0)),0,VLOOKUP($B145,'Other Capital Needs'!$C$51:$P$95,G$2,0))+IF(ISNA(VLOOKUP('Project Details by Yr - MASTER'!$B145,'Public Grounds'!$A$11:$N$49,G$2,0)),0,VLOOKUP('Project Details by Yr - MASTER'!$B145,'Public Grounds'!$A$11:$N$49,G$2,0))+IF(ISNA(VLOOKUP('Project Details by Yr - MASTER'!$B145,'Public Buildings'!$A$10:$N$96,G$2,0)),0,VLOOKUP('Project Details by Yr - MASTER'!$B145,'Public Buildings'!$A$10:$N$96,G$2,0))+IF(ISNA(VLOOKUP('Project Details by Yr - MASTER'!$B145,Bridges!$A$9:$N$24,G$2,0)),0,VLOOKUP('Project Details by Yr - MASTER'!$B145,Bridges!$A$9:$N$24,G$2,0))+IF(ISNA(VLOOKUP('Project Details by Yr - MASTER'!$B145,'Parking Lots &amp; Playgrounds'!$A$9:$N$33,G$2,0)),0,VLOOKUP('Project Details by Yr - MASTER'!$B145,'Parking Lots &amp; Playgrounds'!$A$9:$N$33,G$2,0))+IF(ISNA(VLOOKUP($B145,Vehicles!$B$9:$O$50,G$2,0)),0,VLOOKUP($B145,Vehicles!$B$9:$O$50,G$2,0))</f>
        <v>0</v>
      </c>
      <c r="H145" s="8">
        <f>IF(ISNA(VLOOKUP($B145,'Other Capital Needs'!$C$51:$P$95,H$2,0)),0,VLOOKUP($B145,'Other Capital Needs'!$C$51:$P$95,H$2,0))+IF(ISNA(VLOOKUP('Project Details by Yr - MASTER'!$B145,'Public Grounds'!$A$11:$N$49,H$2,0)),0,VLOOKUP('Project Details by Yr - MASTER'!$B145,'Public Grounds'!$A$11:$N$49,H$2,0))+IF(ISNA(VLOOKUP('Project Details by Yr - MASTER'!$B145,'Public Buildings'!$A$10:$N$96,H$2,0)),0,VLOOKUP('Project Details by Yr - MASTER'!$B145,'Public Buildings'!$A$10:$N$96,H$2,0))+IF(ISNA(VLOOKUP('Project Details by Yr - MASTER'!$B145,Bridges!$A$9:$N$24,H$2,0)),0,VLOOKUP('Project Details by Yr - MASTER'!$B145,Bridges!$A$9:$N$24,H$2,0))+IF(ISNA(VLOOKUP('Project Details by Yr - MASTER'!$B145,'Parking Lots &amp; Playgrounds'!$A$9:$N$33,H$2,0)),0,VLOOKUP('Project Details by Yr - MASTER'!$B145,'Parking Lots &amp; Playgrounds'!$A$9:$N$33,H$2,0))+IF(ISNA(VLOOKUP($B145,Vehicles!$B$9:$O$50,H$2,0)),0,VLOOKUP($B145,Vehicles!$B$9:$O$50,H$2,0))</f>
        <v>0</v>
      </c>
      <c r="I145" s="8">
        <f>IF(ISNA(VLOOKUP($B145,'Other Capital Needs'!$C$51:$P$95,I$2,0)),0,VLOOKUP($B145,'Other Capital Needs'!$C$51:$P$95,I$2,0))+IF(ISNA(VLOOKUP('Project Details by Yr - MASTER'!$B145,'Public Grounds'!$A$11:$N$49,I$2,0)),0,VLOOKUP('Project Details by Yr - MASTER'!$B145,'Public Grounds'!$A$11:$N$49,I$2,0))+IF(ISNA(VLOOKUP('Project Details by Yr - MASTER'!$B145,'Public Buildings'!$A$10:$N$96,I$2,0)),0,VLOOKUP('Project Details by Yr - MASTER'!$B145,'Public Buildings'!$A$10:$N$96,I$2,0))+IF(ISNA(VLOOKUP('Project Details by Yr - MASTER'!$B145,Bridges!$A$9:$N$24,I$2,0)),0,VLOOKUP('Project Details by Yr - MASTER'!$B145,Bridges!$A$9:$N$24,I$2,0))+IF(ISNA(VLOOKUP('Project Details by Yr - MASTER'!$B145,'Parking Lots &amp; Playgrounds'!$A$9:$N$33,I$2,0)),0,VLOOKUP('Project Details by Yr - MASTER'!$B145,'Parking Lots &amp; Playgrounds'!$A$9:$N$33,I$2,0))+IF(ISNA(VLOOKUP($B145,Vehicles!$B$9:$O$50,I$2,0)),0,VLOOKUP($B145,Vehicles!$B$9:$O$50,I$2,0))</f>
        <v>0</v>
      </c>
      <c r="J145" s="8">
        <f>IF(ISNA(VLOOKUP($B145,'Other Capital Needs'!$C$51:$P$95,J$2,0)),0,VLOOKUP($B145,'Other Capital Needs'!$C$51:$P$95,J$2,0))+IF(ISNA(VLOOKUP('Project Details by Yr - MASTER'!$B145,'Public Grounds'!$A$11:$N$49,J$2,0)),0,VLOOKUP('Project Details by Yr - MASTER'!$B145,'Public Grounds'!$A$11:$N$49,J$2,0))+IF(ISNA(VLOOKUP('Project Details by Yr - MASTER'!$B145,'Public Buildings'!$A$10:$N$96,J$2,0)),0,VLOOKUP('Project Details by Yr - MASTER'!$B145,'Public Buildings'!$A$10:$N$96,J$2,0))+IF(ISNA(VLOOKUP('Project Details by Yr - MASTER'!$B145,Bridges!$A$9:$N$24,J$2,0)),0,VLOOKUP('Project Details by Yr - MASTER'!$B145,Bridges!$A$9:$N$24,J$2,0))+IF(ISNA(VLOOKUP('Project Details by Yr - MASTER'!$B145,'Parking Lots &amp; Playgrounds'!$A$9:$N$33,J$2,0)),0,VLOOKUP('Project Details by Yr - MASTER'!$B145,'Parking Lots &amp; Playgrounds'!$A$9:$N$33,J$2,0))+IF(ISNA(VLOOKUP($B145,Vehicles!$B$9:$O$50,J$2,0)),0,VLOOKUP($B145,Vehicles!$B$9:$O$50,J$2,0))</f>
        <v>0</v>
      </c>
      <c r="K145" s="8">
        <f>IF(ISNA(VLOOKUP($B145,'Other Capital Needs'!$C$51:$P$95,K$2,0)),0,VLOOKUP($B145,'Other Capital Needs'!$C$51:$P$95,K$2,0))+IF(ISNA(VLOOKUP('Project Details by Yr - MASTER'!$B145,'Public Grounds'!$A$11:$N$49,K$2,0)),0,VLOOKUP('Project Details by Yr - MASTER'!$B145,'Public Grounds'!$A$11:$N$49,K$2,0))+IF(ISNA(VLOOKUP('Project Details by Yr - MASTER'!$B145,'Public Buildings'!$A$10:$N$96,K$2,0)),0,VLOOKUP('Project Details by Yr - MASTER'!$B145,'Public Buildings'!$A$10:$N$96,K$2,0))+IF(ISNA(VLOOKUP('Project Details by Yr - MASTER'!$B145,Bridges!$A$9:$N$24,K$2,0)),0,VLOOKUP('Project Details by Yr - MASTER'!$B145,Bridges!$A$9:$N$24,K$2,0))+IF(ISNA(VLOOKUP('Project Details by Yr - MASTER'!$B145,'Parking Lots &amp; Playgrounds'!$A$9:$N$33,K$2,0)),0,VLOOKUP('Project Details by Yr - MASTER'!$B145,'Parking Lots &amp; Playgrounds'!$A$9:$N$33,K$2,0))+IF(ISNA(VLOOKUP($B145,Vehicles!$B$9:$O$50,K$2,0)),0,VLOOKUP($B145,Vehicles!$B$9:$O$50,K$2,0))</f>
        <v>0</v>
      </c>
    </row>
    <row r="146" spans="2:11" x14ac:dyDescent="0.25">
      <c r="B146" t="s">
        <v>93</v>
      </c>
      <c r="C146" t="s">
        <v>91</v>
      </c>
      <c r="D146" t="s">
        <v>272</v>
      </c>
      <c r="E146" s="1" t="s">
        <v>16</v>
      </c>
      <c r="G146" s="8">
        <f>IF(ISNA(VLOOKUP($B146,'Other Capital Needs'!$C$51:$P$95,G$2,0)),0,VLOOKUP($B146,'Other Capital Needs'!$C$51:$P$95,G$2,0))+IF(ISNA(VLOOKUP('Project Details by Yr - MASTER'!$B146,'Public Grounds'!$A$11:$N$49,G$2,0)),0,VLOOKUP('Project Details by Yr - MASTER'!$B146,'Public Grounds'!$A$11:$N$49,G$2,0))+IF(ISNA(VLOOKUP('Project Details by Yr - MASTER'!$B146,'Public Buildings'!$A$10:$N$96,G$2,0)),0,VLOOKUP('Project Details by Yr - MASTER'!$B146,'Public Buildings'!$A$10:$N$96,G$2,0))+IF(ISNA(VLOOKUP('Project Details by Yr - MASTER'!$B146,Bridges!$A$9:$N$24,G$2,0)),0,VLOOKUP('Project Details by Yr - MASTER'!$B146,Bridges!$A$9:$N$24,G$2,0))+IF(ISNA(VLOOKUP('Project Details by Yr - MASTER'!$B146,'Parking Lots &amp; Playgrounds'!$A$9:$N$33,G$2,0)),0,VLOOKUP('Project Details by Yr - MASTER'!$B146,'Parking Lots &amp; Playgrounds'!$A$9:$N$33,G$2,0))+IF(ISNA(VLOOKUP($B146,Vehicles!$B$9:$O$50,G$2,0)),0,VLOOKUP($B146,Vehicles!$B$9:$O$50,G$2,0))</f>
        <v>0</v>
      </c>
      <c r="H146" s="8">
        <f>IF(ISNA(VLOOKUP($B146,'Other Capital Needs'!$C$51:$P$95,H$2,0)),0,VLOOKUP($B146,'Other Capital Needs'!$C$51:$P$95,H$2,0))+IF(ISNA(VLOOKUP('Project Details by Yr - MASTER'!$B146,'Public Grounds'!$A$11:$N$49,H$2,0)),0,VLOOKUP('Project Details by Yr - MASTER'!$B146,'Public Grounds'!$A$11:$N$49,H$2,0))+IF(ISNA(VLOOKUP('Project Details by Yr - MASTER'!$B146,'Public Buildings'!$A$10:$N$96,H$2,0)),0,VLOOKUP('Project Details by Yr - MASTER'!$B146,'Public Buildings'!$A$10:$N$96,H$2,0))+IF(ISNA(VLOOKUP('Project Details by Yr - MASTER'!$B146,Bridges!$A$9:$N$24,H$2,0)),0,VLOOKUP('Project Details by Yr - MASTER'!$B146,Bridges!$A$9:$N$24,H$2,0))+IF(ISNA(VLOOKUP('Project Details by Yr - MASTER'!$B146,'Parking Lots &amp; Playgrounds'!$A$9:$N$33,H$2,0)),0,VLOOKUP('Project Details by Yr - MASTER'!$B146,'Parking Lots &amp; Playgrounds'!$A$9:$N$33,H$2,0))+IF(ISNA(VLOOKUP($B146,Vehicles!$B$9:$O$50,H$2,0)),0,VLOOKUP($B146,Vehicles!$B$9:$O$50,H$2,0))</f>
        <v>0</v>
      </c>
      <c r="I146" s="8">
        <f>IF(ISNA(VLOOKUP($B146,'Other Capital Needs'!$C$51:$P$95,I$2,0)),0,VLOOKUP($B146,'Other Capital Needs'!$C$51:$P$95,I$2,0))+IF(ISNA(VLOOKUP('Project Details by Yr - MASTER'!$B146,'Public Grounds'!$A$11:$N$49,I$2,0)),0,VLOOKUP('Project Details by Yr - MASTER'!$B146,'Public Grounds'!$A$11:$N$49,I$2,0))+IF(ISNA(VLOOKUP('Project Details by Yr - MASTER'!$B146,'Public Buildings'!$A$10:$N$96,I$2,0)),0,VLOOKUP('Project Details by Yr - MASTER'!$B146,'Public Buildings'!$A$10:$N$96,I$2,0))+IF(ISNA(VLOOKUP('Project Details by Yr - MASTER'!$B146,Bridges!$A$9:$N$24,I$2,0)),0,VLOOKUP('Project Details by Yr - MASTER'!$B146,Bridges!$A$9:$N$24,I$2,0))+IF(ISNA(VLOOKUP('Project Details by Yr - MASTER'!$B146,'Parking Lots &amp; Playgrounds'!$A$9:$N$33,I$2,0)),0,VLOOKUP('Project Details by Yr - MASTER'!$B146,'Parking Lots &amp; Playgrounds'!$A$9:$N$33,I$2,0))+IF(ISNA(VLOOKUP($B146,Vehicles!$B$9:$O$50,I$2,0)),0,VLOOKUP($B146,Vehicles!$B$9:$O$50,I$2,0))</f>
        <v>0</v>
      </c>
      <c r="J146" s="8">
        <f>IF(ISNA(VLOOKUP($B146,'Other Capital Needs'!$C$51:$P$95,J$2,0)),0,VLOOKUP($B146,'Other Capital Needs'!$C$51:$P$95,J$2,0))+IF(ISNA(VLOOKUP('Project Details by Yr - MASTER'!$B146,'Public Grounds'!$A$11:$N$49,J$2,0)),0,VLOOKUP('Project Details by Yr - MASTER'!$B146,'Public Grounds'!$A$11:$N$49,J$2,0))+IF(ISNA(VLOOKUP('Project Details by Yr - MASTER'!$B146,'Public Buildings'!$A$10:$N$96,J$2,0)),0,VLOOKUP('Project Details by Yr - MASTER'!$B146,'Public Buildings'!$A$10:$N$96,J$2,0))+IF(ISNA(VLOOKUP('Project Details by Yr - MASTER'!$B146,Bridges!$A$9:$N$24,J$2,0)),0,VLOOKUP('Project Details by Yr - MASTER'!$B146,Bridges!$A$9:$N$24,J$2,0))+IF(ISNA(VLOOKUP('Project Details by Yr - MASTER'!$B146,'Parking Lots &amp; Playgrounds'!$A$9:$N$33,J$2,0)),0,VLOOKUP('Project Details by Yr - MASTER'!$B146,'Parking Lots &amp; Playgrounds'!$A$9:$N$33,J$2,0))+IF(ISNA(VLOOKUP($B146,Vehicles!$B$9:$O$50,J$2,0)),0,VLOOKUP($B146,Vehicles!$B$9:$O$50,J$2,0))</f>
        <v>0</v>
      </c>
      <c r="K146" s="8">
        <f>IF(ISNA(VLOOKUP($B146,'Other Capital Needs'!$C$51:$P$95,K$2,0)),0,VLOOKUP($B146,'Other Capital Needs'!$C$51:$P$95,K$2,0))+IF(ISNA(VLOOKUP('Project Details by Yr - MASTER'!$B146,'Public Grounds'!$A$11:$N$49,K$2,0)),0,VLOOKUP('Project Details by Yr - MASTER'!$B146,'Public Grounds'!$A$11:$N$49,K$2,0))+IF(ISNA(VLOOKUP('Project Details by Yr - MASTER'!$B146,'Public Buildings'!$A$10:$N$96,K$2,0)),0,VLOOKUP('Project Details by Yr - MASTER'!$B146,'Public Buildings'!$A$10:$N$96,K$2,0))+IF(ISNA(VLOOKUP('Project Details by Yr - MASTER'!$B146,Bridges!$A$9:$N$24,K$2,0)),0,VLOOKUP('Project Details by Yr - MASTER'!$B146,Bridges!$A$9:$N$24,K$2,0))+IF(ISNA(VLOOKUP('Project Details by Yr - MASTER'!$B146,'Parking Lots &amp; Playgrounds'!$A$9:$N$33,K$2,0)),0,VLOOKUP('Project Details by Yr - MASTER'!$B146,'Parking Lots &amp; Playgrounds'!$A$9:$N$33,K$2,0))+IF(ISNA(VLOOKUP($B146,Vehicles!$B$9:$O$50,K$2,0)),0,VLOOKUP($B146,Vehicles!$B$9:$O$50,K$2,0))</f>
        <v>0</v>
      </c>
    </row>
    <row r="147" spans="2:11" x14ac:dyDescent="0.25">
      <c r="B147" t="s">
        <v>94</v>
      </c>
      <c r="C147" t="s">
        <v>91</v>
      </c>
      <c r="D147" t="s">
        <v>272</v>
      </c>
      <c r="E147" s="1" t="s">
        <v>16</v>
      </c>
      <c r="G147" s="8">
        <f>IF(ISNA(VLOOKUP($B147,'Other Capital Needs'!$C$51:$P$95,G$2,0)),0,VLOOKUP($B147,'Other Capital Needs'!$C$51:$P$95,G$2,0))+IF(ISNA(VLOOKUP('Project Details by Yr - MASTER'!$B147,'Public Grounds'!$A$11:$N$49,G$2,0)),0,VLOOKUP('Project Details by Yr - MASTER'!$B147,'Public Grounds'!$A$11:$N$49,G$2,0))+IF(ISNA(VLOOKUP('Project Details by Yr - MASTER'!$B147,'Public Buildings'!$A$10:$N$96,G$2,0)),0,VLOOKUP('Project Details by Yr - MASTER'!$B147,'Public Buildings'!$A$10:$N$96,G$2,0))+IF(ISNA(VLOOKUP('Project Details by Yr - MASTER'!$B147,Bridges!$A$9:$N$24,G$2,0)),0,VLOOKUP('Project Details by Yr - MASTER'!$B147,Bridges!$A$9:$N$24,G$2,0))+IF(ISNA(VLOOKUP('Project Details by Yr - MASTER'!$B147,'Parking Lots &amp; Playgrounds'!$A$9:$N$33,G$2,0)),0,VLOOKUP('Project Details by Yr - MASTER'!$B147,'Parking Lots &amp; Playgrounds'!$A$9:$N$33,G$2,0))+IF(ISNA(VLOOKUP($B147,Vehicles!$B$9:$O$50,G$2,0)),0,VLOOKUP($B147,Vehicles!$B$9:$O$50,G$2,0))</f>
        <v>0</v>
      </c>
      <c r="H147" s="8">
        <f>IF(ISNA(VLOOKUP($B147,'Other Capital Needs'!$C$51:$P$95,H$2,0)),0,VLOOKUP($B147,'Other Capital Needs'!$C$51:$P$95,H$2,0))+IF(ISNA(VLOOKUP('Project Details by Yr - MASTER'!$B147,'Public Grounds'!$A$11:$N$49,H$2,0)),0,VLOOKUP('Project Details by Yr - MASTER'!$B147,'Public Grounds'!$A$11:$N$49,H$2,0))+IF(ISNA(VLOOKUP('Project Details by Yr - MASTER'!$B147,'Public Buildings'!$A$10:$N$96,H$2,0)),0,VLOOKUP('Project Details by Yr - MASTER'!$B147,'Public Buildings'!$A$10:$N$96,H$2,0))+IF(ISNA(VLOOKUP('Project Details by Yr - MASTER'!$B147,Bridges!$A$9:$N$24,H$2,0)),0,VLOOKUP('Project Details by Yr - MASTER'!$B147,Bridges!$A$9:$N$24,H$2,0))+IF(ISNA(VLOOKUP('Project Details by Yr - MASTER'!$B147,'Parking Lots &amp; Playgrounds'!$A$9:$N$33,H$2,0)),0,VLOOKUP('Project Details by Yr - MASTER'!$B147,'Parking Lots &amp; Playgrounds'!$A$9:$N$33,H$2,0))+IF(ISNA(VLOOKUP($B147,Vehicles!$B$9:$O$50,H$2,0)),0,VLOOKUP($B147,Vehicles!$B$9:$O$50,H$2,0))</f>
        <v>0</v>
      </c>
      <c r="I147" s="8">
        <f>IF(ISNA(VLOOKUP($B147,'Other Capital Needs'!$C$51:$P$95,I$2,0)),0,VLOOKUP($B147,'Other Capital Needs'!$C$51:$P$95,I$2,0))+IF(ISNA(VLOOKUP('Project Details by Yr - MASTER'!$B147,'Public Grounds'!$A$11:$N$49,I$2,0)),0,VLOOKUP('Project Details by Yr - MASTER'!$B147,'Public Grounds'!$A$11:$N$49,I$2,0))+IF(ISNA(VLOOKUP('Project Details by Yr - MASTER'!$B147,'Public Buildings'!$A$10:$N$96,I$2,0)),0,VLOOKUP('Project Details by Yr - MASTER'!$B147,'Public Buildings'!$A$10:$N$96,I$2,0))+IF(ISNA(VLOOKUP('Project Details by Yr - MASTER'!$B147,Bridges!$A$9:$N$24,I$2,0)),0,VLOOKUP('Project Details by Yr - MASTER'!$B147,Bridges!$A$9:$N$24,I$2,0))+IF(ISNA(VLOOKUP('Project Details by Yr - MASTER'!$B147,'Parking Lots &amp; Playgrounds'!$A$9:$N$33,I$2,0)),0,VLOOKUP('Project Details by Yr - MASTER'!$B147,'Parking Lots &amp; Playgrounds'!$A$9:$N$33,I$2,0))+IF(ISNA(VLOOKUP($B147,Vehicles!$B$9:$O$50,I$2,0)),0,VLOOKUP($B147,Vehicles!$B$9:$O$50,I$2,0))</f>
        <v>0</v>
      </c>
      <c r="J147" s="8">
        <f>IF(ISNA(VLOOKUP($B147,'Other Capital Needs'!$C$51:$P$95,J$2,0)),0,VLOOKUP($B147,'Other Capital Needs'!$C$51:$P$95,J$2,0))+IF(ISNA(VLOOKUP('Project Details by Yr - MASTER'!$B147,'Public Grounds'!$A$11:$N$49,J$2,0)),0,VLOOKUP('Project Details by Yr - MASTER'!$B147,'Public Grounds'!$A$11:$N$49,J$2,0))+IF(ISNA(VLOOKUP('Project Details by Yr - MASTER'!$B147,'Public Buildings'!$A$10:$N$96,J$2,0)),0,VLOOKUP('Project Details by Yr - MASTER'!$B147,'Public Buildings'!$A$10:$N$96,J$2,0))+IF(ISNA(VLOOKUP('Project Details by Yr - MASTER'!$B147,Bridges!$A$9:$N$24,J$2,0)),0,VLOOKUP('Project Details by Yr - MASTER'!$B147,Bridges!$A$9:$N$24,J$2,0))+IF(ISNA(VLOOKUP('Project Details by Yr - MASTER'!$B147,'Parking Lots &amp; Playgrounds'!$A$9:$N$33,J$2,0)),0,VLOOKUP('Project Details by Yr - MASTER'!$B147,'Parking Lots &amp; Playgrounds'!$A$9:$N$33,J$2,0))+IF(ISNA(VLOOKUP($B147,Vehicles!$B$9:$O$50,J$2,0)),0,VLOOKUP($B147,Vehicles!$B$9:$O$50,J$2,0))</f>
        <v>0</v>
      </c>
      <c r="K147" s="8">
        <f>IF(ISNA(VLOOKUP($B147,'Other Capital Needs'!$C$51:$P$95,K$2,0)),0,VLOOKUP($B147,'Other Capital Needs'!$C$51:$P$95,K$2,0))+IF(ISNA(VLOOKUP('Project Details by Yr - MASTER'!$B147,'Public Grounds'!$A$11:$N$49,K$2,0)),0,VLOOKUP('Project Details by Yr - MASTER'!$B147,'Public Grounds'!$A$11:$N$49,K$2,0))+IF(ISNA(VLOOKUP('Project Details by Yr - MASTER'!$B147,'Public Buildings'!$A$10:$N$96,K$2,0)),0,VLOOKUP('Project Details by Yr - MASTER'!$B147,'Public Buildings'!$A$10:$N$96,K$2,0))+IF(ISNA(VLOOKUP('Project Details by Yr - MASTER'!$B147,Bridges!$A$9:$N$24,K$2,0)),0,VLOOKUP('Project Details by Yr - MASTER'!$B147,Bridges!$A$9:$N$24,K$2,0))+IF(ISNA(VLOOKUP('Project Details by Yr - MASTER'!$B147,'Parking Lots &amp; Playgrounds'!$A$9:$N$33,K$2,0)),0,VLOOKUP('Project Details by Yr - MASTER'!$B147,'Parking Lots &amp; Playgrounds'!$A$9:$N$33,K$2,0))+IF(ISNA(VLOOKUP($B147,Vehicles!$B$9:$O$50,K$2,0)),0,VLOOKUP($B147,Vehicles!$B$9:$O$50,K$2,0))</f>
        <v>0</v>
      </c>
    </row>
    <row r="148" spans="2:11" x14ac:dyDescent="0.25">
      <c r="B148" t="s">
        <v>88</v>
      </c>
      <c r="C148" t="s">
        <v>91</v>
      </c>
      <c r="D148" t="s">
        <v>273</v>
      </c>
      <c r="E148" s="1" t="s">
        <v>16</v>
      </c>
      <c r="G148" s="8">
        <f>IF(ISNA(VLOOKUP($B148,'Other Capital Needs'!$C$51:$P$95,G$2,0)),0,VLOOKUP($B148,'Other Capital Needs'!$C$51:$P$95,G$2,0))+IF(ISNA(VLOOKUP('Project Details by Yr - MASTER'!$B148,'Public Grounds'!$A$11:$N$49,G$2,0)),0,VLOOKUP('Project Details by Yr - MASTER'!$B148,'Public Grounds'!$A$11:$N$49,G$2,0))+IF(ISNA(VLOOKUP('Project Details by Yr - MASTER'!$B148,'Public Buildings'!$A$10:$N$96,G$2,0)),0,VLOOKUP('Project Details by Yr - MASTER'!$B148,'Public Buildings'!$A$10:$N$96,G$2,0))+IF(ISNA(VLOOKUP('Project Details by Yr - MASTER'!$B148,Bridges!$A$9:$N$24,G$2,0)),0,VLOOKUP('Project Details by Yr - MASTER'!$B148,Bridges!$A$9:$N$24,G$2,0))+IF(ISNA(VLOOKUP('Project Details by Yr - MASTER'!$B148,'Parking Lots &amp; Playgrounds'!$A$9:$N$33,G$2,0)),0,VLOOKUP('Project Details by Yr - MASTER'!$B148,'Parking Lots &amp; Playgrounds'!$A$9:$N$33,G$2,0))+IF(ISNA(VLOOKUP($B148,Vehicles!$B$9:$O$50,G$2,0)),0,VLOOKUP($B148,Vehicles!$B$9:$O$50,G$2,0))</f>
        <v>210000</v>
      </c>
      <c r="H148" s="8">
        <f>IF(ISNA(VLOOKUP($B148,'Other Capital Needs'!$C$51:$P$95,H$2,0)),0,VLOOKUP($B148,'Other Capital Needs'!$C$51:$P$95,H$2,0))+IF(ISNA(VLOOKUP('Project Details by Yr - MASTER'!$B148,'Public Grounds'!$A$11:$N$49,H$2,0)),0,VLOOKUP('Project Details by Yr - MASTER'!$B148,'Public Grounds'!$A$11:$N$49,H$2,0))+IF(ISNA(VLOOKUP('Project Details by Yr - MASTER'!$B148,'Public Buildings'!$A$10:$N$96,H$2,0)),0,VLOOKUP('Project Details by Yr - MASTER'!$B148,'Public Buildings'!$A$10:$N$96,H$2,0))+IF(ISNA(VLOOKUP('Project Details by Yr - MASTER'!$B148,Bridges!$A$9:$N$24,H$2,0)),0,VLOOKUP('Project Details by Yr - MASTER'!$B148,Bridges!$A$9:$N$24,H$2,0))+IF(ISNA(VLOOKUP('Project Details by Yr - MASTER'!$B148,'Parking Lots &amp; Playgrounds'!$A$9:$N$33,H$2,0)),0,VLOOKUP('Project Details by Yr - MASTER'!$B148,'Parking Lots &amp; Playgrounds'!$A$9:$N$33,H$2,0))+IF(ISNA(VLOOKUP($B148,Vehicles!$B$9:$O$50,H$2,0)),0,VLOOKUP($B148,Vehicles!$B$9:$O$50,H$2,0))</f>
        <v>0</v>
      </c>
      <c r="I148" s="8">
        <f>IF(ISNA(VLOOKUP($B148,'Other Capital Needs'!$C$51:$P$95,I$2,0)),0,VLOOKUP($B148,'Other Capital Needs'!$C$51:$P$95,I$2,0))+IF(ISNA(VLOOKUP('Project Details by Yr - MASTER'!$B148,'Public Grounds'!$A$11:$N$49,I$2,0)),0,VLOOKUP('Project Details by Yr - MASTER'!$B148,'Public Grounds'!$A$11:$N$49,I$2,0))+IF(ISNA(VLOOKUP('Project Details by Yr - MASTER'!$B148,'Public Buildings'!$A$10:$N$96,I$2,0)),0,VLOOKUP('Project Details by Yr - MASTER'!$B148,'Public Buildings'!$A$10:$N$96,I$2,0))+IF(ISNA(VLOOKUP('Project Details by Yr - MASTER'!$B148,Bridges!$A$9:$N$24,I$2,0)),0,VLOOKUP('Project Details by Yr - MASTER'!$B148,Bridges!$A$9:$N$24,I$2,0))+IF(ISNA(VLOOKUP('Project Details by Yr - MASTER'!$B148,'Parking Lots &amp; Playgrounds'!$A$9:$N$33,I$2,0)),0,VLOOKUP('Project Details by Yr - MASTER'!$B148,'Parking Lots &amp; Playgrounds'!$A$9:$N$33,I$2,0))+IF(ISNA(VLOOKUP($B148,Vehicles!$B$9:$O$50,I$2,0)),0,VLOOKUP($B148,Vehicles!$B$9:$O$50,I$2,0))</f>
        <v>0</v>
      </c>
      <c r="J148" s="8">
        <f>IF(ISNA(VLOOKUP($B148,'Other Capital Needs'!$C$51:$P$95,J$2,0)),0,VLOOKUP($B148,'Other Capital Needs'!$C$51:$P$95,J$2,0))+IF(ISNA(VLOOKUP('Project Details by Yr - MASTER'!$B148,'Public Grounds'!$A$11:$N$49,J$2,0)),0,VLOOKUP('Project Details by Yr - MASTER'!$B148,'Public Grounds'!$A$11:$N$49,J$2,0))+IF(ISNA(VLOOKUP('Project Details by Yr - MASTER'!$B148,'Public Buildings'!$A$10:$N$96,J$2,0)),0,VLOOKUP('Project Details by Yr - MASTER'!$B148,'Public Buildings'!$A$10:$N$96,J$2,0))+IF(ISNA(VLOOKUP('Project Details by Yr - MASTER'!$B148,Bridges!$A$9:$N$24,J$2,0)),0,VLOOKUP('Project Details by Yr - MASTER'!$B148,Bridges!$A$9:$N$24,J$2,0))+IF(ISNA(VLOOKUP('Project Details by Yr - MASTER'!$B148,'Parking Lots &amp; Playgrounds'!$A$9:$N$33,J$2,0)),0,VLOOKUP('Project Details by Yr - MASTER'!$B148,'Parking Lots &amp; Playgrounds'!$A$9:$N$33,J$2,0))+IF(ISNA(VLOOKUP($B148,Vehicles!$B$9:$O$50,J$2,0)),0,VLOOKUP($B148,Vehicles!$B$9:$O$50,J$2,0))</f>
        <v>0</v>
      </c>
      <c r="K148" s="8">
        <f>IF(ISNA(VLOOKUP($B148,'Other Capital Needs'!$C$51:$P$95,K$2,0)),0,VLOOKUP($B148,'Other Capital Needs'!$C$51:$P$95,K$2,0))+IF(ISNA(VLOOKUP('Project Details by Yr - MASTER'!$B148,'Public Grounds'!$A$11:$N$49,K$2,0)),0,VLOOKUP('Project Details by Yr - MASTER'!$B148,'Public Grounds'!$A$11:$N$49,K$2,0))+IF(ISNA(VLOOKUP('Project Details by Yr - MASTER'!$B148,'Public Buildings'!$A$10:$N$96,K$2,0)),0,VLOOKUP('Project Details by Yr - MASTER'!$B148,'Public Buildings'!$A$10:$N$96,K$2,0))+IF(ISNA(VLOOKUP('Project Details by Yr - MASTER'!$B148,Bridges!$A$9:$N$24,K$2,0)),0,VLOOKUP('Project Details by Yr - MASTER'!$B148,Bridges!$A$9:$N$24,K$2,0))+IF(ISNA(VLOOKUP('Project Details by Yr - MASTER'!$B148,'Parking Lots &amp; Playgrounds'!$A$9:$N$33,K$2,0)),0,VLOOKUP('Project Details by Yr - MASTER'!$B148,'Parking Lots &amp; Playgrounds'!$A$9:$N$33,K$2,0))+IF(ISNA(VLOOKUP($B148,Vehicles!$B$9:$O$50,K$2,0)),0,VLOOKUP($B148,Vehicles!$B$9:$O$50,K$2,0))</f>
        <v>0</v>
      </c>
    </row>
    <row r="149" spans="2:11" x14ac:dyDescent="0.25">
      <c r="B149" t="s">
        <v>87</v>
      </c>
      <c r="C149" t="s">
        <v>91</v>
      </c>
      <c r="D149" t="s">
        <v>273</v>
      </c>
      <c r="E149" s="1" t="s">
        <v>16</v>
      </c>
      <c r="G149" s="8">
        <f>IF(ISNA(VLOOKUP($B149,'Other Capital Needs'!$C$51:$P$95,G$2,0)),0,VLOOKUP($B149,'Other Capital Needs'!$C$51:$P$95,G$2,0))+IF(ISNA(VLOOKUP('Project Details by Yr - MASTER'!$B149,'Public Grounds'!$A$11:$N$49,G$2,0)),0,VLOOKUP('Project Details by Yr - MASTER'!$B149,'Public Grounds'!$A$11:$N$49,G$2,0))+IF(ISNA(VLOOKUP('Project Details by Yr - MASTER'!$B149,'Public Buildings'!$A$10:$N$96,G$2,0)),0,VLOOKUP('Project Details by Yr - MASTER'!$B149,'Public Buildings'!$A$10:$N$96,G$2,0))+IF(ISNA(VLOOKUP('Project Details by Yr - MASTER'!$B149,Bridges!$A$9:$N$24,G$2,0)),0,VLOOKUP('Project Details by Yr - MASTER'!$B149,Bridges!$A$9:$N$24,G$2,0))+IF(ISNA(VLOOKUP('Project Details by Yr - MASTER'!$B149,'Parking Lots &amp; Playgrounds'!$A$9:$N$33,G$2,0)),0,VLOOKUP('Project Details by Yr - MASTER'!$B149,'Parking Lots &amp; Playgrounds'!$A$9:$N$33,G$2,0))+IF(ISNA(VLOOKUP($B149,Vehicles!$B$9:$O$50,G$2,0)),0,VLOOKUP($B149,Vehicles!$B$9:$O$50,G$2,0))</f>
        <v>0</v>
      </c>
      <c r="H149" s="8">
        <f>IF(ISNA(VLOOKUP($B149,'Other Capital Needs'!$C$51:$P$95,H$2,0)),0,VLOOKUP($B149,'Other Capital Needs'!$C$51:$P$95,H$2,0))+IF(ISNA(VLOOKUP('Project Details by Yr - MASTER'!$B149,'Public Grounds'!$A$11:$N$49,H$2,0)),0,VLOOKUP('Project Details by Yr - MASTER'!$B149,'Public Grounds'!$A$11:$N$49,H$2,0))+IF(ISNA(VLOOKUP('Project Details by Yr - MASTER'!$B149,'Public Buildings'!$A$10:$N$96,H$2,0)),0,VLOOKUP('Project Details by Yr - MASTER'!$B149,'Public Buildings'!$A$10:$N$96,H$2,0))+IF(ISNA(VLOOKUP('Project Details by Yr - MASTER'!$B149,Bridges!$A$9:$N$24,H$2,0)),0,VLOOKUP('Project Details by Yr - MASTER'!$B149,Bridges!$A$9:$N$24,H$2,0))+IF(ISNA(VLOOKUP('Project Details by Yr - MASTER'!$B149,'Parking Lots &amp; Playgrounds'!$A$9:$N$33,H$2,0)),0,VLOOKUP('Project Details by Yr - MASTER'!$B149,'Parking Lots &amp; Playgrounds'!$A$9:$N$33,H$2,0))+IF(ISNA(VLOOKUP($B149,Vehicles!$B$9:$O$50,H$2,0)),0,VLOOKUP($B149,Vehicles!$B$9:$O$50,H$2,0))</f>
        <v>0</v>
      </c>
      <c r="I149" s="8">
        <f>IF(ISNA(VLOOKUP($B149,'Other Capital Needs'!$C$51:$P$95,I$2,0)),0,VLOOKUP($B149,'Other Capital Needs'!$C$51:$P$95,I$2,0))+IF(ISNA(VLOOKUP('Project Details by Yr - MASTER'!$B149,'Public Grounds'!$A$11:$N$49,I$2,0)),0,VLOOKUP('Project Details by Yr - MASTER'!$B149,'Public Grounds'!$A$11:$N$49,I$2,0))+IF(ISNA(VLOOKUP('Project Details by Yr - MASTER'!$B149,'Public Buildings'!$A$10:$N$96,I$2,0)),0,VLOOKUP('Project Details by Yr - MASTER'!$B149,'Public Buildings'!$A$10:$N$96,I$2,0))+IF(ISNA(VLOOKUP('Project Details by Yr - MASTER'!$B149,Bridges!$A$9:$N$24,I$2,0)),0,VLOOKUP('Project Details by Yr - MASTER'!$B149,Bridges!$A$9:$N$24,I$2,0))+IF(ISNA(VLOOKUP('Project Details by Yr - MASTER'!$B149,'Parking Lots &amp; Playgrounds'!$A$9:$N$33,I$2,0)),0,VLOOKUP('Project Details by Yr - MASTER'!$B149,'Parking Lots &amp; Playgrounds'!$A$9:$N$33,I$2,0))+IF(ISNA(VLOOKUP($B149,Vehicles!$B$9:$O$50,I$2,0)),0,VLOOKUP($B149,Vehicles!$B$9:$O$50,I$2,0))</f>
        <v>0</v>
      </c>
      <c r="J149" s="8">
        <f>IF(ISNA(VLOOKUP($B149,'Other Capital Needs'!$C$51:$P$95,J$2,0)),0,VLOOKUP($B149,'Other Capital Needs'!$C$51:$P$95,J$2,0))+IF(ISNA(VLOOKUP('Project Details by Yr - MASTER'!$B149,'Public Grounds'!$A$11:$N$49,J$2,0)),0,VLOOKUP('Project Details by Yr - MASTER'!$B149,'Public Grounds'!$A$11:$N$49,J$2,0))+IF(ISNA(VLOOKUP('Project Details by Yr - MASTER'!$B149,'Public Buildings'!$A$10:$N$96,J$2,0)),0,VLOOKUP('Project Details by Yr - MASTER'!$B149,'Public Buildings'!$A$10:$N$96,J$2,0))+IF(ISNA(VLOOKUP('Project Details by Yr - MASTER'!$B149,Bridges!$A$9:$N$24,J$2,0)),0,VLOOKUP('Project Details by Yr - MASTER'!$B149,Bridges!$A$9:$N$24,J$2,0))+IF(ISNA(VLOOKUP('Project Details by Yr - MASTER'!$B149,'Parking Lots &amp; Playgrounds'!$A$9:$N$33,J$2,0)),0,VLOOKUP('Project Details by Yr - MASTER'!$B149,'Parking Lots &amp; Playgrounds'!$A$9:$N$33,J$2,0))+IF(ISNA(VLOOKUP($B149,Vehicles!$B$9:$O$50,J$2,0)),0,VLOOKUP($B149,Vehicles!$B$9:$O$50,J$2,0))</f>
        <v>0</v>
      </c>
      <c r="K149" s="8">
        <f>IF(ISNA(VLOOKUP($B149,'Other Capital Needs'!$C$51:$P$95,K$2,0)),0,VLOOKUP($B149,'Other Capital Needs'!$C$51:$P$95,K$2,0))+IF(ISNA(VLOOKUP('Project Details by Yr - MASTER'!$B149,'Public Grounds'!$A$11:$N$49,K$2,0)),0,VLOOKUP('Project Details by Yr - MASTER'!$B149,'Public Grounds'!$A$11:$N$49,K$2,0))+IF(ISNA(VLOOKUP('Project Details by Yr - MASTER'!$B149,'Public Buildings'!$A$10:$N$96,K$2,0)),0,VLOOKUP('Project Details by Yr - MASTER'!$B149,'Public Buildings'!$A$10:$N$96,K$2,0))+IF(ISNA(VLOOKUP('Project Details by Yr - MASTER'!$B149,Bridges!$A$9:$N$24,K$2,0)),0,VLOOKUP('Project Details by Yr - MASTER'!$B149,Bridges!$A$9:$N$24,K$2,0))+IF(ISNA(VLOOKUP('Project Details by Yr - MASTER'!$B149,'Parking Lots &amp; Playgrounds'!$A$9:$N$33,K$2,0)),0,VLOOKUP('Project Details by Yr - MASTER'!$B149,'Parking Lots &amp; Playgrounds'!$A$9:$N$33,K$2,0))+IF(ISNA(VLOOKUP($B149,Vehicles!$B$9:$O$50,K$2,0)),0,VLOOKUP($B149,Vehicles!$B$9:$O$50,K$2,0))</f>
        <v>0</v>
      </c>
    </row>
    <row r="150" spans="2:11" x14ac:dyDescent="0.25">
      <c r="B150" t="s">
        <v>96</v>
      </c>
      <c r="C150" t="s">
        <v>91</v>
      </c>
      <c r="D150" t="s">
        <v>273</v>
      </c>
      <c r="E150" s="1" t="s">
        <v>16</v>
      </c>
      <c r="G150" s="8">
        <f>IF(ISNA(VLOOKUP($B150,'Other Capital Needs'!$C$51:$P$95,G$2,0)),0,VLOOKUP($B150,'Other Capital Needs'!$C$51:$P$95,G$2,0))+IF(ISNA(VLOOKUP('Project Details by Yr - MASTER'!$B150,'Public Grounds'!$A$11:$N$49,G$2,0)),0,VLOOKUP('Project Details by Yr - MASTER'!$B150,'Public Grounds'!$A$11:$N$49,G$2,0))+IF(ISNA(VLOOKUP('Project Details by Yr - MASTER'!$B150,'Public Buildings'!$A$10:$N$96,G$2,0)),0,VLOOKUP('Project Details by Yr - MASTER'!$B150,'Public Buildings'!$A$10:$N$96,G$2,0))+IF(ISNA(VLOOKUP('Project Details by Yr - MASTER'!$B150,Bridges!$A$9:$N$24,G$2,0)),0,VLOOKUP('Project Details by Yr - MASTER'!$B150,Bridges!$A$9:$N$24,G$2,0))+IF(ISNA(VLOOKUP('Project Details by Yr - MASTER'!$B150,'Parking Lots &amp; Playgrounds'!$A$9:$N$33,G$2,0)),0,VLOOKUP('Project Details by Yr - MASTER'!$B150,'Parking Lots &amp; Playgrounds'!$A$9:$N$33,G$2,0))+IF(ISNA(VLOOKUP($B150,Vehicles!$B$9:$O$50,G$2,0)),0,VLOOKUP($B150,Vehicles!$B$9:$O$50,G$2,0))</f>
        <v>0</v>
      </c>
      <c r="H150" s="8">
        <f>IF(ISNA(VLOOKUP($B150,'Other Capital Needs'!$C$51:$P$95,H$2,0)),0,VLOOKUP($B150,'Other Capital Needs'!$C$51:$P$95,H$2,0))+IF(ISNA(VLOOKUP('Project Details by Yr - MASTER'!$B150,'Public Grounds'!$A$11:$N$49,H$2,0)),0,VLOOKUP('Project Details by Yr - MASTER'!$B150,'Public Grounds'!$A$11:$N$49,H$2,0))+IF(ISNA(VLOOKUP('Project Details by Yr - MASTER'!$B150,'Public Buildings'!$A$10:$N$96,H$2,0)),0,VLOOKUP('Project Details by Yr - MASTER'!$B150,'Public Buildings'!$A$10:$N$96,H$2,0))+IF(ISNA(VLOOKUP('Project Details by Yr - MASTER'!$B150,Bridges!$A$9:$N$24,H$2,0)),0,VLOOKUP('Project Details by Yr - MASTER'!$B150,Bridges!$A$9:$N$24,H$2,0))+IF(ISNA(VLOOKUP('Project Details by Yr - MASTER'!$B150,'Parking Lots &amp; Playgrounds'!$A$9:$N$33,H$2,0)),0,VLOOKUP('Project Details by Yr - MASTER'!$B150,'Parking Lots &amp; Playgrounds'!$A$9:$N$33,H$2,0))+IF(ISNA(VLOOKUP($B150,Vehicles!$B$9:$O$50,H$2,0)),0,VLOOKUP($B150,Vehicles!$B$9:$O$50,H$2,0))</f>
        <v>195000</v>
      </c>
      <c r="I150" s="8">
        <f>IF(ISNA(VLOOKUP($B150,'Other Capital Needs'!$C$51:$P$95,I$2,0)),0,VLOOKUP($B150,'Other Capital Needs'!$C$51:$P$95,I$2,0))+IF(ISNA(VLOOKUP('Project Details by Yr - MASTER'!$B150,'Public Grounds'!$A$11:$N$49,I$2,0)),0,VLOOKUP('Project Details by Yr - MASTER'!$B150,'Public Grounds'!$A$11:$N$49,I$2,0))+IF(ISNA(VLOOKUP('Project Details by Yr - MASTER'!$B150,'Public Buildings'!$A$10:$N$96,I$2,0)),0,VLOOKUP('Project Details by Yr - MASTER'!$B150,'Public Buildings'!$A$10:$N$96,I$2,0))+IF(ISNA(VLOOKUP('Project Details by Yr - MASTER'!$B150,Bridges!$A$9:$N$24,I$2,0)),0,VLOOKUP('Project Details by Yr - MASTER'!$B150,Bridges!$A$9:$N$24,I$2,0))+IF(ISNA(VLOOKUP('Project Details by Yr - MASTER'!$B150,'Parking Lots &amp; Playgrounds'!$A$9:$N$33,I$2,0)),0,VLOOKUP('Project Details by Yr - MASTER'!$B150,'Parking Lots &amp; Playgrounds'!$A$9:$N$33,I$2,0))+IF(ISNA(VLOOKUP($B150,Vehicles!$B$9:$O$50,I$2,0)),0,VLOOKUP($B150,Vehicles!$B$9:$O$50,I$2,0))</f>
        <v>0</v>
      </c>
      <c r="J150" s="8">
        <f>IF(ISNA(VLOOKUP($B150,'Other Capital Needs'!$C$51:$P$95,J$2,0)),0,VLOOKUP($B150,'Other Capital Needs'!$C$51:$P$95,J$2,0))+IF(ISNA(VLOOKUP('Project Details by Yr - MASTER'!$B150,'Public Grounds'!$A$11:$N$49,J$2,0)),0,VLOOKUP('Project Details by Yr - MASTER'!$B150,'Public Grounds'!$A$11:$N$49,J$2,0))+IF(ISNA(VLOOKUP('Project Details by Yr - MASTER'!$B150,'Public Buildings'!$A$10:$N$96,J$2,0)),0,VLOOKUP('Project Details by Yr - MASTER'!$B150,'Public Buildings'!$A$10:$N$96,J$2,0))+IF(ISNA(VLOOKUP('Project Details by Yr - MASTER'!$B150,Bridges!$A$9:$N$24,J$2,0)),0,VLOOKUP('Project Details by Yr - MASTER'!$B150,Bridges!$A$9:$N$24,J$2,0))+IF(ISNA(VLOOKUP('Project Details by Yr - MASTER'!$B150,'Parking Lots &amp; Playgrounds'!$A$9:$N$33,J$2,0)),0,VLOOKUP('Project Details by Yr - MASTER'!$B150,'Parking Lots &amp; Playgrounds'!$A$9:$N$33,J$2,0))+IF(ISNA(VLOOKUP($B150,Vehicles!$B$9:$O$50,J$2,0)),0,VLOOKUP($B150,Vehicles!$B$9:$O$50,J$2,0))</f>
        <v>0</v>
      </c>
      <c r="K150" s="8">
        <f>IF(ISNA(VLOOKUP($B150,'Other Capital Needs'!$C$51:$P$95,K$2,0)),0,VLOOKUP($B150,'Other Capital Needs'!$C$51:$P$95,K$2,0))+IF(ISNA(VLOOKUP('Project Details by Yr - MASTER'!$B150,'Public Grounds'!$A$11:$N$49,K$2,0)),0,VLOOKUP('Project Details by Yr - MASTER'!$B150,'Public Grounds'!$A$11:$N$49,K$2,0))+IF(ISNA(VLOOKUP('Project Details by Yr - MASTER'!$B150,'Public Buildings'!$A$10:$N$96,K$2,0)),0,VLOOKUP('Project Details by Yr - MASTER'!$B150,'Public Buildings'!$A$10:$N$96,K$2,0))+IF(ISNA(VLOOKUP('Project Details by Yr - MASTER'!$B150,Bridges!$A$9:$N$24,K$2,0)),0,VLOOKUP('Project Details by Yr - MASTER'!$B150,Bridges!$A$9:$N$24,K$2,0))+IF(ISNA(VLOOKUP('Project Details by Yr - MASTER'!$B150,'Parking Lots &amp; Playgrounds'!$A$9:$N$33,K$2,0)),0,VLOOKUP('Project Details by Yr - MASTER'!$B150,'Parking Lots &amp; Playgrounds'!$A$9:$N$33,K$2,0))+IF(ISNA(VLOOKUP($B150,Vehicles!$B$9:$O$50,K$2,0)),0,VLOOKUP($B150,Vehicles!$B$9:$O$50,K$2,0))</f>
        <v>0</v>
      </c>
    </row>
    <row r="151" spans="2:11" x14ac:dyDescent="0.25">
      <c r="B151" t="s">
        <v>95</v>
      </c>
      <c r="C151" t="s">
        <v>91</v>
      </c>
      <c r="D151" t="s">
        <v>273</v>
      </c>
      <c r="E151" s="1" t="s">
        <v>16</v>
      </c>
      <c r="G151" s="8">
        <f>IF(ISNA(VLOOKUP($B151,'Other Capital Needs'!$C$51:$P$95,G$2,0)),0,VLOOKUP($B151,'Other Capital Needs'!$C$51:$P$95,G$2,0))+IF(ISNA(VLOOKUP('Project Details by Yr - MASTER'!$B151,'Public Grounds'!$A$11:$N$49,G$2,0)),0,VLOOKUP('Project Details by Yr - MASTER'!$B151,'Public Grounds'!$A$11:$N$49,G$2,0))+IF(ISNA(VLOOKUP('Project Details by Yr - MASTER'!$B151,'Public Buildings'!$A$10:$N$96,G$2,0)),0,VLOOKUP('Project Details by Yr - MASTER'!$B151,'Public Buildings'!$A$10:$N$96,G$2,0))+IF(ISNA(VLOOKUP('Project Details by Yr - MASTER'!$B151,Bridges!$A$9:$N$24,G$2,0)),0,VLOOKUP('Project Details by Yr - MASTER'!$B151,Bridges!$A$9:$N$24,G$2,0))+IF(ISNA(VLOOKUP('Project Details by Yr - MASTER'!$B151,'Parking Lots &amp; Playgrounds'!$A$9:$N$33,G$2,0)),0,VLOOKUP('Project Details by Yr - MASTER'!$B151,'Parking Lots &amp; Playgrounds'!$A$9:$N$33,G$2,0))+IF(ISNA(VLOOKUP($B151,Vehicles!$B$9:$O$50,G$2,0)),0,VLOOKUP($B151,Vehicles!$B$9:$O$50,G$2,0))</f>
        <v>0</v>
      </c>
      <c r="H151" s="8">
        <f>IF(ISNA(VLOOKUP($B151,'Other Capital Needs'!$C$51:$P$95,H$2,0)),0,VLOOKUP($B151,'Other Capital Needs'!$C$51:$P$95,H$2,0))+IF(ISNA(VLOOKUP('Project Details by Yr - MASTER'!$B151,'Public Grounds'!$A$11:$N$49,H$2,0)),0,VLOOKUP('Project Details by Yr - MASTER'!$B151,'Public Grounds'!$A$11:$N$49,H$2,0))+IF(ISNA(VLOOKUP('Project Details by Yr - MASTER'!$B151,'Public Buildings'!$A$10:$N$96,H$2,0)),0,VLOOKUP('Project Details by Yr - MASTER'!$B151,'Public Buildings'!$A$10:$N$96,H$2,0))+IF(ISNA(VLOOKUP('Project Details by Yr - MASTER'!$B151,Bridges!$A$9:$N$24,H$2,0)),0,VLOOKUP('Project Details by Yr - MASTER'!$B151,Bridges!$A$9:$N$24,H$2,0))+IF(ISNA(VLOOKUP('Project Details by Yr - MASTER'!$B151,'Parking Lots &amp; Playgrounds'!$A$9:$N$33,H$2,0)),0,VLOOKUP('Project Details by Yr - MASTER'!$B151,'Parking Lots &amp; Playgrounds'!$A$9:$N$33,H$2,0))+IF(ISNA(VLOOKUP($B151,Vehicles!$B$9:$O$50,H$2,0)),0,VLOOKUP($B151,Vehicles!$B$9:$O$50,H$2,0))</f>
        <v>0</v>
      </c>
      <c r="I151" s="8">
        <f>IF(ISNA(VLOOKUP($B151,'Other Capital Needs'!$C$51:$P$95,I$2,0)),0,VLOOKUP($B151,'Other Capital Needs'!$C$51:$P$95,I$2,0))+IF(ISNA(VLOOKUP('Project Details by Yr - MASTER'!$B151,'Public Grounds'!$A$11:$N$49,I$2,0)),0,VLOOKUP('Project Details by Yr - MASTER'!$B151,'Public Grounds'!$A$11:$N$49,I$2,0))+IF(ISNA(VLOOKUP('Project Details by Yr - MASTER'!$B151,'Public Buildings'!$A$10:$N$96,I$2,0)),0,VLOOKUP('Project Details by Yr - MASTER'!$B151,'Public Buildings'!$A$10:$N$96,I$2,0))+IF(ISNA(VLOOKUP('Project Details by Yr - MASTER'!$B151,Bridges!$A$9:$N$24,I$2,0)),0,VLOOKUP('Project Details by Yr - MASTER'!$B151,Bridges!$A$9:$N$24,I$2,0))+IF(ISNA(VLOOKUP('Project Details by Yr - MASTER'!$B151,'Parking Lots &amp; Playgrounds'!$A$9:$N$33,I$2,0)),0,VLOOKUP('Project Details by Yr - MASTER'!$B151,'Parking Lots &amp; Playgrounds'!$A$9:$N$33,I$2,0))+IF(ISNA(VLOOKUP($B151,Vehicles!$B$9:$O$50,I$2,0)),0,VLOOKUP($B151,Vehicles!$B$9:$O$50,I$2,0))</f>
        <v>0</v>
      </c>
      <c r="J151" s="8">
        <f>IF(ISNA(VLOOKUP($B151,'Other Capital Needs'!$C$51:$P$95,J$2,0)),0,VLOOKUP($B151,'Other Capital Needs'!$C$51:$P$95,J$2,0))+IF(ISNA(VLOOKUP('Project Details by Yr - MASTER'!$B151,'Public Grounds'!$A$11:$N$49,J$2,0)),0,VLOOKUP('Project Details by Yr - MASTER'!$B151,'Public Grounds'!$A$11:$N$49,J$2,0))+IF(ISNA(VLOOKUP('Project Details by Yr - MASTER'!$B151,'Public Buildings'!$A$10:$N$96,J$2,0)),0,VLOOKUP('Project Details by Yr - MASTER'!$B151,'Public Buildings'!$A$10:$N$96,J$2,0))+IF(ISNA(VLOOKUP('Project Details by Yr - MASTER'!$B151,Bridges!$A$9:$N$24,J$2,0)),0,VLOOKUP('Project Details by Yr - MASTER'!$B151,Bridges!$A$9:$N$24,J$2,0))+IF(ISNA(VLOOKUP('Project Details by Yr - MASTER'!$B151,'Parking Lots &amp; Playgrounds'!$A$9:$N$33,J$2,0)),0,VLOOKUP('Project Details by Yr - MASTER'!$B151,'Parking Lots &amp; Playgrounds'!$A$9:$N$33,J$2,0))+IF(ISNA(VLOOKUP($B151,Vehicles!$B$9:$O$50,J$2,0)),0,VLOOKUP($B151,Vehicles!$B$9:$O$50,J$2,0))</f>
        <v>0</v>
      </c>
      <c r="K151" s="8">
        <f>IF(ISNA(VLOOKUP($B151,'Other Capital Needs'!$C$51:$P$95,K$2,0)),0,VLOOKUP($B151,'Other Capital Needs'!$C$51:$P$95,K$2,0))+IF(ISNA(VLOOKUP('Project Details by Yr - MASTER'!$B151,'Public Grounds'!$A$11:$N$49,K$2,0)),0,VLOOKUP('Project Details by Yr - MASTER'!$B151,'Public Grounds'!$A$11:$N$49,K$2,0))+IF(ISNA(VLOOKUP('Project Details by Yr - MASTER'!$B151,'Public Buildings'!$A$10:$N$96,K$2,0)),0,VLOOKUP('Project Details by Yr - MASTER'!$B151,'Public Buildings'!$A$10:$N$96,K$2,0))+IF(ISNA(VLOOKUP('Project Details by Yr - MASTER'!$B151,Bridges!$A$9:$N$24,K$2,0)),0,VLOOKUP('Project Details by Yr - MASTER'!$B151,Bridges!$A$9:$N$24,K$2,0))+IF(ISNA(VLOOKUP('Project Details by Yr - MASTER'!$B151,'Parking Lots &amp; Playgrounds'!$A$9:$N$33,K$2,0)),0,VLOOKUP('Project Details by Yr - MASTER'!$B151,'Parking Lots &amp; Playgrounds'!$A$9:$N$33,K$2,0))+IF(ISNA(VLOOKUP($B151,Vehicles!$B$9:$O$50,K$2,0)),0,VLOOKUP($B151,Vehicles!$B$9:$O$50,K$2,0))</f>
        <v>350000</v>
      </c>
    </row>
    <row r="152" spans="2:11" x14ac:dyDescent="0.25">
      <c r="B152" t="s">
        <v>89</v>
      </c>
      <c r="C152" t="s">
        <v>91</v>
      </c>
      <c r="D152" t="s">
        <v>273</v>
      </c>
      <c r="E152" s="1" t="s">
        <v>16</v>
      </c>
      <c r="G152" s="8">
        <f>IF(ISNA(VLOOKUP($B152,'Other Capital Needs'!$C$51:$P$95,G$2,0)),0,VLOOKUP($B152,'Other Capital Needs'!$C$51:$P$95,G$2,0))+IF(ISNA(VLOOKUP('Project Details by Yr - MASTER'!$B152,'Public Grounds'!$A$11:$N$49,G$2,0)),0,VLOOKUP('Project Details by Yr - MASTER'!$B152,'Public Grounds'!$A$11:$N$49,G$2,0))+IF(ISNA(VLOOKUP('Project Details by Yr - MASTER'!$B152,'Public Buildings'!$A$10:$N$96,G$2,0)),0,VLOOKUP('Project Details by Yr - MASTER'!$B152,'Public Buildings'!$A$10:$N$96,G$2,0))+IF(ISNA(VLOOKUP('Project Details by Yr - MASTER'!$B152,Bridges!$A$9:$N$24,G$2,0)),0,VLOOKUP('Project Details by Yr - MASTER'!$B152,Bridges!$A$9:$N$24,G$2,0))+IF(ISNA(VLOOKUP('Project Details by Yr - MASTER'!$B152,'Parking Lots &amp; Playgrounds'!$A$9:$N$33,G$2,0)),0,VLOOKUP('Project Details by Yr - MASTER'!$B152,'Parking Lots &amp; Playgrounds'!$A$9:$N$33,G$2,0))+IF(ISNA(VLOOKUP($B152,Vehicles!$B$9:$O$50,G$2,0)),0,VLOOKUP($B152,Vehicles!$B$9:$O$50,G$2,0))</f>
        <v>0</v>
      </c>
      <c r="H152" s="8">
        <f>IF(ISNA(VLOOKUP($B152,'Other Capital Needs'!$C$51:$P$95,H$2,0)),0,VLOOKUP($B152,'Other Capital Needs'!$C$51:$P$95,H$2,0))+IF(ISNA(VLOOKUP('Project Details by Yr - MASTER'!$B152,'Public Grounds'!$A$11:$N$49,H$2,0)),0,VLOOKUP('Project Details by Yr - MASTER'!$B152,'Public Grounds'!$A$11:$N$49,H$2,0))+IF(ISNA(VLOOKUP('Project Details by Yr - MASTER'!$B152,'Public Buildings'!$A$10:$N$96,H$2,0)),0,VLOOKUP('Project Details by Yr - MASTER'!$B152,'Public Buildings'!$A$10:$N$96,H$2,0))+IF(ISNA(VLOOKUP('Project Details by Yr - MASTER'!$B152,Bridges!$A$9:$N$24,H$2,0)),0,VLOOKUP('Project Details by Yr - MASTER'!$B152,Bridges!$A$9:$N$24,H$2,0))+IF(ISNA(VLOOKUP('Project Details by Yr - MASTER'!$B152,'Parking Lots &amp; Playgrounds'!$A$9:$N$33,H$2,0)),0,VLOOKUP('Project Details by Yr - MASTER'!$B152,'Parking Lots &amp; Playgrounds'!$A$9:$N$33,H$2,0))+IF(ISNA(VLOOKUP($B152,Vehicles!$B$9:$O$50,H$2,0)),0,VLOOKUP($B152,Vehicles!$B$9:$O$50,H$2,0))</f>
        <v>0</v>
      </c>
      <c r="I152" s="8">
        <f>IF(ISNA(VLOOKUP($B152,'Other Capital Needs'!$C$51:$P$95,I$2,0)),0,VLOOKUP($B152,'Other Capital Needs'!$C$51:$P$95,I$2,0))+IF(ISNA(VLOOKUP('Project Details by Yr - MASTER'!$B152,'Public Grounds'!$A$11:$N$49,I$2,0)),0,VLOOKUP('Project Details by Yr - MASTER'!$B152,'Public Grounds'!$A$11:$N$49,I$2,0))+IF(ISNA(VLOOKUP('Project Details by Yr - MASTER'!$B152,'Public Buildings'!$A$10:$N$96,I$2,0)),0,VLOOKUP('Project Details by Yr - MASTER'!$B152,'Public Buildings'!$A$10:$N$96,I$2,0))+IF(ISNA(VLOOKUP('Project Details by Yr - MASTER'!$B152,Bridges!$A$9:$N$24,I$2,0)),0,VLOOKUP('Project Details by Yr - MASTER'!$B152,Bridges!$A$9:$N$24,I$2,0))+IF(ISNA(VLOOKUP('Project Details by Yr - MASTER'!$B152,'Parking Lots &amp; Playgrounds'!$A$9:$N$33,I$2,0)),0,VLOOKUP('Project Details by Yr - MASTER'!$B152,'Parking Lots &amp; Playgrounds'!$A$9:$N$33,I$2,0))+IF(ISNA(VLOOKUP($B152,Vehicles!$B$9:$O$50,I$2,0)),0,VLOOKUP($B152,Vehicles!$B$9:$O$50,I$2,0))</f>
        <v>0</v>
      </c>
      <c r="J152" s="8">
        <f>IF(ISNA(VLOOKUP($B152,'Other Capital Needs'!$C$51:$P$95,J$2,0)),0,VLOOKUP($B152,'Other Capital Needs'!$C$51:$P$95,J$2,0))+IF(ISNA(VLOOKUP('Project Details by Yr - MASTER'!$B152,'Public Grounds'!$A$11:$N$49,J$2,0)),0,VLOOKUP('Project Details by Yr - MASTER'!$B152,'Public Grounds'!$A$11:$N$49,J$2,0))+IF(ISNA(VLOOKUP('Project Details by Yr - MASTER'!$B152,'Public Buildings'!$A$10:$N$96,J$2,0)),0,VLOOKUP('Project Details by Yr - MASTER'!$B152,'Public Buildings'!$A$10:$N$96,J$2,0))+IF(ISNA(VLOOKUP('Project Details by Yr - MASTER'!$B152,Bridges!$A$9:$N$24,J$2,0)),0,VLOOKUP('Project Details by Yr - MASTER'!$B152,Bridges!$A$9:$N$24,J$2,0))+IF(ISNA(VLOOKUP('Project Details by Yr - MASTER'!$B152,'Parking Lots &amp; Playgrounds'!$A$9:$N$33,J$2,0)),0,VLOOKUP('Project Details by Yr - MASTER'!$B152,'Parking Lots &amp; Playgrounds'!$A$9:$N$33,J$2,0))+IF(ISNA(VLOOKUP($B152,Vehicles!$B$9:$O$50,J$2,0)),0,VLOOKUP($B152,Vehicles!$B$9:$O$50,J$2,0))</f>
        <v>0</v>
      </c>
      <c r="K152" s="8">
        <f>IF(ISNA(VLOOKUP($B152,'Other Capital Needs'!$C$51:$P$95,K$2,0)),0,VLOOKUP($B152,'Other Capital Needs'!$C$51:$P$95,K$2,0))+IF(ISNA(VLOOKUP('Project Details by Yr - MASTER'!$B152,'Public Grounds'!$A$11:$N$49,K$2,0)),0,VLOOKUP('Project Details by Yr - MASTER'!$B152,'Public Grounds'!$A$11:$N$49,K$2,0))+IF(ISNA(VLOOKUP('Project Details by Yr - MASTER'!$B152,'Public Buildings'!$A$10:$N$96,K$2,0)),0,VLOOKUP('Project Details by Yr - MASTER'!$B152,'Public Buildings'!$A$10:$N$96,K$2,0))+IF(ISNA(VLOOKUP('Project Details by Yr - MASTER'!$B152,Bridges!$A$9:$N$24,K$2,0)),0,VLOOKUP('Project Details by Yr - MASTER'!$B152,Bridges!$A$9:$N$24,K$2,0))+IF(ISNA(VLOOKUP('Project Details by Yr - MASTER'!$B152,'Parking Lots &amp; Playgrounds'!$A$9:$N$33,K$2,0)),0,VLOOKUP('Project Details by Yr - MASTER'!$B152,'Parking Lots &amp; Playgrounds'!$A$9:$N$33,K$2,0))+IF(ISNA(VLOOKUP($B152,Vehicles!$B$9:$O$50,K$2,0)),0,VLOOKUP($B152,Vehicles!$B$9:$O$50,K$2,0))</f>
        <v>0</v>
      </c>
    </row>
    <row r="153" spans="2:11" x14ac:dyDescent="0.25">
      <c r="B153" t="s">
        <v>98</v>
      </c>
      <c r="C153" t="s">
        <v>91</v>
      </c>
      <c r="D153" t="s">
        <v>273</v>
      </c>
      <c r="E153" s="1" t="s">
        <v>16</v>
      </c>
      <c r="G153" s="8">
        <f>IF(ISNA(VLOOKUP($B153,'Other Capital Needs'!$C$51:$P$95,G$2,0)),0,VLOOKUP($B153,'Other Capital Needs'!$C$51:$P$95,G$2,0))+IF(ISNA(VLOOKUP('Project Details by Yr - MASTER'!$B153,'Public Grounds'!$A$11:$N$49,G$2,0)),0,VLOOKUP('Project Details by Yr - MASTER'!$B153,'Public Grounds'!$A$11:$N$49,G$2,0))+IF(ISNA(VLOOKUP('Project Details by Yr - MASTER'!$B153,'Public Buildings'!$A$10:$N$96,G$2,0)),0,VLOOKUP('Project Details by Yr - MASTER'!$B153,'Public Buildings'!$A$10:$N$96,G$2,0))+IF(ISNA(VLOOKUP('Project Details by Yr - MASTER'!$B153,Bridges!$A$9:$N$24,G$2,0)),0,VLOOKUP('Project Details by Yr - MASTER'!$B153,Bridges!$A$9:$N$24,G$2,0))+IF(ISNA(VLOOKUP('Project Details by Yr - MASTER'!$B153,'Parking Lots &amp; Playgrounds'!$A$9:$N$33,G$2,0)),0,VLOOKUP('Project Details by Yr - MASTER'!$B153,'Parking Lots &amp; Playgrounds'!$A$9:$N$33,G$2,0))+IF(ISNA(VLOOKUP($B153,Vehicles!$B$9:$O$50,G$2,0)),0,VLOOKUP($B153,Vehicles!$B$9:$O$50,G$2,0))</f>
        <v>0</v>
      </c>
      <c r="H153" s="8">
        <f>IF(ISNA(VLOOKUP($B153,'Other Capital Needs'!$C$51:$P$95,H$2,0)),0,VLOOKUP($B153,'Other Capital Needs'!$C$51:$P$95,H$2,0))+IF(ISNA(VLOOKUP('Project Details by Yr - MASTER'!$B153,'Public Grounds'!$A$11:$N$49,H$2,0)),0,VLOOKUP('Project Details by Yr - MASTER'!$B153,'Public Grounds'!$A$11:$N$49,H$2,0))+IF(ISNA(VLOOKUP('Project Details by Yr - MASTER'!$B153,'Public Buildings'!$A$10:$N$96,H$2,0)),0,VLOOKUP('Project Details by Yr - MASTER'!$B153,'Public Buildings'!$A$10:$N$96,H$2,0))+IF(ISNA(VLOOKUP('Project Details by Yr - MASTER'!$B153,Bridges!$A$9:$N$24,H$2,0)),0,VLOOKUP('Project Details by Yr - MASTER'!$B153,Bridges!$A$9:$N$24,H$2,0))+IF(ISNA(VLOOKUP('Project Details by Yr - MASTER'!$B153,'Parking Lots &amp; Playgrounds'!$A$9:$N$33,H$2,0)),0,VLOOKUP('Project Details by Yr - MASTER'!$B153,'Parking Lots &amp; Playgrounds'!$A$9:$N$33,H$2,0))+IF(ISNA(VLOOKUP($B153,Vehicles!$B$9:$O$50,H$2,0)),0,VLOOKUP($B153,Vehicles!$B$9:$O$50,H$2,0))</f>
        <v>0</v>
      </c>
      <c r="I153" s="8">
        <f>IF(ISNA(VLOOKUP($B153,'Other Capital Needs'!$C$51:$P$95,I$2,0)),0,VLOOKUP($B153,'Other Capital Needs'!$C$51:$P$95,I$2,0))+IF(ISNA(VLOOKUP('Project Details by Yr - MASTER'!$B153,'Public Grounds'!$A$11:$N$49,I$2,0)),0,VLOOKUP('Project Details by Yr - MASTER'!$B153,'Public Grounds'!$A$11:$N$49,I$2,0))+IF(ISNA(VLOOKUP('Project Details by Yr - MASTER'!$B153,'Public Buildings'!$A$10:$N$96,I$2,0)),0,VLOOKUP('Project Details by Yr - MASTER'!$B153,'Public Buildings'!$A$10:$N$96,I$2,0))+IF(ISNA(VLOOKUP('Project Details by Yr - MASTER'!$B153,Bridges!$A$9:$N$24,I$2,0)),0,VLOOKUP('Project Details by Yr - MASTER'!$B153,Bridges!$A$9:$N$24,I$2,0))+IF(ISNA(VLOOKUP('Project Details by Yr - MASTER'!$B153,'Parking Lots &amp; Playgrounds'!$A$9:$N$33,I$2,0)),0,VLOOKUP('Project Details by Yr - MASTER'!$B153,'Parking Lots &amp; Playgrounds'!$A$9:$N$33,I$2,0))+IF(ISNA(VLOOKUP($B153,Vehicles!$B$9:$O$50,I$2,0)),0,VLOOKUP($B153,Vehicles!$B$9:$O$50,I$2,0))</f>
        <v>0</v>
      </c>
      <c r="J153" s="8">
        <f>IF(ISNA(VLOOKUP($B153,'Other Capital Needs'!$C$51:$P$95,J$2,0)),0,VLOOKUP($B153,'Other Capital Needs'!$C$51:$P$95,J$2,0))+IF(ISNA(VLOOKUP('Project Details by Yr - MASTER'!$B153,'Public Grounds'!$A$11:$N$49,J$2,0)),0,VLOOKUP('Project Details by Yr - MASTER'!$B153,'Public Grounds'!$A$11:$N$49,J$2,0))+IF(ISNA(VLOOKUP('Project Details by Yr - MASTER'!$B153,'Public Buildings'!$A$10:$N$96,J$2,0)),0,VLOOKUP('Project Details by Yr - MASTER'!$B153,'Public Buildings'!$A$10:$N$96,J$2,0))+IF(ISNA(VLOOKUP('Project Details by Yr - MASTER'!$B153,Bridges!$A$9:$N$24,J$2,0)),0,VLOOKUP('Project Details by Yr - MASTER'!$B153,Bridges!$A$9:$N$24,J$2,0))+IF(ISNA(VLOOKUP('Project Details by Yr - MASTER'!$B153,'Parking Lots &amp; Playgrounds'!$A$9:$N$33,J$2,0)),0,VLOOKUP('Project Details by Yr - MASTER'!$B153,'Parking Lots &amp; Playgrounds'!$A$9:$N$33,J$2,0))+IF(ISNA(VLOOKUP($B153,Vehicles!$B$9:$O$50,J$2,0)),0,VLOOKUP($B153,Vehicles!$B$9:$O$50,J$2,0))</f>
        <v>0</v>
      </c>
      <c r="K153" s="8">
        <f>IF(ISNA(VLOOKUP($B153,'Other Capital Needs'!$C$51:$P$95,K$2,0)),0,VLOOKUP($B153,'Other Capital Needs'!$C$51:$P$95,K$2,0))+IF(ISNA(VLOOKUP('Project Details by Yr - MASTER'!$B153,'Public Grounds'!$A$11:$N$49,K$2,0)),0,VLOOKUP('Project Details by Yr - MASTER'!$B153,'Public Grounds'!$A$11:$N$49,K$2,0))+IF(ISNA(VLOOKUP('Project Details by Yr - MASTER'!$B153,'Public Buildings'!$A$10:$N$96,K$2,0)),0,VLOOKUP('Project Details by Yr - MASTER'!$B153,'Public Buildings'!$A$10:$N$96,K$2,0))+IF(ISNA(VLOOKUP('Project Details by Yr - MASTER'!$B153,Bridges!$A$9:$N$24,K$2,0)),0,VLOOKUP('Project Details by Yr - MASTER'!$B153,Bridges!$A$9:$N$24,K$2,0))+IF(ISNA(VLOOKUP('Project Details by Yr - MASTER'!$B153,'Parking Lots &amp; Playgrounds'!$A$9:$N$33,K$2,0)),0,VLOOKUP('Project Details by Yr - MASTER'!$B153,'Parking Lots &amp; Playgrounds'!$A$9:$N$33,K$2,0))+IF(ISNA(VLOOKUP($B153,Vehicles!$B$9:$O$50,K$2,0)),0,VLOOKUP($B153,Vehicles!$B$9:$O$50,K$2,0))</f>
        <v>0</v>
      </c>
    </row>
    <row r="154" spans="2:11" x14ac:dyDescent="0.25">
      <c r="B154" t="s">
        <v>124</v>
      </c>
      <c r="C154" t="s">
        <v>49</v>
      </c>
      <c r="D154" t="s">
        <v>272</v>
      </c>
      <c r="E154" s="1" t="s">
        <v>16</v>
      </c>
      <c r="G154" s="8">
        <f>IF(ISNA(VLOOKUP($B154,'Other Capital Needs'!$C$51:$P$95,G$2,0)),0,VLOOKUP($B154,'Other Capital Needs'!$C$51:$P$95,G$2,0))+IF(ISNA(VLOOKUP('Project Details by Yr - MASTER'!$B154,'Public Grounds'!$A$11:$N$49,G$2,0)),0,VLOOKUP('Project Details by Yr - MASTER'!$B154,'Public Grounds'!$A$11:$N$49,G$2,0))+IF(ISNA(VLOOKUP('Project Details by Yr - MASTER'!$B154,'Public Buildings'!$A$10:$N$96,G$2,0)),0,VLOOKUP('Project Details by Yr - MASTER'!$B154,'Public Buildings'!$A$10:$N$96,G$2,0))+IF(ISNA(VLOOKUP('Project Details by Yr - MASTER'!$B154,Bridges!$A$9:$N$24,G$2,0)),0,VLOOKUP('Project Details by Yr - MASTER'!$B154,Bridges!$A$9:$N$24,G$2,0))+IF(ISNA(VLOOKUP('Project Details by Yr - MASTER'!$B154,'Parking Lots &amp; Playgrounds'!$A$9:$N$33,G$2,0)),0,VLOOKUP('Project Details by Yr - MASTER'!$B154,'Parking Lots &amp; Playgrounds'!$A$9:$N$33,G$2,0))+IF(ISNA(VLOOKUP($B154,Vehicles!$B$9:$O$50,G$2,0)),0,VLOOKUP($B154,Vehicles!$B$9:$O$50,G$2,0))</f>
        <v>145000</v>
      </c>
      <c r="H154" s="8">
        <f>IF(ISNA(VLOOKUP($B154,'Other Capital Needs'!$C$51:$P$95,H$2,0)),0,VLOOKUP($B154,'Other Capital Needs'!$C$51:$P$95,H$2,0))+IF(ISNA(VLOOKUP('Project Details by Yr - MASTER'!$B154,'Public Grounds'!$A$11:$N$49,H$2,0)),0,VLOOKUP('Project Details by Yr - MASTER'!$B154,'Public Grounds'!$A$11:$N$49,H$2,0))+IF(ISNA(VLOOKUP('Project Details by Yr - MASTER'!$B154,'Public Buildings'!$A$10:$N$96,H$2,0)),0,VLOOKUP('Project Details by Yr - MASTER'!$B154,'Public Buildings'!$A$10:$N$96,H$2,0))+IF(ISNA(VLOOKUP('Project Details by Yr - MASTER'!$B154,Bridges!$A$9:$N$24,H$2,0)),0,VLOOKUP('Project Details by Yr - MASTER'!$B154,Bridges!$A$9:$N$24,H$2,0))+IF(ISNA(VLOOKUP('Project Details by Yr - MASTER'!$B154,'Parking Lots &amp; Playgrounds'!$A$9:$N$33,H$2,0)),0,VLOOKUP('Project Details by Yr - MASTER'!$B154,'Parking Lots &amp; Playgrounds'!$A$9:$N$33,H$2,0))+IF(ISNA(VLOOKUP($B154,Vehicles!$B$9:$O$50,H$2,0)),0,VLOOKUP($B154,Vehicles!$B$9:$O$50,H$2,0))</f>
        <v>125000</v>
      </c>
      <c r="I154" s="8">
        <f>IF(ISNA(VLOOKUP($B154,'Other Capital Needs'!$C$51:$P$95,I$2,0)),0,VLOOKUP($B154,'Other Capital Needs'!$C$51:$P$95,I$2,0))+IF(ISNA(VLOOKUP('Project Details by Yr - MASTER'!$B154,'Public Grounds'!$A$11:$N$49,I$2,0)),0,VLOOKUP('Project Details by Yr - MASTER'!$B154,'Public Grounds'!$A$11:$N$49,I$2,0))+IF(ISNA(VLOOKUP('Project Details by Yr - MASTER'!$B154,'Public Buildings'!$A$10:$N$96,I$2,0)),0,VLOOKUP('Project Details by Yr - MASTER'!$B154,'Public Buildings'!$A$10:$N$96,I$2,0))+IF(ISNA(VLOOKUP('Project Details by Yr - MASTER'!$B154,Bridges!$A$9:$N$24,I$2,0)),0,VLOOKUP('Project Details by Yr - MASTER'!$B154,Bridges!$A$9:$N$24,I$2,0))+IF(ISNA(VLOOKUP('Project Details by Yr - MASTER'!$B154,'Parking Lots &amp; Playgrounds'!$A$9:$N$33,I$2,0)),0,VLOOKUP('Project Details by Yr - MASTER'!$B154,'Parking Lots &amp; Playgrounds'!$A$9:$N$33,I$2,0))+IF(ISNA(VLOOKUP($B154,Vehicles!$B$9:$O$50,I$2,0)),0,VLOOKUP($B154,Vehicles!$B$9:$O$50,I$2,0))</f>
        <v>125000</v>
      </c>
      <c r="J154" s="8">
        <f>IF(ISNA(VLOOKUP($B154,'Other Capital Needs'!$C$51:$P$95,J$2,0)),0,VLOOKUP($B154,'Other Capital Needs'!$C$51:$P$95,J$2,0))+IF(ISNA(VLOOKUP('Project Details by Yr - MASTER'!$B154,'Public Grounds'!$A$11:$N$49,J$2,0)),0,VLOOKUP('Project Details by Yr - MASTER'!$B154,'Public Grounds'!$A$11:$N$49,J$2,0))+IF(ISNA(VLOOKUP('Project Details by Yr - MASTER'!$B154,'Public Buildings'!$A$10:$N$96,J$2,0)),0,VLOOKUP('Project Details by Yr - MASTER'!$B154,'Public Buildings'!$A$10:$N$96,J$2,0))+IF(ISNA(VLOOKUP('Project Details by Yr - MASTER'!$B154,Bridges!$A$9:$N$24,J$2,0)),0,VLOOKUP('Project Details by Yr - MASTER'!$B154,Bridges!$A$9:$N$24,J$2,0))+IF(ISNA(VLOOKUP('Project Details by Yr - MASTER'!$B154,'Parking Lots &amp; Playgrounds'!$A$9:$N$33,J$2,0)),0,VLOOKUP('Project Details by Yr - MASTER'!$B154,'Parking Lots &amp; Playgrounds'!$A$9:$N$33,J$2,0))+IF(ISNA(VLOOKUP($B154,Vehicles!$B$9:$O$50,J$2,0)),0,VLOOKUP($B154,Vehicles!$B$9:$O$50,J$2,0))</f>
        <v>125000</v>
      </c>
      <c r="K154" s="8">
        <f>IF(ISNA(VLOOKUP($B154,'Other Capital Needs'!$C$51:$P$95,K$2,0)),0,VLOOKUP($B154,'Other Capital Needs'!$C$51:$P$95,K$2,0))+IF(ISNA(VLOOKUP('Project Details by Yr - MASTER'!$B154,'Public Grounds'!$A$11:$N$49,K$2,0)),0,VLOOKUP('Project Details by Yr - MASTER'!$B154,'Public Grounds'!$A$11:$N$49,K$2,0))+IF(ISNA(VLOOKUP('Project Details by Yr - MASTER'!$B154,'Public Buildings'!$A$10:$N$96,K$2,0)),0,VLOOKUP('Project Details by Yr - MASTER'!$B154,'Public Buildings'!$A$10:$N$96,K$2,0))+IF(ISNA(VLOOKUP('Project Details by Yr - MASTER'!$B154,Bridges!$A$9:$N$24,K$2,0)),0,VLOOKUP('Project Details by Yr - MASTER'!$B154,Bridges!$A$9:$N$24,K$2,0))+IF(ISNA(VLOOKUP('Project Details by Yr - MASTER'!$B154,'Parking Lots &amp; Playgrounds'!$A$9:$N$33,K$2,0)),0,VLOOKUP('Project Details by Yr - MASTER'!$B154,'Parking Lots &amp; Playgrounds'!$A$9:$N$33,K$2,0))+IF(ISNA(VLOOKUP($B154,Vehicles!$B$9:$O$50,K$2,0)),0,VLOOKUP($B154,Vehicles!$B$9:$O$50,K$2,0))</f>
        <v>125000</v>
      </c>
    </row>
    <row r="155" spans="2:11" x14ac:dyDescent="0.25">
      <c r="B155" t="s">
        <v>125</v>
      </c>
      <c r="C155" t="s">
        <v>49</v>
      </c>
      <c r="D155" t="s">
        <v>272</v>
      </c>
      <c r="E155" s="1" t="s">
        <v>16</v>
      </c>
      <c r="G155" s="8">
        <f>IF(ISNA(VLOOKUP($B155,'Other Capital Needs'!$C$51:$P$95,G$2,0)),0,VLOOKUP($B155,'Other Capital Needs'!$C$51:$P$95,G$2,0))+IF(ISNA(VLOOKUP('Project Details by Yr - MASTER'!$B155,'Public Grounds'!$A$11:$N$49,G$2,0)),0,VLOOKUP('Project Details by Yr - MASTER'!$B155,'Public Grounds'!$A$11:$N$49,G$2,0))+IF(ISNA(VLOOKUP('Project Details by Yr - MASTER'!$B155,'Public Buildings'!$A$10:$N$96,G$2,0)),0,VLOOKUP('Project Details by Yr - MASTER'!$B155,'Public Buildings'!$A$10:$N$96,G$2,0))+IF(ISNA(VLOOKUP('Project Details by Yr - MASTER'!$B155,Bridges!$A$9:$N$24,G$2,0)),0,VLOOKUP('Project Details by Yr - MASTER'!$B155,Bridges!$A$9:$N$24,G$2,0))+IF(ISNA(VLOOKUP('Project Details by Yr - MASTER'!$B155,'Parking Lots &amp; Playgrounds'!$A$9:$N$33,G$2,0)),0,VLOOKUP('Project Details by Yr - MASTER'!$B155,'Parking Lots &amp; Playgrounds'!$A$9:$N$33,G$2,0))+IF(ISNA(VLOOKUP($B155,Vehicles!$B$9:$O$50,G$2,0)),0,VLOOKUP($B155,Vehicles!$B$9:$O$50,G$2,0))</f>
        <v>0</v>
      </c>
      <c r="H155" s="8">
        <f>IF(ISNA(VLOOKUP($B155,'Other Capital Needs'!$C$51:$P$95,H$2,0)),0,VLOOKUP($B155,'Other Capital Needs'!$C$51:$P$95,H$2,0))+IF(ISNA(VLOOKUP('Project Details by Yr - MASTER'!$B155,'Public Grounds'!$A$11:$N$49,H$2,0)),0,VLOOKUP('Project Details by Yr - MASTER'!$B155,'Public Grounds'!$A$11:$N$49,H$2,0))+IF(ISNA(VLOOKUP('Project Details by Yr - MASTER'!$B155,'Public Buildings'!$A$10:$N$96,H$2,0)),0,VLOOKUP('Project Details by Yr - MASTER'!$B155,'Public Buildings'!$A$10:$N$96,H$2,0))+IF(ISNA(VLOOKUP('Project Details by Yr - MASTER'!$B155,Bridges!$A$9:$N$24,H$2,0)),0,VLOOKUP('Project Details by Yr - MASTER'!$B155,Bridges!$A$9:$N$24,H$2,0))+IF(ISNA(VLOOKUP('Project Details by Yr - MASTER'!$B155,'Parking Lots &amp; Playgrounds'!$A$9:$N$33,H$2,0)),0,VLOOKUP('Project Details by Yr - MASTER'!$B155,'Parking Lots &amp; Playgrounds'!$A$9:$N$33,H$2,0))+IF(ISNA(VLOOKUP($B155,Vehicles!$B$9:$O$50,H$2,0)),0,VLOOKUP($B155,Vehicles!$B$9:$O$50,H$2,0))</f>
        <v>29327</v>
      </c>
      <c r="I155" s="8">
        <f>IF(ISNA(VLOOKUP($B155,'Other Capital Needs'!$C$51:$P$95,I$2,0)),0,VLOOKUP($B155,'Other Capital Needs'!$C$51:$P$95,I$2,0))+IF(ISNA(VLOOKUP('Project Details by Yr - MASTER'!$B155,'Public Grounds'!$A$11:$N$49,I$2,0)),0,VLOOKUP('Project Details by Yr - MASTER'!$B155,'Public Grounds'!$A$11:$N$49,I$2,0))+IF(ISNA(VLOOKUP('Project Details by Yr - MASTER'!$B155,'Public Buildings'!$A$10:$N$96,I$2,0)),0,VLOOKUP('Project Details by Yr - MASTER'!$B155,'Public Buildings'!$A$10:$N$96,I$2,0))+IF(ISNA(VLOOKUP('Project Details by Yr - MASTER'!$B155,Bridges!$A$9:$N$24,I$2,0)),0,VLOOKUP('Project Details by Yr - MASTER'!$B155,Bridges!$A$9:$N$24,I$2,0))+IF(ISNA(VLOOKUP('Project Details by Yr - MASTER'!$B155,'Parking Lots &amp; Playgrounds'!$A$9:$N$33,I$2,0)),0,VLOOKUP('Project Details by Yr - MASTER'!$B155,'Parking Lots &amp; Playgrounds'!$A$9:$N$33,I$2,0))+IF(ISNA(VLOOKUP($B155,Vehicles!$B$9:$O$50,I$2,0)),0,VLOOKUP($B155,Vehicles!$B$9:$O$50,I$2,0))</f>
        <v>29327</v>
      </c>
      <c r="J155" s="8">
        <f>IF(ISNA(VLOOKUP($B155,'Other Capital Needs'!$C$51:$P$95,J$2,0)),0,VLOOKUP($B155,'Other Capital Needs'!$C$51:$P$95,J$2,0))+IF(ISNA(VLOOKUP('Project Details by Yr - MASTER'!$B155,'Public Grounds'!$A$11:$N$49,J$2,0)),0,VLOOKUP('Project Details by Yr - MASTER'!$B155,'Public Grounds'!$A$11:$N$49,J$2,0))+IF(ISNA(VLOOKUP('Project Details by Yr - MASTER'!$B155,'Public Buildings'!$A$10:$N$96,J$2,0)),0,VLOOKUP('Project Details by Yr - MASTER'!$B155,'Public Buildings'!$A$10:$N$96,J$2,0))+IF(ISNA(VLOOKUP('Project Details by Yr - MASTER'!$B155,Bridges!$A$9:$N$24,J$2,0)),0,VLOOKUP('Project Details by Yr - MASTER'!$B155,Bridges!$A$9:$N$24,J$2,0))+IF(ISNA(VLOOKUP('Project Details by Yr - MASTER'!$B155,'Parking Lots &amp; Playgrounds'!$A$9:$N$33,J$2,0)),0,VLOOKUP('Project Details by Yr - MASTER'!$B155,'Parking Lots &amp; Playgrounds'!$A$9:$N$33,J$2,0))+IF(ISNA(VLOOKUP($B155,Vehicles!$B$9:$O$50,J$2,0)),0,VLOOKUP($B155,Vehicles!$B$9:$O$50,J$2,0))</f>
        <v>0</v>
      </c>
      <c r="K155" s="8">
        <f>IF(ISNA(VLOOKUP($B155,'Other Capital Needs'!$C$51:$P$95,K$2,0)),0,VLOOKUP($B155,'Other Capital Needs'!$C$51:$P$95,K$2,0))+IF(ISNA(VLOOKUP('Project Details by Yr - MASTER'!$B155,'Public Grounds'!$A$11:$N$49,K$2,0)),0,VLOOKUP('Project Details by Yr - MASTER'!$B155,'Public Grounds'!$A$11:$N$49,K$2,0))+IF(ISNA(VLOOKUP('Project Details by Yr - MASTER'!$B155,'Public Buildings'!$A$10:$N$96,K$2,0)),0,VLOOKUP('Project Details by Yr - MASTER'!$B155,'Public Buildings'!$A$10:$N$96,K$2,0))+IF(ISNA(VLOOKUP('Project Details by Yr - MASTER'!$B155,Bridges!$A$9:$N$24,K$2,0)),0,VLOOKUP('Project Details by Yr - MASTER'!$B155,Bridges!$A$9:$N$24,K$2,0))+IF(ISNA(VLOOKUP('Project Details by Yr - MASTER'!$B155,'Parking Lots &amp; Playgrounds'!$A$9:$N$33,K$2,0)),0,VLOOKUP('Project Details by Yr - MASTER'!$B155,'Parking Lots &amp; Playgrounds'!$A$9:$N$33,K$2,0))+IF(ISNA(VLOOKUP($B155,Vehicles!$B$9:$O$50,K$2,0)),0,VLOOKUP($B155,Vehicles!$B$9:$O$50,K$2,0))</f>
        <v>0</v>
      </c>
    </row>
    <row r="156" spans="2:11" x14ac:dyDescent="0.25">
      <c r="B156" t="s">
        <v>126</v>
      </c>
      <c r="C156" t="s">
        <v>49</v>
      </c>
      <c r="D156" t="s">
        <v>272</v>
      </c>
      <c r="E156" s="1" t="s">
        <v>16</v>
      </c>
      <c r="G156" s="8">
        <f>IF(ISNA(VLOOKUP($B156,'Other Capital Needs'!$C$51:$P$95,G$2,0)),0,VLOOKUP($B156,'Other Capital Needs'!$C$51:$P$95,G$2,0))+IF(ISNA(VLOOKUP('Project Details by Yr - MASTER'!$B156,'Public Grounds'!$A$11:$N$49,G$2,0)),0,VLOOKUP('Project Details by Yr - MASTER'!$B156,'Public Grounds'!$A$11:$N$49,G$2,0))+IF(ISNA(VLOOKUP('Project Details by Yr - MASTER'!$B156,'Public Buildings'!$A$10:$N$96,G$2,0)),0,VLOOKUP('Project Details by Yr - MASTER'!$B156,'Public Buildings'!$A$10:$N$96,G$2,0))+IF(ISNA(VLOOKUP('Project Details by Yr - MASTER'!$B156,Bridges!$A$9:$N$24,G$2,0)),0,VLOOKUP('Project Details by Yr - MASTER'!$B156,Bridges!$A$9:$N$24,G$2,0))+IF(ISNA(VLOOKUP('Project Details by Yr - MASTER'!$B156,'Parking Lots &amp; Playgrounds'!$A$9:$N$33,G$2,0)),0,VLOOKUP('Project Details by Yr - MASTER'!$B156,'Parking Lots &amp; Playgrounds'!$A$9:$N$33,G$2,0))+IF(ISNA(VLOOKUP($B156,Vehicles!$B$9:$O$50,G$2,0)),0,VLOOKUP($B156,Vehicles!$B$9:$O$50,G$2,0))</f>
        <v>0</v>
      </c>
      <c r="H156" s="8">
        <f>IF(ISNA(VLOOKUP($B156,'Other Capital Needs'!$C$51:$P$95,H$2,0)),0,VLOOKUP($B156,'Other Capital Needs'!$C$51:$P$95,H$2,0))+IF(ISNA(VLOOKUP('Project Details by Yr - MASTER'!$B156,'Public Grounds'!$A$11:$N$49,H$2,0)),0,VLOOKUP('Project Details by Yr - MASTER'!$B156,'Public Grounds'!$A$11:$N$49,H$2,0))+IF(ISNA(VLOOKUP('Project Details by Yr - MASTER'!$B156,'Public Buildings'!$A$10:$N$96,H$2,0)),0,VLOOKUP('Project Details by Yr - MASTER'!$B156,'Public Buildings'!$A$10:$N$96,H$2,0))+IF(ISNA(VLOOKUP('Project Details by Yr - MASTER'!$B156,Bridges!$A$9:$N$24,H$2,0)),0,VLOOKUP('Project Details by Yr - MASTER'!$B156,Bridges!$A$9:$N$24,H$2,0))+IF(ISNA(VLOOKUP('Project Details by Yr - MASTER'!$B156,'Parking Lots &amp; Playgrounds'!$A$9:$N$33,H$2,0)),0,VLOOKUP('Project Details by Yr - MASTER'!$B156,'Parking Lots &amp; Playgrounds'!$A$9:$N$33,H$2,0))+IF(ISNA(VLOOKUP($B156,Vehicles!$B$9:$O$50,H$2,0)),0,VLOOKUP($B156,Vehicles!$B$9:$O$50,H$2,0))</f>
        <v>29327</v>
      </c>
      <c r="I156" s="8">
        <f>IF(ISNA(VLOOKUP($B156,'Other Capital Needs'!$C$51:$P$95,I$2,0)),0,VLOOKUP($B156,'Other Capital Needs'!$C$51:$P$95,I$2,0))+IF(ISNA(VLOOKUP('Project Details by Yr - MASTER'!$B156,'Public Grounds'!$A$11:$N$49,I$2,0)),0,VLOOKUP('Project Details by Yr - MASTER'!$B156,'Public Grounds'!$A$11:$N$49,I$2,0))+IF(ISNA(VLOOKUP('Project Details by Yr - MASTER'!$B156,'Public Buildings'!$A$10:$N$96,I$2,0)),0,VLOOKUP('Project Details by Yr - MASTER'!$B156,'Public Buildings'!$A$10:$N$96,I$2,0))+IF(ISNA(VLOOKUP('Project Details by Yr - MASTER'!$B156,Bridges!$A$9:$N$24,I$2,0)),0,VLOOKUP('Project Details by Yr - MASTER'!$B156,Bridges!$A$9:$N$24,I$2,0))+IF(ISNA(VLOOKUP('Project Details by Yr - MASTER'!$B156,'Parking Lots &amp; Playgrounds'!$A$9:$N$33,I$2,0)),0,VLOOKUP('Project Details by Yr - MASTER'!$B156,'Parking Lots &amp; Playgrounds'!$A$9:$N$33,I$2,0))+IF(ISNA(VLOOKUP($B156,Vehicles!$B$9:$O$50,I$2,0)),0,VLOOKUP($B156,Vehicles!$B$9:$O$50,I$2,0))</f>
        <v>29327</v>
      </c>
      <c r="J156" s="8">
        <f>IF(ISNA(VLOOKUP($B156,'Other Capital Needs'!$C$51:$P$95,J$2,0)),0,VLOOKUP($B156,'Other Capital Needs'!$C$51:$P$95,J$2,0))+IF(ISNA(VLOOKUP('Project Details by Yr - MASTER'!$B156,'Public Grounds'!$A$11:$N$49,J$2,0)),0,VLOOKUP('Project Details by Yr - MASTER'!$B156,'Public Grounds'!$A$11:$N$49,J$2,0))+IF(ISNA(VLOOKUP('Project Details by Yr - MASTER'!$B156,'Public Buildings'!$A$10:$N$96,J$2,0)),0,VLOOKUP('Project Details by Yr - MASTER'!$B156,'Public Buildings'!$A$10:$N$96,J$2,0))+IF(ISNA(VLOOKUP('Project Details by Yr - MASTER'!$B156,Bridges!$A$9:$N$24,J$2,0)),0,VLOOKUP('Project Details by Yr - MASTER'!$B156,Bridges!$A$9:$N$24,J$2,0))+IF(ISNA(VLOOKUP('Project Details by Yr - MASTER'!$B156,'Parking Lots &amp; Playgrounds'!$A$9:$N$33,J$2,0)),0,VLOOKUP('Project Details by Yr - MASTER'!$B156,'Parking Lots &amp; Playgrounds'!$A$9:$N$33,J$2,0))+IF(ISNA(VLOOKUP($B156,Vehicles!$B$9:$O$50,J$2,0)),0,VLOOKUP($B156,Vehicles!$B$9:$O$50,J$2,0))</f>
        <v>0</v>
      </c>
      <c r="K156" s="8">
        <f>IF(ISNA(VLOOKUP($B156,'Other Capital Needs'!$C$51:$P$95,K$2,0)),0,VLOOKUP($B156,'Other Capital Needs'!$C$51:$P$95,K$2,0))+IF(ISNA(VLOOKUP('Project Details by Yr - MASTER'!$B156,'Public Grounds'!$A$11:$N$49,K$2,0)),0,VLOOKUP('Project Details by Yr - MASTER'!$B156,'Public Grounds'!$A$11:$N$49,K$2,0))+IF(ISNA(VLOOKUP('Project Details by Yr - MASTER'!$B156,'Public Buildings'!$A$10:$N$96,K$2,0)),0,VLOOKUP('Project Details by Yr - MASTER'!$B156,'Public Buildings'!$A$10:$N$96,K$2,0))+IF(ISNA(VLOOKUP('Project Details by Yr - MASTER'!$B156,Bridges!$A$9:$N$24,K$2,0)),0,VLOOKUP('Project Details by Yr - MASTER'!$B156,Bridges!$A$9:$N$24,K$2,0))+IF(ISNA(VLOOKUP('Project Details by Yr - MASTER'!$B156,'Parking Lots &amp; Playgrounds'!$A$9:$N$33,K$2,0)),0,VLOOKUP('Project Details by Yr - MASTER'!$B156,'Parking Lots &amp; Playgrounds'!$A$9:$N$33,K$2,0))+IF(ISNA(VLOOKUP($B156,Vehicles!$B$9:$O$50,K$2,0)),0,VLOOKUP($B156,Vehicles!$B$9:$O$50,K$2,0))</f>
        <v>0</v>
      </c>
    </row>
    <row r="157" spans="2:11" x14ac:dyDescent="0.25">
      <c r="B157" t="s">
        <v>127</v>
      </c>
      <c r="C157" t="s">
        <v>49</v>
      </c>
      <c r="D157" t="s">
        <v>272</v>
      </c>
      <c r="E157" s="1" t="s">
        <v>16</v>
      </c>
      <c r="G157" s="8">
        <f>IF(ISNA(VLOOKUP($B157,'Other Capital Needs'!$C$51:$P$95,G$2,0)),0,VLOOKUP($B157,'Other Capital Needs'!$C$51:$P$95,G$2,0))+IF(ISNA(VLOOKUP('Project Details by Yr - MASTER'!$B157,'Public Grounds'!$A$11:$N$49,G$2,0)),0,VLOOKUP('Project Details by Yr - MASTER'!$B157,'Public Grounds'!$A$11:$N$49,G$2,0))+IF(ISNA(VLOOKUP('Project Details by Yr - MASTER'!$B157,'Public Buildings'!$A$10:$N$96,G$2,0)),0,VLOOKUP('Project Details by Yr - MASTER'!$B157,'Public Buildings'!$A$10:$N$96,G$2,0))+IF(ISNA(VLOOKUP('Project Details by Yr - MASTER'!$B157,Bridges!$A$9:$N$24,G$2,0)),0,VLOOKUP('Project Details by Yr - MASTER'!$B157,Bridges!$A$9:$N$24,G$2,0))+IF(ISNA(VLOOKUP('Project Details by Yr - MASTER'!$B157,'Parking Lots &amp; Playgrounds'!$A$9:$N$33,G$2,0)),0,VLOOKUP('Project Details by Yr - MASTER'!$B157,'Parking Lots &amp; Playgrounds'!$A$9:$N$33,G$2,0))+IF(ISNA(VLOOKUP($B157,Vehicles!$B$9:$O$50,G$2,0)),0,VLOOKUP($B157,Vehicles!$B$9:$O$50,G$2,0))</f>
        <v>33000</v>
      </c>
      <c r="H157" s="8">
        <f>IF(ISNA(VLOOKUP($B157,'Other Capital Needs'!$C$51:$P$95,H$2,0)),0,VLOOKUP($B157,'Other Capital Needs'!$C$51:$P$95,H$2,0))+IF(ISNA(VLOOKUP('Project Details by Yr - MASTER'!$B157,'Public Grounds'!$A$11:$N$49,H$2,0)),0,VLOOKUP('Project Details by Yr - MASTER'!$B157,'Public Grounds'!$A$11:$N$49,H$2,0))+IF(ISNA(VLOOKUP('Project Details by Yr - MASTER'!$B157,'Public Buildings'!$A$10:$N$96,H$2,0)),0,VLOOKUP('Project Details by Yr - MASTER'!$B157,'Public Buildings'!$A$10:$N$96,H$2,0))+IF(ISNA(VLOOKUP('Project Details by Yr - MASTER'!$B157,Bridges!$A$9:$N$24,H$2,0)),0,VLOOKUP('Project Details by Yr - MASTER'!$B157,Bridges!$A$9:$N$24,H$2,0))+IF(ISNA(VLOOKUP('Project Details by Yr - MASTER'!$B157,'Parking Lots &amp; Playgrounds'!$A$9:$N$33,H$2,0)),0,VLOOKUP('Project Details by Yr - MASTER'!$B157,'Parking Lots &amp; Playgrounds'!$A$9:$N$33,H$2,0))+IF(ISNA(VLOOKUP($B157,Vehicles!$B$9:$O$50,H$2,0)),0,VLOOKUP($B157,Vehicles!$B$9:$O$50,H$2,0))</f>
        <v>0</v>
      </c>
      <c r="I157" s="8">
        <f>IF(ISNA(VLOOKUP($B157,'Other Capital Needs'!$C$51:$P$95,I$2,0)),0,VLOOKUP($B157,'Other Capital Needs'!$C$51:$P$95,I$2,0))+IF(ISNA(VLOOKUP('Project Details by Yr - MASTER'!$B157,'Public Grounds'!$A$11:$N$49,I$2,0)),0,VLOOKUP('Project Details by Yr - MASTER'!$B157,'Public Grounds'!$A$11:$N$49,I$2,0))+IF(ISNA(VLOOKUP('Project Details by Yr - MASTER'!$B157,'Public Buildings'!$A$10:$N$96,I$2,0)),0,VLOOKUP('Project Details by Yr - MASTER'!$B157,'Public Buildings'!$A$10:$N$96,I$2,0))+IF(ISNA(VLOOKUP('Project Details by Yr - MASTER'!$B157,Bridges!$A$9:$N$24,I$2,0)),0,VLOOKUP('Project Details by Yr - MASTER'!$B157,Bridges!$A$9:$N$24,I$2,0))+IF(ISNA(VLOOKUP('Project Details by Yr - MASTER'!$B157,'Parking Lots &amp; Playgrounds'!$A$9:$N$33,I$2,0)),0,VLOOKUP('Project Details by Yr - MASTER'!$B157,'Parking Lots &amp; Playgrounds'!$A$9:$N$33,I$2,0))+IF(ISNA(VLOOKUP($B157,Vehicles!$B$9:$O$50,I$2,0)),0,VLOOKUP($B157,Vehicles!$B$9:$O$50,I$2,0))</f>
        <v>33000</v>
      </c>
      <c r="J157" s="8">
        <f>IF(ISNA(VLOOKUP($B157,'Other Capital Needs'!$C$51:$P$95,J$2,0)),0,VLOOKUP($B157,'Other Capital Needs'!$C$51:$P$95,J$2,0))+IF(ISNA(VLOOKUP('Project Details by Yr - MASTER'!$B157,'Public Grounds'!$A$11:$N$49,J$2,0)),0,VLOOKUP('Project Details by Yr - MASTER'!$B157,'Public Grounds'!$A$11:$N$49,J$2,0))+IF(ISNA(VLOOKUP('Project Details by Yr - MASTER'!$B157,'Public Buildings'!$A$10:$N$96,J$2,0)),0,VLOOKUP('Project Details by Yr - MASTER'!$B157,'Public Buildings'!$A$10:$N$96,J$2,0))+IF(ISNA(VLOOKUP('Project Details by Yr - MASTER'!$B157,Bridges!$A$9:$N$24,J$2,0)),0,VLOOKUP('Project Details by Yr - MASTER'!$B157,Bridges!$A$9:$N$24,J$2,0))+IF(ISNA(VLOOKUP('Project Details by Yr - MASTER'!$B157,'Parking Lots &amp; Playgrounds'!$A$9:$N$33,J$2,0)),0,VLOOKUP('Project Details by Yr - MASTER'!$B157,'Parking Lots &amp; Playgrounds'!$A$9:$N$33,J$2,0))+IF(ISNA(VLOOKUP($B157,Vehicles!$B$9:$O$50,J$2,0)),0,VLOOKUP($B157,Vehicles!$B$9:$O$50,J$2,0))</f>
        <v>0</v>
      </c>
      <c r="K157" s="8">
        <f>IF(ISNA(VLOOKUP($B157,'Other Capital Needs'!$C$51:$P$95,K$2,0)),0,VLOOKUP($B157,'Other Capital Needs'!$C$51:$P$95,K$2,0))+IF(ISNA(VLOOKUP('Project Details by Yr - MASTER'!$B157,'Public Grounds'!$A$11:$N$49,K$2,0)),0,VLOOKUP('Project Details by Yr - MASTER'!$B157,'Public Grounds'!$A$11:$N$49,K$2,0))+IF(ISNA(VLOOKUP('Project Details by Yr - MASTER'!$B157,'Public Buildings'!$A$10:$N$96,K$2,0)),0,VLOOKUP('Project Details by Yr - MASTER'!$B157,'Public Buildings'!$A$10:$N$96,K$2,0))+IF(ISNA(VLOOKUP('Project Details by Yr - MASTER'!$B157,Bridges!$A$9:$N$24,K$2,0)),0,VLOOKUP('Project Details by Yr - MASTER'!$B157,Bridges!$A$9:$N$24,K$2,0))+IF(ISNA(VLOOKUP('Project Details by Yr - MASTER'!$B157,'Parking Lots &amp; Playgrounds'!$A$9:$N$33,K$2,0)),0,VLOOKUP('Project Details by Yr - MASTER'!$B157,'Parking Lots &amp; Playgrounds'!$A$9:$N$33,K$2,0))+IF(ISNA(VLOOKUP($B157,Vehicles!$B$9:$O$50,K$2,0)),0,VLOOKUP($B157,Vehicles!$B$9:$O$50,K$2,0))</f>
        <v>33000</v>
      </c>
    </row>
    <row r="158" spans="2:11" x14ac:dyDescent="0.25">
      <c r="B158" t="s">
        <v>128</v>
      </c>
      <c r="C158" t="s">
        <v>49</v>
      </c>
      <c r="D158" t="s">
        <v>272</v>
      </c>
      <c r="E158" s="1" t="s">
        <v>16</v>
      </c>
      <c r="G158" s="8">
        <f>IF(ISNA(VLOOKUP($B158,'Other Capital Needs'!$C$51:$P$95,G$2,0)),0,VLOOKUP($B158,'Other Capital Needs'!$C$51:$P$95,G$2,0))+IF(ISNA(VLOOKUP('Project Details by Yr - MASTER'!$B158,'Public Grounds'!$A$11:$N$49,G$2,0)),0,VLOOKUP('Project Details by Yr - MASTER'!$B158,'Public Grounds'!$A$11:$N$49,G$2,0))+IF(ISNA(VLOOKUP('Project Details by Yr - MASTER'!$B158,'Public Buildings'!$A$10:$N$96,G$2,0)),0,VLOOKUP('Project Details by Yr - MASTER'!$B158,'Public Buildings'!$A$10:$N$96,G$2,0))+IF(ISNA(VLOOKUP('Project Details by Yr - MASTER'!$B158,Bridges!$A$9:$N$24,G$2,0)),0,VLOOKUP('Project Details by Yr - MASTER'!$B158,Bridges!$A$9:$N$24,G$2,0))+IF(ISNA(VLOOKUP('Project Details by Yr - MASTER'!$B158,'Parking Lots &amp; Playgrounds'!$A$9:$N$33,G$2,0)),0,VLOOKUP('Project Details by Yr - MASTER'!$B158,'Parking Lots &amp; Playgrounds'!$A$9:$N$33,G$2,0))+IF(ISNA(VLOOKUP($B158,Vehicles!$B$9:$O$50,G$2,0)),0,VLOOKUP($B158,Vehicles!$B$9:$O$50,G$2,0))</f>
        <v>28000</v>
      </c>
      <c r="H158" s="8">
        <f>IF(ISNA(VLOOKUP($B158,'Other Capital Needs'!$C$51:$P$95,H$2,0)),0,VLOOKUP($B158,'Other Capital Needs'!$C$51:$P$95,H$2,0))+IF(ISNA(VLOOKUP('Project Details by Yr - MASTER'!$B158,'Public Grounds'!$A$11:$N$49,H$2,0)),0,VLOOKUP('Project Details by Yr - MASTER'!$B158,'Public Grounds'!$A$11:$N$49,H$2,0))+IF(ISNA(VLOOKUP('Project Details by Yr - MASTER'!$B158,'Public Buildings'!$A$10:$N$96,H$2,0)),0,VLOOKUP('Project Details by Yr - MASTER'!$B158,'Public Buildings'!$A$10:$N$96,H$2,0))+IF(ISNA(VLOOKUP('Project Details by Yr - MASTER'!$B158,Bridges!$A$9:$N$24,H$2,0)),0,VLOOKUP('Project Details by Yr - MASTER'!$B158,Bridges!$A$9:$N$24,H$2,0))+IF(ISNA(VLOOKUP('Project Details by Yr - MASTER'!$B158,'Parking Lots &amp; Playgrounds'!$A$9:$N$33,H$2,0)),0,VLOOKUP('Project Details by Yr - MASTER'!$B158,'Parking Lots &amp; Playgrounds'!$A$9:$N$33,H$2,0))+IF(ISNA(VLOOKUP($B158,Vehicles!$B$9:$O$50,H$2,0)),0,VLOOKUP($B158,Vehicles!$B$9:$O$50,H$2,0))</f>
        <v>28000</v>
      </c>
      <c r="I158" s="8">
        <f>IF(ISNA(VLOOKUP($B158,'Other Capital Needs'!$C$51:$P$95,I$2,0)),0,VLOOKUP($B158,'Other Capital Needs'!$C$51:$P$95,I$2,0))+IF(ISNA(VLOOKUP('Project Details by Yr - MASTER'!$B158,'Public Grounds'!$A$11:$N$49,I$2,0)),0,VLOOKUP('Project Details by Yr - MASTER'!$B158,'Public Grounds'!$A$11:$N$49,I$2,0))+IF(ISNA(VLOOKUP('Project Details by Yr - MASTER'!$B158,'Public Buildings'!$A$10:$N$96,I$2,0)),0,VLOOKUP('Project Details by Yr - MASTER'!$B158,'Public Buildings'!$A$10:$N$96,I$2,0))+IF(ISNA(VLOOKUP('Project Details by Yr - MASTER'!$B158,Bridges!$A$9:$N$24,I$2,0)),0,VLOOKUP('Project Details by Yr - MASTER'!$B158,Bridges!$A$9:$N$24,I$2,0))+IF(ISNA(VLOOKUP('Project Details by Yr - MASTER'!$B158,'Parking Lots &amp; Playgrounds'!$A$9:$N$33,I$2,0)),0,VLOOKUP('Project Details by Yr - MASTER'!$B158,'Parking Lots &amp; Playgrounds'!$A$9:$N$33,I$2,0))+IF(ISNA(VLOOKUP($B158,Vehicles!$B$9:$O$50,I$2,0)),0,VLOOKUP($B158,Vehicles!$B$9:$O$50,I$2,0))</f>
        <v>28000</v>
      </c>
      <c r="J158" s="8">
        <f>IF(ISNA(VLOOKUP($B158,'Other Capital Needs'!$C$51:$P$95,J$2,0)),0,VLOOKUP($B158,'Other Capital Needs'!$C$51:$P$95,J$2,0))+IF(ISNA(VLOOKUP('Project Details by Yr - MASTER'!$B158,'Public Grounds'!$A$11:$N$49,J$2,0)),0,VLOOKUP('Project Details by Yr - MASTER'!$B158,'Public Grounds'!$A$11:$N$49,J$2,0))+IF(ISNA(VLOOKUP('Project Details by Yr - MASTER'!$B158,'Public Buildings'!$A$10:$N$96,J$2,0)),0,VLOOKUP('Project Details by Yr - MASTER'!$B158,'Public Buildings'!$A$10:$N$96,J$2,0))+IF(ISNA(VLOOKUP('Project Details by Yr - MASTER'!$B158,Bridges!$A$9:$N$24,J$2,0)),0,VLOOKUP('Project Details by Yr - MASTER'!$B158,Bridges!$A$9:$N$24,J$2,0))+IF(ISNA(VLOOKUP('Project Details by Yr - MASTER'!$B158,'Parking Lots &amp; Playgrounds'!$A$9:$N$33,J$2,0)),0,VLOOKUP('Project Details by Yr - MASTER'!$B158,'Parking Lots &amp; Playgrounds'!$A$9:$N$33,J$2,0))+IF(ISNA(VLOOKUP($B158,Vehicles!$B$9:$O$50,J$2,0)),0,VLOOKUP($B158,Vehicles!$B$9:$O$50,J$2,0))</f>
        <v>28000</v>
      </c>
      <c r="K158" s="8">
        <f>IF(ISNA(VLOOKUP($B158,'Other Capital Needs'!$C$51:$P$95,K$2,0)),0,VLOOKUP($B158,'Other Capital Needs'!$C$51:$P$95,K$2,0))+IF(ISNA(VLOOKUP('Project Details by Yr - MASTER'!$B158,'Public Grounds'!$A$11:$N$49,K$2,0)),0,VLOOKUP('Project Details by Yr - MASTER'!$B158,'Public Grounds'!$A$11:$N$49,K$2,0))+IF(ISNA(VLOOKUP('Project Details by Yr - MASTER'!$B158,'Public Buildings'!$A$10:$N$96,K$2,0)),0,VLOOKUP('Project Details by Yr - MASTER'!$B158,'Public Buildings'!$A$10:$N$96,K$2,0))+IF(ISNA(VLOOKUP('Project Details by Yr - MASTER'!$B158,Bridges!$A$9:$N$24,K$2,0)),0,VLOOKUP('Project Details by Yr - MASTER'!$B158,Bridges!$A$9:$N$24,K$2,0))+IF(ISNA(VLOOKUP('Project Details by Yr - MASTER'!$B158,'Parking Lots &amp; Playgrounds'!$A$9:$N$33,K$2,0)),0,VLOOKUP('Project Details by Yr - MASTER'!$B158,'Parking Lots &amp; Playgrounds'!$A$9:$N$33,K$2,0))+IF(ISNA(VLOOKUP($B158,Vehicles!$B$9:$O$50,K$2,0)),0,VLOOKUP($B158,Vehicles!$B$9:$O$50,K$2,0))</f>
        <v>28000</v>
      </c>
    </row>
    <row r="159" spans="2:11" x14ac:dyDescent="0.25">
      <c r="B159" t="s">
        <v>120</v>
      </c>
      <c r="C159" t="s">
        <v>49</v>
      </c>
      <c r="D159" t="s">
        <v>272</v>
      </c>
      <c r="E159" s="1" t="s">
        <v>16</v>
      </c>
      <c r="G159" s="8">
        <f>IF(ISNA(VLOOKUP($B159,'Other Capital Needs'!$C$51:$P$95,G$2,0)),0,VLOOKUP($B159,'Other Capital Needs'!$C$51:$P$95,G$2,0))+IF(ISNA(VLOOKUP('Project Details by Yr - MASTER'!$B159,'Public Grounds'!$A$11:$N$49,G$2,0)),0,VLOOKUP('Project Details by Yr - MASTER'!$B159,'Public Grounds'!$A$11:$N$49,G$2,0))+IF(ISNA(VLOOKUP('Project Details by Yr - MASTER'!$B159,'Public Buildings'!$A$10:$N$96,G$2,0)),0,VLOOKUP('Project Details by Yr - MASTER'!$B159,'Public Buildings'!$A$10:$N$96,G$2,0))+IF(ISNA(VLOOKUP('Project Details by Yr - MASTER'!$B159,Bridges!$A$9:$N$24,G$2,0)),0,VLOOKUP('Project Details by Yr - MASTER'!$B159,Bridges!$A$9:$N$24,G$2,0))+IF(ISNA(VLOOKUP('Project Details by Yr - MASTER'!$B159,'Parking Lots &amp; Playgrounds'!$A$9:$N$33,G$2,0)),0,VLOOKUP('Project Details by Yr - MASTER'!$B159,'Parking Lots &amp; Playgrounds'!$A$9:$N$33,G$2,0))+IF(ISNA(VLOOKUP($B159,Vehicles!$B$9:$O$50,G$2,0)),0,VLOOKUP($B159,Vehicles!$B$9:$O$50,G$2,0))</f>
        <v>200000</v>
      </c>
      <c r="H159" s="8">
        <f>IF(ISNA(VLOOKUP($B159,'Other Capital Needs'!$C$51:$P$95,H$2,0)),0,VLOOKUP($B159,'Other Capital Needs'!$C$51:$P$95,H$2,0))+IF(ISNA(VLOOKUP('Project Details by Yr - MASTER'!$B159,'Public Grounds'!$A$11:$N$49,H$2,0)),0,VLOOKUP('Project Details by Yr - MASTER'!$B159,'Public Grounds'!$A$11:$N$49,H$2,0))+IF(ISNA(VLOOKUP('Project Details by Yr - MASTER'!$B159,'Public Buildings'!$A$10:$N$96,H$2,0)),0,VLOOKUP('Project Details by Yr - MASTER'!$B159,'Public Buildings'!$A$10:$N$96,H$2,0))+IF(ISNA(VLOOKUP('Project Details by Yr - MASTER'!$B159,Bridges!$A$9:$N$24,H$2,0)),0,VLOOKUP('Project Details by Yr - MASTER'!$B159,Bridges!$A$9:$N$24,H$2,0))+IF(ISNA(VLOOKUP('Project Details by Yr - MASTER'!$B159,'Parking Lots &amp; Playgrounds'!$A$9:$N$33,H$2,0)),0,VLOOKUP('Project Details by Yr - MASTER'!$B159,'Parking Lots &amp; Playgrounds'!$A$9:$N$33,H$2,0))+IF(ISNA(VLOOKUP($B159,Vehicles!$B$9:$O$50,H$2,0)),0,VLOOKUP($B159,Vehicles!$B$9:$O$50,H$2,0))</f>
        <v>200000</v>
      </c>
      <c r="I159" s="8">
        <f>IF(ISNA(VLOOKUP($B159,'Other Capital Needs'!$C$51:$P$95,I$2,0)),0,VLOOKUP($B159,'Other Capital Needs'!$C$51:$P$95,I$2,0))+IF(ISNA(VLOOKUP('Project Details by Yr - MASTER'!$B159,'Public Grounds'!$A$11:$N$49,I$2,0)),0,VLOOKUP('Project Details by Yr - MASTER'!$B159,'Public Grounds'!$A$11:$N$49,I$2,0))+IF(ISNA(VLOOKUP('Project Details by Yr - MASTER'!$B159,'Public Buildings'!$A$10:$N$96,I$2,0)),0,VLOOKUP('Project Details by Yr - MASTER'!$B159,'Public Buildings'!$A$10:$N$96,I$2,0))+IF(ISNA(VLOOKUP('Project Details by Yr - MASTER'!$B159,Bridges!$A$9:$N$24,I$2,0)),0,VLOOKUP('Project Details by Yr - MASTER'!$B159,Bridges!$A$9:$N$24,I$2,0))+IF(ISNA(VLOOKUP('Project Details by Yr - MASTER'!$B159,'Parking Lots &amp; Playgrounds'!$A$9:$N$33,I$2,0)),0,VLOOKUP('Project Details by Yr - MASTER'!$B159,'Parking Lots &amp; Playgrounds'!$A$9:$N$33,I$2,0))+IF(ISNA(VLOOKUP($B159,Vehicles!$B$9:$O$50,I$2,0)),0,VLOOKUP($B159,Vehicles!$B$9:$O$50,I$2,0))</f>
        <v>200000</v>
      </c>
      <c r="J159" s="8">
        <f>IF(ISNA(VLOOKUP($B159,'Other Capital Needs'!$C$51:$P$95,J$2,0)),0,VLOOKUP($B159,'Other Capital Needs'!$C$51:$P$95,J$2,0))+IF(ISNA(VLOOKUP('Project Details by Yr - MASTER'!$B159,'Public Grounds'!$A$11:$N$49,J$2,0)),0,VLOOKUP('Project Details by Yr - MASTER'!$B159,'Public Grounds'!$A$11:$N$49,J$2,0))+IF(ISNA(VLOOKUP('Project Details by Yr - MASTER'!$B159,'Public Buildings'!$A$10:$N$96,J$2,0)),0,VLOOKUP('Project Details by Yr - MASTER'!$B159,'Public Buildings'!$A$10:$N$96,J$2,0))+IF(ISNA(VLOOKUP('Project Details by Yr - MASTER'!$B159,Bridges!$A$9:$N$24,J$2,0)),0,VLOOKUP('Project Details by Yr - MASTER'!$B159,Bridges!$A$9:$N$24,J$2,0))+IF(ISNA(VLOOKUP('Project Details by Yr - MASTER'!$B159,'Parking Lots &amp; Playgrounds'!$A$9:$N$33,J$2,0)),0,VLOOKUP('Project Details by Yr - MASTER'!$B159,'Parking Lots &amp; Playgrounds'!$A$9:$N$33,J$2,0))+IF(ISNA(VLOOKUP($B159,Vehicles!$B$9:$O$50,J$2,0)),0,VLOOKUP($B159,Vehicles!$B$9:$O$50,J$2,0))</f>
        <v>200000</v>
      </c>
      <c r="K159" s="8">
        <f>IF(ISNA(VLOOKUP($B159,'Other Capital Needs'!$C$51:$P$95,K$2,0)),0,VLOOKUP($B159,'Other Capital Needs'!$C$51:$P$95,K$2,0))+IF(ISNA(VLOOKUP('Project Details by Yr - MASTER'!$B159,'Public Grounds'!$A$11:$N$49,K$2,0)),0,VLOOKUP('Project Details by Yr - MASTER'!$B159,'Public Grounds'!$A$11:$N$49,K$2,0))+IF(ISNA(VLOOKUP('Project Details by Yr - MASTER'!$B159,'Public Buildings'!$A$10:$N$96,K$2,0)),0,VLOOKUP('Project Details by Yr - MASTER'!$B159,'Public Buildings'!$A$10:$N$96,K$2,0))+IF(ISNA(VLOOKUP('Project Details by Yr - MASTER'!$B159,Bridges!$A$9:$N$24,K$2,0)),0,VLOOKUP('Project Details by Yr - MASTER'!$B159,Bridges!$A$9:$N$24,K$2,0))+IF(ISNA(VLOOKUP('Project Details by Yr - MASTER'!$B159,'Parking Lots &amp; Playgrounds'!$A$9:$N$33,K$2,0)),0,VLOOKUP('Project Details by Yr - MASTER'!$B159,'Parking Lots &amp; Playgrounds'!$A$9:$N$33,K$2,0))+IF(ISNA(VLOOKUP($B159,Vehicles!$B$9:$O$50,K$2,0)),0,VLOOKUP($B159,Vehicles!$B$9:$O$50,K$2,0))</f>
        <v>200000</v>
      </c>
    </row>
    <row r="160" spans="2:11" x14ac:dyDescent="0.25">
      <c r="B160" t="s">
        <v>121</v>
      </c>
      <c r="C160" t="s">
        <v>49</v>
      </c>
      <c r="D160" t="s">
        <v>272</v>
      </c>
      <c r="E160" s="1" t="s">
        <v>16</v>
      </c>
      <c r="G160" s="8">
        <f>IF(ISNA(VLOOKUP($B160,'Other Capital Needs'!$C$51:$P$95,G$2,0)),0,VLOOKUP($B160,'Other Capital Needs'!$C$51:$P$95,G$2,0))+IF(ISNA(VLOOKUP('Project Details by Yr - MASTER'!$B160,'Public Grounds'!$A$11:$N$49,G$2,0)),0,VLOOKUP('Project Details by Yr - MASTER'!$B160,'Public Grounds'!$A$11:$N$49,G$2,0))+IF(ISNA(VLOOKUP('Project Details by Yr - MASTER'!$B160,'Public Buildings'!$A$10:$N$96,G$2,0)),0,VLOOKUP('Project Details by Yr - MASTER'!$B160,'Public Buildings'!$A$10:$N$96,G$2,0))+IF(ISNA(VLOOKUP('Project Details by Yr - MASTER'!$B160,Bridges!$A$9:$N$24,G$2,0)),0,VLOOKUP('Project Details by Yr - MASTER'!$B160,Bridges!$A$9:$N$24,G$2,0))+IF(ISNA(VLOOKUP('Project Details by Yr - MASTER'!$B160,'Parking Lots &amp; Playgrounds'!$A$9:$N$33,G$2,0)),0,VLOOKUP('Project Details by Yr - MASTER'!$B160,'Parking Lots &amp; Playgrounds'!$A$9:$N$33,G$2,0))+IF(ISNA(VLOOKUP($B160,Vehicles!$B$9:$O$50,G$2,0)),0,VLOOKUP($B160,Vehicles!$B$9:$O$50,G$2,0))</f>
        <v>81949</v>
      </c>
      <c r="H160" s="8">
        <f>IF(ISNA(VLOOKUP($B160,'Other Capital Needs'!$C$51:$P$95,H$2,0)),0,VLOOKUP($B160,'Other Capital Needs'!$C$51:$P$95,H$2,0))+IF(ISNA(VLOOKUP('Project Details by Yr - MASTER'!$B160,'Public Grounds'!$A$11:$N$49,H$2,0)),0,VLOOKUP('Project Details by Yr - MASTER'!$B160,'Public Grounds'!$A$11:$N$49,H$2,0))+IF(ISNA(VLOOKUP('Project Details by Yr - MASTER'!$B160,'Public Buildings'!$A$10:$N$96,H$2,0)),0,VLOOKUP('Project Details by Yr - MASTER'!$B160,'Public Buildings'!$A$10:$N$96,H$2,0))+IF(ISNA(VLOOKUP('Project Details by Yr - MASTER'!$B160,Bridges!$A$9:$N$24,H$2,0)),0,VLOOKUP('Project Details by Yr - MASTER'!$B160,Bridges!$A$9:$N$24,H$2,0))+IF(ISNA(VLOOKUP('Project Details by Yr - MASTER'!$B160,'Parking Lots &amp; Playgrounds'!$A$9:$N$33,H$2,0)),0,VLOOKUP('Project Details by Yr - MASTER'!$B160,'Parking Lots &amp; Playgrounds'!$A$9:$N$33,H$2,0))+IF(ISNA(VLOOKUP($B160,Vehicles!$B$9:$O$50,H$2,0)),0,VLOOKUP($B160,Vehicles!$B$9:$O$50,H$2,0))</f>
        <v>0</v>
      </c>
      <c r="I160" s="8">
        <f>IF(ISNA(VLOOKUP($B160,'Other Capital Needs'!$C$51:$P$95,I$2,0)),0,VLOOKUP($B160,'Other Capital Needs'!$C$51:$P$95,I$2,0))+IF(ISNA(VLOOKUP('Project Details by Yr - MASTER'!$B160,'Public Grounds'!$A$11:$N$49,I$2,0)),0,VLOOKUP('Project Details by Yr - MASTER'!$B160,'Public Grounds'!$A$11:$N$49,I$2,0))+IF(ISNA(VLOOKUP('Project Details by Yr - MASTER'!$B160,'Public Buildings'!$A$10:$N$96,I$2,0)),0,VLOOKUP('Project Details by Yr - MASTER'!$B160,'Public Buildings'!$A$10:$N$96,I$2,0))+IF(ISNA(VLOOKUP('Project Details by Yr - MASTER'!$B160,Bridges!$A$9:$N$24,I$2,0)),0,VLOOKUP('Project Details by Yr - MASTER'!$B160,Bridges!$A$9:$N$24,I$2,0))+IF(ISNA(VLOOKUP('Project Details by Yr - MASTER'!$B160,'Parking Lots &amp; Playgrounds'!$A$9:$N$33,I$2,0)),0,VLOOKUP('Project Details by Yr - MASTER'!$B160,'Parking Lots &amp; Playgrounds'!$A$9:$N$33,I$2,0))+IF(ISNA(VLOOKUP($B160,Vehicles!$B$9:$O$50,I$2,0)),0,VLOOKUP($B160,Vehicles!$B$9:$O$50,I$2,0))</f>
        <v>86097</v>
      </c>
      <c r="J160" s="8">
        <f>IF(ISNA(VLOOKUP($B160,'Other Capital Needs'!$C$51:$P$95,J$2,0)),0,VLOOKUP($B160,'Other Capital Needs'!$C$51:$P$95,J$2,0))+IF(ISNA(VLOOKUP('Project Details by Yr - MASTER'!$B160,'Public Grounds'!$A$11:$N$49,J$2,0)),0,VLOOKUP('Project Details by Yr - MASTER'!$B160,'Public Grounds'!$A$11:$N$49,J$2,0))+IF(ISNA(VLOOKUP('Project Details by Yr - MASTER'!$B160,'Public Buildings'!$A$10:$N$96,J$2,0)),0,VLOOKUP('Project Details by Yr - MASTER'!$B160,'Public Buildings'!$A$10:$N$96,J$2,0))+IF(ISNA(VLOOKUP('Project Details by Yr - MASTER'!$B160,Bridges!$A$9:$N$24,J$2,0)),0,VLOOKUP('Project Details by Yr - MASTER'!$B160,Bridges!$A$9:$N$24,J$2,0))+IF(ISNA(VLOOKUP('Project Details by Yr - MASTER'!$B160,'Parking Lots &amp; Playgrounds'!$A$9:$N$33,J$2,0)),0,VLOOKUP('Project Details by Yr - MASTER'!$B160,'Parking Lots &amp; Playgrounds'!$A$9:$N$33,J$2,0))+IF(ISNA(VLOOKUP($B160,Vehicles!$B$9:$O$50,J$2,0)),0,VLOOKUP($B160,Vehicles!$B$9:$O$50,J$2,0))</f>
        <v>0</v>
      </c>
      <c r="K160" s="8">
        <f>IF(ISNA(VLOOKUP($B160,'Other Capital Needs'!$C$51:$P$95,K$2,0)),0,VLOOKUP($B160,'Other Capital Needs'!$C$51:$P$95,K$2,0))+IF(ISNA(VLOOKUP('Project Details by Yr - MASTER'!$B160,'Public Grounds'!$A$11:$N$49,K$2,0)),0,VLOOKUP('Project Details by Yr - MASTER'!$B160,'Public Grounds'!$A$11:$N$49,K$2,0))+IF(ISNA(VLOOKUP('Project Details by Yr - MASTER'!$B160,'Public Buildings'!$A$10:$N$96,K$2,0)),0,VLOOKUP('Project Details by Yr - MASTER'!$B160,'Public Buildings'!$A$10:$N$96,K$2,0))+IF(ISNA(VLOOKUP('Project Details by Yr - MASTER'!$B160,Bridges!$A$9:$N$24,K$2,0)),0,VLOOKUP('Project Details by Yr - MASTER'!$B160,Bridges!$A$9:$N$24,K$2,0))+IF(ISNA(VLOOKUP('Project Details by Yr - MASTER'!$B160,'Parking Lots &amp; Playgrounds'!$A$9:$N$33,K$2,0)),0,VLOOKUP('Project Details by Yr - MASTER'!$B160,'Parking Lots &amp; Playgrounds'!$A$9:$N$33,K$2,0))+IF(ISNA(VLOOKUP($B160,Vehicles!$B$9:$O$50,K$2,0)),0,VLOOKUP($B160,Vehicles!$B$9:$O$50,K$2,0))</f>
        <v>0</v>
      </c>
    </row>
    <row r="161" spans="2:11" x14ac:dyDescent="0.25">
      <c r="B161" t="s">
        <v>122</v>
      </c>
      <c r="C161" t="s">
        <v>49</v>
      </c>
      <c r="D161" t="s">
        <v>272</v>
      </c>
      <c r="E161" s="1" t="s">
        <v>16</v>
      </c>
      <c r="G161" s="8">
        <f>IF(ISNA(VLOOKUP($B161,'Other Capital Needs'!$C$51:$P$95,G$2,0)),0,VLOOKUP($B161,'Other Capital Needs'!$C$51:$P$95,G$2,0))+IF(ISNA(VLOOKUP('Project Details by Yr - MASTER'!$B161,'Public Grounds'!$A$11:$N$49,G$2,0)),0,VLOOKUP('Project Details by Yr - MASTER'!$B161,'Public Grounds'!$A$11:$N$49,G$2,0))+IF(ISNA(VLOOKUP('Project Details by Yr - MASTER'!$B161,'Public Buildings'!$A$10:$N$96,G$2,0)),0,VLOOKUP('Project Details by Yr - MASTER'!$B161,'Public Buildings'!$A$10:$N$96,G$2,0))+IF(ISNA(VLOOKUP('Project Details by Yr - MASTER'!$B161,Bridges!$A$9:$N$24,G$2,0)),0,VLOOKUP('Project Details by Yr - MASTER'!$B161,Bridges!$A$9:$N$24,G$2,0))+IF(ISNA(VLOOKUP('Project Details by Yr - MASTER'!$B161,'Parking Lots &amp; Playgrounds'!$A$9:$N$33,G$2,0)),0,VLOOKUP('Project Details by Yr - MASTER'!$B161,'Parking Lots &amp; Playgrounds'!$A$9:$N$33,G$2,0))+IF(ISNA(VLOOKUP($B161,Vehicles!$B$9:$O$50,G$2,0)),0,VLOOKUP($B161,Vehicles!$B$9:$O$50,G$2,0))</f>
        <v>0</v>
      </c>
      <c r="H161" s="8">
        <f>IF(ISNA(VLOOKUP($B161,'Other Capital Needs'!$C$51:$P$95,H$2,0)),0,VLOOKUP($B161,'Other Capital Needs'!$C$51:$P$95,H$2,0))+IF(ISNA(VLOOKUP('Project Details by Yr - MASTER'!$B161,'Public Grounds'!$A$11:$N$49,H$2,0)),0,VLOOKUP('Project Details by Yr - MASTER'!$B161,'Public Grounds'!$A$11:$N$49,H$2,0))+IF(ISNA(VLOOKUP('Project Details by Yr - MASTER'!$B161,'Public Buildings'!$A$10:$N$96,H$2,0)),0,VLOOKUP('Project Details by Yr - MASTER'!$B161,'Public Buildings'!$A$10:$N$96,H$2,0))+IF(ISNA(VLOOKUP('Project Details by Yr - MASTER'!$B161,Bridges!$A$9:$N$24,H$2,0)),0,VLOOKUP('Project Details by Yr - MASTER'!$B161,Bridges!$A$9:$N$24,H$2,0))+IF(ISNA(VLOOKUP('Project Details by Yr - MASTER'!$B161,'Parking Lots &amp; Playgrounds'!$A$9:$N$33,H$2,0)),0,VLOOKUP('Project Details by Yr - MASTER'!$B161,'Parking Lots &amp; Playgrounds'!$A$9:$N$33,H$2,0))+IF(ISNA(VLOOKUP($B161,Vehicles!$B$9:$O$50,H$2,0)),0,VLOOKUP($B161,Vehicles!$B$9:$O$50,H$2,0))</f>
        <v>0</v>
      </c>
      <c r="I161" s="8">
        <f>IF(ISNA(VLOOKUP($B161,'Other Capital Needs'!$C$51:$P$95,I$2,0)),0,VLOOKUP($B161,'Other Capital Needs'!$C$51:$P$95,I$2,0))+IF(ISNA(VLOOKUP('Project Details by Yr - MASTER'!$B161,'Public Grounds'!$A$11:$N$49,I$2,0)),0,VLOOKUP('Project Details by Yr - MASTER'!$B161,'Public Grounds'!$A$11:$N$49,I$2,0))+IF(ISNA(VLOOKUP('Project Details by Yr - MASTER'!$B161,'Public Buildings'!$A$10:$N$96,I$2,0)),0,VLOOKUP('Project Details by Yr - MASTER'!$B161,'Public Buildings'!$A$10:$N$96,I$2,0))+IF(ISNA(VLOOKUP('Project Details by Yr - MASTER'!$B161,Bridges!$A$9:$N$24,I$2,0)),0,VLOOKUP('Project Details by Yr - MASTER'!$B161,Bridges!$A$9:$N$24,I$2,0))+IF(ISNA(VLOOKUP('Project Details by Yr - MASTER'!$B161,'Parking Lots &amp; Playgrounds'!$A$9:$N$33,I$2,0)),0,VLOOKUP('Project Details by Yr - MASTER'!$B161,'Parking Lots &amp; Playgrounds'!$A$9:$N$33,I$2,0))+IF(ISNA(VLOOKUP($B161,Vehicles!$B$9:$O$50,I$2,0)),0,VLOOKUP($B161,Vehicles!$B$9:$O$50,I$2,0))</f>
        <v>42025</v>
      </c>
      <c r="J161" s="8">
        <f>IF(ISNA(VLOOKUP($B161,'Other Capital Needs'!$C$51:$P$95,J$2,0)),0,VLOOKUP($B161,'Other Capital Needs'!$C$51:$P$95,J$2,0))+IF(ISNA(VLOOKUP('Project Details by Yr - MASTER'!$B161,'Public Grounds'!$A$11:$N$49,J$2,0)),0,VLOOKUP('Project Details by Yr - MASTER'!$B161,'Public Grounds'!$A$11:$N$49,J$2,0))+IF(ISNA(VLOOKUP('Project Details by Yr - MASTER'!$B161,'Public Buildings'!$A$10:$N$96,J$2,0)),0,VLOOKUP('Project Details by Yr - MASTER'!$B161,'Public Buildings'!$A$10:$N$96,J$2,0))+IF(ISNA(VLOOKUP('Project Details by Yr - MASTER'!$B161,Bridges!$A$9:$N$24,J$2,0)),0,VLOOKUP('Project Details by Yr - MASTER'!$B161,Bridges!$A$9:$N$24,J$2,0))+IF(ISNA(VLOOKUP('Project Details by Yr - MASTER'!$B161,'Parking Lots &amp; Playgrounds'!$A$9:$N$33,J$2,0)),0,VLOOKUP('Project Details by Yr - MASTER'!$B161,'Parking Lots &amp; Playgrounds'!$A$9:$N$33,J$2,0))+IF(ISNA(VLOOKUP($B161,Vehicles!$B$9:$O$50,J$2,0)),0,VLOOKUP($B161,Vehicles!$B$9:$O$50,J$2,0))</f>
        <v>38633</v>
      </c>
      <c r="K161" s="8">
        <f>IF(ISNA(VLOOKUP($B161,'Other Capital Needs'!$C$51:$P$95,K$2,0)),0,VLOOKUP($B161,'Other Capital Needs'!$C$51:$P$95,K$2,0))+IF(ISNA(VLOOKUP('Project Details by Yr - MASTER'!$B161,'Public Grounds'!$A$11:$N$49,K$2,0)),0,VLOOKUP('Project Details by Yr - MASTER'!$B161,'Public Grounds'!$A$11:$N$49,K$2,0))+IF(ISNA(VLOOKUP('Project Details by Yr - MASTER'!$B161,'Public Buildings'!$A$10:$N$96,K$2,0)),0,VLOOKUP('Project Details by Yr - MASTER'!$B161,'Public Buildings'!$A$10:$N$96,K$2,0))+IF(ISNA(VLOOKUP('Project Details by Yr - MASTER'!$B161,Bridges!$A$9:$N$24,K$2,0)),0,VLOOKUP('Project Details by Yr - MASTER'!$B161,Bridges!$A$9:$N$24,K$2,0))+IF(ISNA(VLOOKUP('Project Details by Yr - MASTER'!$B161,'Parking Lots &amp; Playgrounds'!$A$9:$N$33,K$2,0)),0,VLOOKUP('Project Details by Yr - MASTER'!$B161,'Parking Lots &amp; Playgrounds'!$A$9:$N$33,K$2,0))+IF(ISNA(VLOOKUP($B161,Vehicles!$B$9:$O$50,K$2,0)),0,VLOOKUP($B161,Vehicles!$B$9:$O$50,K$2,0))</f>
        <v>50913</v>
      </c>
    </row>
    <row r="162" spans="2:11" x14ac:dyDescent="0.25">
      <c r="B162" t="s">
        <v>123</v>
      </c>
      <c r="C162" t="s">
        <v>49</v>
      </c>
      <c r="D162" t="s">
        <v>272</v>
      </c>
      <c r="E162" s="1" t="s">
        <v>16</v>
      </c>
      <c r="G162" s="8">
        <f>IF(ISNA(VLOOKUP($B162,'Other Capital Needs'!$C$51:$P$95,G$2,0)),0,VLOOKUP($B162,'Other Capital Needs'!$C$51:$P$95,G$2,0))+IF(ISNA(VLOOKUP('Project Details by Yr - MASTER'!$B162,'Public Grounds'!$A$11:$N$49,G$2,0)),0,VLOOKUP('Project Details by Yr - MASTER'!$B162,'Public Grounds'!$A$11:$N$49,G$2,0))+IF(ISNA(VLOOKUP('Project Details by Yr - MASTER'!$B162,'Public Buildings'!$A$10:$N$96,G$2,0)),0,VLOOKUP('Project Details by Yr - MASTER'!$B162,'Public Buildings'!$A$10:$N$96,G$2,0))+IF(ISNA(VLOOKUP('Project Details by Yr - MASTER'!$B162,Bridges!$A$9:$N$24,G$2,0)),0,VLOOKUP('Project Details by Yr - MASTER'!$B162,Bridges!$A$9:$N$24,G$2,0))+IF(ISNA(VLOOKUP('Project Details by Yr - MASTER'!$B162,'Parking Lots &amp; Playgrounds'!$A$9:$N$33,G$2,0)),0,VLOOKUP('Project Details by Yr - MASTER'!$B162,'Parking Lots &amp; Playgrounds'!$A$9:$N$33,G$2,0))+IF(ISNA(VLOOKUP($B162,Vehicles!$B$9:$O$50,G$2,0)),0,VLOOKUP($B162,Vehicles!$B$9:$O$50,G$2,0))</f>
        <v>0</v>
      </c>
      <c r="H162" s="8">
        <f>IF(ISNA(VLOOKUP($B162,'Other Capital Needs'!$C$51:$P$95,H$2,0)),0,VLOOKUP($B162,'Other Capital Needs'!$C$51:$P$95,H$2,0))+IF(ISNA(VLOOKUP('Project Details by Yr - MASTER'!$B162,'Public Grounds'!$A$11:$N$49,H$2,0)),0,VLOOKUP('Project Details by Yr - MASTER'!$B162,'Public Grounds'!$A$11:$N$49,H$2,0))+IF(ISNA(VLOOKUP('Project Details by Yr - MASTER'!$B162,'Public Buildings'!$A$10:$N$96,H$2,0)),0,VLOOKUP('Project Details by Yr - MASTER'!$B162,'Public Buildings'!$A$10:$N$96,H$2,0))+IF(ISNA(VLOOKUP('Project Details by Yr - MASTER'!$B162,Bridges!$A$9:$N$24,H$2,0)),0,VLOOKUP('Project Details by Yr - MASTER'!$B162,Bridges!$A$9:$N$24,H$2,0))+IF(ISNA(VLOOKUP('Project Details by Yr - MASTER'!$B162,'Parking Lots &amp; Playgrounds'!$A$9:$N$33,H$2,0)),0,VLOOKUP('Project Details by Yr - MASTER'!$B162,'Parking Lots &amp; Playgrounds'!$A$9:$N$33,H$2,0))+IF(ISNA(VLOOKUP($B162,Vehicles!$B$9:$O$50,H$2,0)),0,VLOOKUP($B162,Vehicles!$B$9:$O$50,H$2,0))</f>
        <v>0</v>
      </c>
      <c r="I162" s="8">
        <f>IF(ISNA(VLOOKUP($B162,'Other Capital Needs'!$C$51:$P$95,I$2,0)),0,VLOOKUP($B162,'Other Capital Needs'!$C$51:$P$95,I$2,0))+IF(ISNA(VLOOKUP('Project Details by Yr - MASTER'!$B162,'Public Grounds'!$A$11:$N$49,I$2,0)),0,VLOOKUP('Project Details by Yr - MASTER'!$B162,'Public Grounds'!$A$11:$N$49,I$2,0))+IF(ISNA(VLOOKUP('Project Details by Yr - MASTER'!$B162,'Public Buildings'!$A$10:$N$96,I$2,0)),0,VLOOKUP('Project Details by Yr - MASTER'!$B162,'Public Buildings'!$A$10:$N$96,I$2,0))+IF(ISNA(VLOOKUP('Project Details by Yr - MASTER'!$B162,Bridges!$A$9:$N$24,I$2,0)),0,VLOOKUP('Project Details by Yr - MASTER'!$B162,Bridges!$A$9:$N$24,I$2,0))+IF(ISNA(VLOOKUP('Project Details by Yr - MASTER'!$B162,'Parking Lots &amp; Playgrounds'!$A$9:$N$33,I$2,0)),0,VLOOKUP('Project Details by Yr - MASTER'!$B162,'Parking Lots &amp; Playgrounds'!$A$9:$N$33,I$2,0))+IF(ISNA(VLOOKUP($B162,Vehicles!$B$9:$O$50,I$2,0)),0,VLOOKUP($B162,Vehicles!$B$9:$O$50,I$2,0))</f>
        <v>0</v>
      </c>
      <c r="J162" s="8">
        <f>IF(ISNA(VLOOKUP($B162,'Other Capital Needs'!$C$51:$P$95,J$2,0)),0,VLOOKUP($B162,'Other Capital Needs'!$C$51:$P$95,J$2,0))+IF(ISNA(VLOOKUP('Project Details by Yr - MASTER'!$B162,'Public Grounds'!$A$11:$N$49,J$2,0)),0,VLOOKUP('Project Details by Yr - MASTER'!$B162,'Public Grounds'!$A$11:$N$49,J$2,0))+IF(ISNA(VLOOKUP('Project Details by Yr - MASTER'!$B162,'Public Buildings'!$A$10:$N$96,J$2,0)),0,VLOOKUP('Project Details by Yr - MASTER'!$B162,'Public Buildings'!$A$10:$N$96,J$2,0))+IF(ISNA(VLOOKUP('Project Details by Yr - MASTER'!$B162,Bridges!$A$9:$N$24,J$2,0)),0,VLOOKUP('Project Details by Yr - MASTER'!$B162,Bridges!$A$9:$N$24,J$2,0))+IF(ISNA(VLOOKUP('Project Details by Yr - MASTER'!$B162,'Parking Lots &amp; Playgrounds'!$A$9:$N$33,J$2,0)),0,VLOOKUP('Project Details by Yr - MASTER'!$B162,'Parking Lots &amp; Playgrounds'!$A$9:$N$33,J$2,0))+IF(ISNA(VLOOKUP($B162,Vehicles!$B$9:$O$50,J$2,0)),0,VLOOKUP($B162,Vehicles!$B$9:$O$50,J$2,0))</f>
        <v>0</v>
      </c>
      <c r="K162" s="8">
        <f>IF(ISNA(VLOOKUP($B162,'Other Capital Needs'!$C$51:$P$95,K$2,0)),0,VLOOKUP($B162,'Other Capital Needs'!$C$51:$P$95,K$2,0))+IF(ISNA(VLOOKUP('Project Details by Yr - MASTER'!$B162,'Public Grounds'!$A$11:$N$49,K$2,0)),0,VLOOKUP('Project Details by Yr - MASTER'!$B162,'Public Grounds'!$A$11:$N$49,K$2,0))+IF(ISNA(VLOOKUP('Project Details by Yr - MASTER'!$B162,'Public Buildings'!$A$10:$N$96,K$2,0)),0,VLOOKUP('Project Details by Yr - MASTER'!$B162,'Public Buildings'!$A$10:$N$96,K$2,0))+IF(ISNA(VLOOKUP('Project Details by Yr - MASTER'!$B162,Bridges!$A$9:$N$24,K$2,0)),0,VLOOKUP('Project Details by Yr - MASTER'!$B162,Bridges!$A$9:$N$24,K$2,0))+IF(ISNA(VLOOKUP('Project Details by Yr - MASTER'!$B162,'Parking Lots &amp; Playgrounds'!$A$9:$N$33,K$2,0)),0,VLOOKUP('Project Details by Yr - MASTER'!$B162,'Parking Lots &amp; Playgrounds'!$A$9:$N$33,K$2,0))+IF(ISNA(VLOOKUP($B162,Vehicles!$B$9:$O$50,K$2,0)),0,VLOOKUP($B162,Vehicles!$B$9:$O$50,K$2,0))</f>
        <v>0</v>
      </c>
    </row>
    <row r="163" spans="2:11" x14ac:dyDescent="0.25">
      <c r="B163" t="s">
        <v>118</v>
      </c>
      <c r="C163" t="s">
        <v>49</v>
      </c>
      <c r="D163" t="s">
        <v>272</v>
      </c>
      <c r="E163" s="1" t="s">
        <v>16</v>
      </c>
      <c r="G163" s="8">
        <f>IF(ISNA(VLOOKUP($B163,'Other Capital Needs'!$C$51:$P$95,G$2,0)),0,VLOOKUP($B163,'Other Capital Needs'!$C$51:$P$95,G$2,0))+IF(ISNA(VLOOKUP('Project Details by Yr - MASTER'!$B163,'Public Grounds'!$A$11:$N$49,G$2,0)),0,VLOOKUP('Project Details by Yr - MASTER'!$B163,'Public Grounds'!$A$11:$N$49,G$2,0))+IF(ISNA(VLOOKUP('Project Details by Yr - MASTER'!$B163,'Public Buildings'!$A$10:$N$96,G$2,0)),0,VLOOKUP('Project Details by Yr - MASTER'!$B163,'Public Buildings'!$A$10:$N$96,G$2,0))+IF(ISNA(VLOOKUP('Project Details by Yr - MASTER'!$B163,Bridges!$A$9:$N$24,G$2,0)),0,VLOOKUP('Project Details by Yr - MASTER'!$B163,Bridges!$A$9:$N$24,G$2,0))+IF(ISNA(VLOOKUP('Project Details by Yr - MASTER'!$B163,'Parking Lots &amp; Playgrounds'!$A$9:$N$33,G$2,0)),0,VLOOKUP('Project Details by Yr - MASTER'!$B163,'Parking Lots &amp; Playgrounds'!$A$9:$N$33,G$2,0))+IF(ISNA(VLOOKUP($B163,Vehicles!$B$9:$O$50,G$2,0)),0,VLOOKUP($B163,Vehicles!$B$9:$O$50,G$2,0))</f>
        <v>35000</v>
      </c>
      <c r="H163" s="8">
        <f>IF(ISNA(VLOOKUP($B163,'Other Capital Needs'!$C$51:$P$95,H$2,0)),0,VLOOKUP($B163,'Other Capital Needs'!$C$51:$P$95,H$2,0))+IF(ISNA(VLOOKUP('Project Details by Yr - MASTER'!$B163,'Public Grounds'!$A$11:$N$49,H$2,0)),0,VLOOKUP('Project Details by Yr - MASTER'!$B163,'Public Grounds'!$A$11:$N$49,H$2,0))+IF(ISNA(VLOOKUP('Project Details by Yr - MASTER'!$B163,'Public Buildings'!$A$10:$N$96,H$2,0)),0,VLOOKUP('Project Details by Yr - MASTER'!$B163,'Public Buildings'!$A$10:$N$96,H$2,0))+IF(ISNA(VLOOKUP('Project Details by Yr - MASTER'!$B163,Bridges!$A$9:$N$24,H$2,0)),0,VLOOKUP('Project Details by Yr - MASTER'!$B163,Bridges!$A$9:$N$24,H$2,0))+IF(ISNA(VLOOKUP('Project Details by Yr - MASTER'!$B163,'Parking Lots &amp; Playgrounds'!$A$9:$N$33,H$2,0)),0,VLOOKUP('Project Details by Yr - MASTER'!$B163,'Parking Lots &amp; Playgrounds'!$A$9:$N$33,H$2,0))+IF(ISNA(VLOOKUP($B163,Vehicles!$B$9:$O$50,H$2,0)),0,VLOOKUP($B163,Vehicles!$B$9:$O$50,H$2,0))</f>
        <v>0</v>
      </c>
      <c r="I163" s="8">
        <f>IF(ISNA(VLOOKUP($B163,'Other Capital Needs'!$C$51:$P$95,I$2,0)),0,VLOOKUP($B163,'Other Capital Needs'!$C$51:$P$95,I$2,0))+IF(ISNA(VLOOKUP('Project Details by Yr - MASTER'!$B163,'Public Grounds'!$A$11:$N$49,I$2,0)),0,VLOOKUP('Project Details by Yr - MASTER'!$B163,'Public Grounds'!$A$11:$N$49,I$2,0))+IF(ISNA(VLOOKUP('Project Details by Yr - MASTER'!$B163,'Public Buildings'!$A$10:$N$96,I$2,0)),0,VLOOKUP('Project Details by Yr - MASTER'!$B163,'Public Buildings'!$A$10:$N$96,I$2,0))+IF(ISNA(VLOOKUP('Project Details by Yr - MASTER'!$B163,Bridges!$A$9:$N$24,I$2,0)),0,VLOOKUP('Project Details by Yr - MASTER'!$B163,Bridges!$A$9:$N$24,I$2,0))+IF(ISNA(VLOOKUP('Project Details by Yr - MASTER'!$B163,'Parking Lots &amp; Playgrounds'!$A$9:$N$33,I$2,0)),0,VLOOKUP('Project Details by Yr - MASTER'!$B163,'Parking Lots &amp; Playgrounds'!$A$9:$N$33,I$2,0))+IF(ISNA(VLOOKUP($B163,Vehicles!$B$9:$O$50,I$2,0)),0,VLOOKUP($B163,Vehicles!$B$9:$O$50,I$2,0))</f>
        <v>34218</v>
      </c>
      <c r="J163" s="8">
        <f>IF(ISNA(VLOOKUP($B163,'Other Capital Needs'!$C$51:$P$95,J$2,0)),0,VLOOKUP($B163,'Other Capital Needs'!$C$51:$P$95,J$2,0))+IF(ISNA(VLOOKUP('Project Details by Yr - MASTER'!$B163,'Public Grounds'!$A$11:$N$49,J$2,0)),0,VLOOKUP('Project Details by Yr - MASTER'!$B163,'Public Grounds'!$A$11:$N$49,J$2,0))+IF(ISNA(VLOOKUP('Project Details by Yr - MASTER'!$B163,'Public Buildings'!$A$10:$N$96,J$2,0)),0,VLOOKUP('Project Details by Yr - MASTER'!$B163,'Public Buildings'!$A$10:$N$96,J$2,0))+IF(ISNA(VLOOKUP('Project Details by Yr - MASTER'!$B163,Bridges!$A$9:$N$24,J$2,0)),0,VLOOKUP('Project Details by Yr - MASTER'!$B163,Bridges!$A$9:$N$24,J$2,0))+IF(ISNA(VLOOKUP('Project Details by Yr - MASTER'!$B163,'Parking Lots &amp; Playgrounds'!$A$9:$N$33,J$2,0)),0,VLOOKUP('Project Details by Yr - MASTER'!$B163,'Parking Lots &amp; Playgrounds'!$A$9:$N$33,J$2,0))+IF(ISNA(VLOOKUP($B163,Vehicles!$B$9:$O$50,J$2,0)),0,VLOOKUP($B163,Vehicles!$B$9:$O$50,J$2,0))</f>
        <v>35074</v>
      </c>
      <c r="K163" s="8">
        <f>IF(ISNA(VLOOKUP($B163,'Other Capital Needs'!$C$51:$P$95,K$2,0)),0,VLOOKUP($B163,'Other Capital Needs'!$C$51:$P$95,K$2,0))+IF(ISNA(VLOOKUP('Project Details by Yr - MASTER'!$B163,'Public Grounds'!$A$11:$N$49,K$2,0)),0,VLOOKUP('Project Details by Yr - MASTER'!$B163,'Public Grounds'!$A$11:$N$49,K$2,0))+IF(ISNA(VLOOKUP('Project Details by Yr - MASTER'!$B163,'Public Buildings'!$A$10:$N$96,K$2,0)),0,VLOOKUP('Project Details by Yr - MASTER'!$B163,'Public Buildings'!$A$10:$N$96,K$2,0))+IF(ISNA(VLOOKUP('Project Details by Yr - MASTER'!$B163,Bridges!$A$9:$N$24,K$2,0)),0,VLOOKUP('Project Details by Yr - MASTER'!$B163,Bridges!$A$9:$N$24,K$2,0))+IF(ISNA(VLOOKUP('Project Details by Yr - MASTER'!$B163,'Parking Lots &amp; Playgrounds'!$A$9:$N$33,K$2,0)),0,VLOOKUP('Project Details by Yr - MASTER'!$B163,'Parking Lots &amp; Playgrounds'!$A$9:$N$33,K$2,0))+IF(ISNA(VLOOKUP($B163,Vehicles!$B$9:$O$50,K$2,0)),0,VLOOKUP($B163,Vehicles!$B$9:$O$50,K$2,0))</f>
        <v>35950</v>
      </c>
    </row>
    <row r="164" spans="2:11" x14ac:dyDescent="0.25">
      <c r="B164" t="s">
        <v>119</v>
      </c>
      <c r="C164" t="s">
        <v>49</v>
      </c>
      <c r="D164" t="s">
        <v>272</v>
      </c>
      <c r="E164" s="1" t="s">
        <v>16</v>
      </c>
      <c r="G164" s="8">
        <f>IF(ISNA(VLOOKUP($B164,'Other Capital Needs'!$C$51:$P$95,G$2,0)),0,VLOOKUP($B164,'Other Capital Needs'!$C$51:$P$95,G$2,0))+IF(ISNA(VLOOKUP('Project Details by Yr - MASTER'!$B164,'Public Grounds'!$A$11:$N$49,G$2,0)),0,VLOOKUP('Project Details by Yr - MASTER'!$B164,'Public Grounds'!$A$11:$N$49,G$2,0))+IF(ISNA(VLOOKUP('Project Details by Yr - MASTER'!$B164,'Public Buildings'!$A$10:$N$96,G$2,0)),0,VLOOKUP('Project Details by Yr - MASTER'!$B164,'Public Buildings'!$A$10:$N$96,G$2,0))+IF(ISNA(VLOOKUP('Project Details by Yr - MASTER'!$B164,Bridges!$A$9:$N$24,G$2,0)),0,VLOOKUP('Project Details by Yr - MASTER'!$B164,Bridges!$A$9:$N$24,G$2,0))+IF(ISNA(VLOOKUP('Project Details by Yr - MASTER'!$B164,'Parking Lots &amp; Playgrounds'!$A$9:$N$33,G$2,0)),0,VLOOKUP('Project Details by Yr - MASTER'!$B164,'Parking Lots &amp; Playgrounds'!$A$9:$N$33,G$2,0))+IF(ISNA(VLOOKUP($B164,Vehicles!$B$9:$O$50,G$2,0)),0,VLOOKUP($B164,Vehicles!$B$9:$O$50,G$2,0))</f>
        <v>0</v>
      </c>
      <c r="H164" s="8">
        <f>IF(ISNA(VLOOKUP($B164,'Other Capital Needs'!$C$51:$P$95,H$2,0)),0,VLOOKUP($B164,'Other Capital Needs'!$C$51:$P$95,H$2,0))+IF(ISNA(VLOOKUP('Project Details by Yr - MASTER'!$B164,'Public Grounds'!$A$11:$N$49,H$2,0)),0,VLOOKUP('Project Details by Yr - MASTER'!$B164,'Public Grounds'!$A$11:$N$49,H$2,0))+IF(ISNA(VLOOKUP('Project Details by Yr - MASTER'!$B164,'Public Buildings'!$A$10:$N$96,H$2,0)),0,VLOOKUP('Project Details by Yr - MASTER'!$B164,'Public Buildings'!$A$10:$N$96,H$2,0))+IF(ISNA(VLOOKUP('Project Details by Yr - MASTER'!$B164,Bridges!$A$9:$N$24,H$2,0)),0,VLOOKUP('Project Details by Yr - MASTER'!$B164,Bridges!$A$9:$N$24,H$2,0))+IF(ISNA(VLOOKUP('Project Details by Yr - MASTER'!$B164,'Parking Lots &amp; Playgrounds'!$A$9:$N$33,H$2,0)),0,VLOOKUP('Project Details by Yr - MASTER'!$B164,'Parking Lots &amp; Playgrounds'!$A$9:$N$33,H$2,0))+IF(ISNA(VLOOKUP($B164,Vehicles!$B$9:$O$50,H$2,0)),0,VLOOKUP($B164,Vehicles!$B$9:$O$50,H$2,0))</f>
        <v>0</v>
      </c>
      <c r="I164" s="8">
        <f>IF(ISNA(VLOOKUP($B164,'Other Capital Needs'!$C$51:$P$95,I$2,0)),0,VLOOKUP($B164,'Other Capital Needs'!$C$51:$P$95,I$2,0))+IF(ISNA(VLOOKUP('Project Details by Yr - MASTER'!$B164,'Public Grounds'!$A$11:$N$49,I$2,0)),0,VLOOKUP('Project Details by Yr - MASTER'!$B164,'Public Grounds'!$A$11:$N$49,I$2,0))+IF(ISNA(VLOOKUP('Project Details by Yr - MASTER'!$B164,'Public Buildings'!$A$10:$N$96,I$2,0)),0,VLOOKUP('Project Details by Yr - MASTER'!$B164,'Public Buildings'!$A$10:$N$96,I$2,0))+IF(ISNA(VLOOKUP('Project Details by Yr - MASTER'!$B164,Bridges!$A$9:$N$24,I$2,0)),0,VLOOKUP('Project Details by Yr - MASTER'!$B164,Bridges!$A$9:$N$24,I$2,0))+IF(ISNA(VLOOKUP('Project Details by Yr - MASTER'!$B164,'Parking Lots &amp; Playgrounds'!$A$9:$N$33,I$2,0)),0,VLOOKUP('Project Details by Yr - MASTER'!$B164,'Parking Lots &amp; Playgrounds'!$A$9:$N$33,I$2,0))+IF(ISNA(VLOOKUP($B164,Vehicles!$B$9:$O$50,I$2,0)),0,VLOOKUP($B164,Vehicles!$B$9:$O$50,I$2,0))</f>
        <v>0</v>
      </c>
      <c r="J164" s="8">
        <f>IF(ISNA(VLOOKUP($B164,'Other Capital Needs'!$C$51:$P$95,J$2,0)),0,VLOOKUP($B164,'Other Capital Needs'!$C$51:$P$95,J$2,0))+IF(ISNA(VLOOKUP('Project Details by Yr - MASTER'!$B164,'Public Grounds'!$A$11:$N$49,J$2,0)),0,VLOOKUP('Project Details by Yr - MASTER'!$B164,'Public Grounds'!$A$11:$N$49,J$2,0))+IF(ISNA(VLOOKUP('Project Details by Yr - MASTER'!$B164,'Public Buildings'!$A$10:$N$96,J$2,0)),0,VLOOKUP('Project Details by Yr - MASTER'!$B164,'Public Buildings'!$A$10:$N$96,J$2,0))+IF(ISNA(VLOOKUP('Project Details by Yr - MASTER'!$B164,Bridges!$A$9:$N$24,J$2,0)),0,VLOOKUP('Project Details by Yr - MASTER'!$B164,Bridges!$A$9:$N$24,J$2,0))+IF(ISNA(VLOOKUP('Project Details by Yr - MASTER'!$B164,'Parking Lots &amp; Playgrounds'!$A$9:$N$33,J$2,0)),0,VLOOKUP('Project Details by Yr - MASTER'!$B164,'Parking Lots &amp; Playgrounds'!$A$9:$N$33,J$2,0))+IF(ISNA(VLOOKUP($B164,Vehicles!$B$9:$O$50,J$2,0)),0,VLOOKUP($B164,Vehicles!$B$9:$O$50,J$2,0))</f>
        <v>0</v>
      </c>
      <c r="K164" s="8">
        <f>IF(ISNA(VLOOKUP($B164,'Other Capital Needs'!$C$51:$P$95,K$2,0)),0,VLOOKUP($B164,'Other Capital Needs'!$C$51:$P$95,K$2,0))+IF(ISNA(VLOOKUP('Project Details by Yr - MASTER'!$B164,'Public Grounds'!$A$11:$N$49,K$2,0)),0,VLOOKUP('Project Details by Yr - MASTER'!$B164,'Public Grounds'!$A$11:$N$49,K$2,0))+IF(ISNA(VLOOKUP('Project Details by Yr - MASTER'!$B164,'Public Buildings'!$A$10:$N$96,K$2,0)),0,VLOOKUP('Project Details by Yr - MASTER'!$B164,'Public Buildings'!$A$10:$N$96,K$2,0))+IF(ISNA(VLOOKUP('Project Details by Yr - MASTER'!$B164,Bridges!$A$9:$N$24,K$2,0)),0,VLOOKUP('Project Details by Yr - MASTER'!$B164,Bridges!$A$9:$N$24,K$2,0))+IF(ISNA(VLOOKUP('Project Details by Yr - MASTER'!$B164,'Parking Lots &amp; Playgrounds'!$A$9:$N$33,K$2,0)),0,VLOOKUP('Project Details by Yr - MASTER'!$B164,'Parking Lots &amp; Playgrounds'!$A$9:$N$33,K$2,0))+IF(ISNA(VLOOKUP($B164,Vehicles!$B$9:$O$50,K$2,0)),0,VLOOKUP($B164,Vehicles!$B$9:$O$50,K$2,0))</f>
        <v>0</v>
      </c>
    </row>
    <row r="165" spans="2:11" x14ac:dyDescent="0.25">
      <c r="B165" t="s">
        <v>112</v>
      </c>
      <c r="C165" t="s">
        <v>49</v>
      </c>
      <c r="D165" t="s">
        <v>272</v>
      </c>
      <c r="E165" s="1" t="s">
        <v>16</v>
      </c>
      <c r="G165" s="8">
        <f>IF(ISNA(VLOOKUP($B165,'Other Capital Needs'!$C$51:$P$95,G$2,0)),0,VLOOKUP($B165,'Other Capital Needs'!$C$51:$P$95,G$2,0))+IF(ISNA(VLOOKUP('Project Details by Yr - MASTER'!$B165,'Public Grounds'!$A$11:$N$49,G$2,0)),0,VLOOKUP('Project Details by Yr - MASTER'!$B165,'Public Grounds'!$A$11:$N$49,G$2,0))+IF(ISNA(VLOOKUP('Project Details by Yr - MASTER'!$B165,'Public Buildings'!$A$10:$N$96,G$2,0)),0,VLOOKUP('Project Details by Yr - MASTER'!$B165,'Public Buildings'!$A$10:$N$96,G$2,0))+IF(ISNA(VLOOKUP('Project Details by Yr - MASTER'!$B165,Bridges!$A$9:$N$24,G$2,0)),0,VLOOKUP('Project Details by Yr - MASTER'!$B165,Bridges!$A$9:$N$24,G$2,0))+IF(ISNA(VLOOKUP('Project Details by Yr - MASTER'!$B165,'Parking Lots &amp; Playgrounds'!$A$9:$N$33,G$2,0)),0,VLOOKUP('Project Details by Yr - MASTER'!$B165,'Parking Lots &amp; Playgrounds'!$A$9:$N$33,G$2,0))+IF(ISNA(VLOOKUP($B165,Vehicles!$B$9:$O$50,G$2,0)),0,VLOOKUP($B165,Vehicles!$B$9:$O$50,G$2,0))</f>
        <v>0</v>
      </c>
      <c r="H165" s="8">
        <f>IF(ISNA(VLOOKUP($B165,'Other Capital Needs'!$C$51:$P$95,H$2,0)),0,VLOOKUP($B165,'Other Capital Needs'!$C$51:$P$95,H$2,0))+IF(ISNA(VLOOKUP('Project Details by Yr - MASTER'!$B165,'Public Grounds'!$A$11:$N$49,H$2,0)),0,VLOOKUP('Project Details by Yr - MASTER'!$B165,'Public Grounds'!$A$11:$N$49,H$2,0))+IF(ISNA(VLOOKUP('Project Details by Yr - MASTER'!$B165,'Public Buildings'!$A$10:$N$96,H$2,0)),0,VLOOKUP('Project Details by Yr - MASTER'!$B165,'Public Buildings'!$A$10:$N$96,H$2,0))+IF(ISNA(VLOOKUP('Project Details by Yr - MASTER'!$B165,Bridges!$A$9:$N$24,H$2,0)),0,VLOOKUP('Project Details by Yr - MASTER'!$B165,Bridges!$A$9:$N$24,H$2,0))+IF(ISNA(VLOOKUP('Project Details by Yr - MASTER'!$B165,'Parking Lots &amp; Playgrounds'!$A$9:$N$33,H$2,0)),0,VLOOKUP('Project Details by Yr - MASTER'!$B165,'Parking Lots &amp; Playgrounds'!$A$9:$N$33,H$2,0))+IF(ISNA(VLOOKUP($B165,Vehicles!$B$9:$O$50,H$2,0)),0,VLOOKUP($B165,Vehicles!$B$9:$O$50,H$2,0))</f>
        <v>0</v>
      </c>
      <c r="I165" s="8">
        <f>IF(ISNA(VLOOKUP($B165,'Other Capital Needs'!$C$51:$P$95,I$2,0)),0,VLOOKUP($B165,'Other Capital Needs'!$C$51:$P$95,I$2,0))+IF(ISNA(VLOOKUP('Project Details by Yr - MASTER'!$B165,'Public Grounds'!$A$11:$N$49,I$2,0)),0,VLOOKUP('Project Details by Yr - MASTER'!$B165,'Public Grounds'!$A$11:$N$49,I$2,0))+IF(ISNA(VLOOKUP('Project Details by Yr - MASTER'!$B165,'Public Buildings'!$A$10:$N$96,I$2,0)),0,VLOOKUP('Project Details by Yr - MASTER'!$B165,'Public Buildings'!$A$10:$N$96,I$2,0))+IF(ISNA(VLOOKUP('Project Details by Yr - MASTER'!$B165,Bridges!$A$9:$N$24,I$2,0)),0,VLOOKUP('Project Details by Yr - MASTER'!$B165,Bridges!$A$9:$N$24,I$2,0))+IF(ISNA(VLOOKUP('Project Details by Yr - MASTER'!$B165,'Parking Lots &amp; Playgrounds'!$A$9:$N$33,I$2,0)),0,VLOOKUP('Project Details by Yr - MASTER'!$B165,'Parking Lots &amp; Playgrounds'!$A$9:$N$33,I$2,0))+IF(ISNA(VLOOKUP($B165,Vehicles!$B$9:$O$50,I$2,0)),0,VLOOKUP($B165,Vehicles!$B$9:$O$50,I$2,0))</f>
        <v>0</v>
      </c>
      <c r="J165" s="8">
        <f>IF(ISNA(VLOOKUP($B165,'Other Capital Needs'!$C$51:$P$95,J$2,0)),0,VLOOKUP($B165,'Other Capital Needs'!$C$51:$P$95,J$2,0))+IF(ISNA(VLOOKUP('Project Details by Yr - MASTER'!$B165,'Public Grounds'!$A$11:$N$49,J$2,0)),0,VLOOKUP('Project Details by Yr - MASTER'!$B165,'Public Grounds'!$A$11:$N$49,J$2,0))+IF(ISNA(VLOOKUP('Project Details by Yr - MASTER'!$B165,'Public Buildings'!$A$10:$N$96,J$2,0)),0,VLOOKUP('Project Details by Yr - MASTER'!$B165,'Public Buildings'!$A$10:$N$96,J$2,0))+IF(ISNA(VLOOKUP('Project Details by Yr - MASTER'!$B165,Bridges!$A$9:$N$24,J$2,0)),0,VLOOKUP('Project Details by Yr - MASTER'!$B165,Bridges!$A$9:$N$24,J$2,0))+IF(ISNA(VLOOKUP('Project Details by Yr - MASTER'!$B165,'Parking Lots &amp; Playgrounds'!$A$9:$N$33,J$2,0)),0,VLOOKUP('Project Details by Yr - MASTER'!$B165,'Parking Lots &amp; Playgrounds'!$A$9:$N$33,J$2,0))+IF(ISNA(VLOOKUP($B165,Vehicles!$B$9:$O$50,J$2,0)),0,VLOOKUP($B165,Vehicles!$B$9:$O$50,J$2,0))</f>
        <v>0</v>
      </c>
      <c r="K165" s="8">
        <f>IF(ISNA(VLOOKUP($B165,'Other Capital Needs'!$C$51:$P$95,K$2,0)),0,VLOOKUP($B165,'Other Capital Needs'!$C$51:$P$95,K$2,0))+IF(ISNA(VLOOKUP('Project Details by Yr - MASTER'!$B165,'Public Grounds'!$A$11:$N$49,K$2,0)),0,VLOOKUP('Project Details by Yr - MASTER'!$B165,'Public Grounds'!$A$11:$N$49,K$2,0))+IF(ISNA(VLOOKUP('Project Details by Yr - MASTER'!$B165,'Public Buildings'!$A$10:$N$96,K$2,0)),0,VLOOKUP('Project Details by Yr - MASTER'!$B165,'Public Buildings'!$A$10:$N$96,K$2,0))+IF(ISNA(VLOOKUP('Project Details by Yr - MASTER'!$B165,Bridges!$A$9:$N$24,K$2,0)),0,VLOOKUP('Project Details by Yr - MASTER'!$B165,Bridges!$A$9:$N$24,K$2,0))+IF(ISNA(VLOOKUP('Project Details by Yr - MASTER'!$B165,'Parking Lots &amp; Playgrounds'!$A$9:$N$33,K$2,0)),0,VLOOKUP('Project Details by Yr - MASTER'!$B165,'Parking Lots &amp; Playgrounds'!$A$9:$N$33,K$2,0))+IF(ISNA(VLOOKUP($B165,Vehicles!$B$9:$O$50,K$2,0)),0,VLOOKUP($B165,Vehicles!$B$9:$O$50,K$2,0))</f>
        <v>0</v>
      </c>
    </row>
    <row r="166" spans="2:11" x14ac:dyDescent="0.25">
      <c r="B166" t="s">
        <v>113</v>
      </c>
      <c r="C166" t="s">
        <v>49</v>
      </c>
      <c r="D166" t="s">
        <v>272</v>
      </c>
      <c r="E166" s="1" t="s">
        <v>19</v>
      </c>
      <c r="G166" s="8">
        <f>IF(ISNA(VLOOKUP($B166,'Other Capital Needs'!$C$51:$P$95,G$2,0)),0,VLOOKUP($B166,'Other Capital Needs'!$C$51:$P$95,G$2,0))+IF(ISNA(VLOOKUP('Project Details by Yr - MASTER'!$B166,'Public Grounds'!$A$11:$N$49,G$2,0)),0,VLOOKUP('Project Details by Yr - MASTER'!$B166,'Public Grounds'!$A$11:$N$49,G$2,0))+IF(ISNA(VLOOKUP('Project Details by Yr - MASTER'!$B166,'Public Buildings'!$A$10:$N$96,G$2,0)),0,VLOOKUP('Project Details by Yr - MASTER'!$B166,'Public Buildings'!$A$10:$N$96,G$2,0))+IF(ISNA(VLOOKUP('Project Details by Yr - MASTER'!$B166,Bridges!$A$9:$N$24,G$2,0)),0,VLOOKUP('Project Details by Yr - MASTER'!$B166,Bridges!$A$9:$N$24,G$2,0))+IF(ISNA(VLOOKUP('Project Details by Yr - MASTER'!$B166,'Parking Lots &amp; Playgrounds'!$A$9:$N$33,G$2,0)),0,VLOOKUP('Project Details by Yr - MASTER'!$B166,'Parking Lots &amp; Playgrounds'!$A$9:$N$33,G$2,0))+IF(ISNA(VLOOKUP($B166,Vehicles!$B$9:$O$50,G$2,0)),0,VLOOKUP($B166,Vehicles!$B$9:$O$50,G$2,0))</f>
        <v>0</v>
      </c>
      <c r="H166" s="8">
        <f>IF(ISNA(VLOOKUP($B166,'Other Capital Needs'!$C$51:$P$95,H$2,0)),0,VLOOKUP($B166,'Other Capital Needs'!$C$51:$P$95,H$2,0))+IF(ISNA(VLOOKUP('Project Details by Yr - MASTER'!$B166,'Public Grounds'!$A$11:$N$49,H$2,0)),0,VLOOKUP('Project Details by Yr - MASTER'!$B166,'Public Grounds'!$A$11:$N$49,H$2,0))+IF(ISNA(VLOOKUP('Project Details by Yr - MASTER'!$B166,'Public Buildings'!$A$10:$N$96,H$2,0)),0,VLOOKUP('Project Details by Yr - MASTER'!$B166,'Public Buildings'!$A$10:$N$96,H$2,0))+IF(ISNA(VLOOKUP('Project Details by Yr - MASTER'!$B166,Bridges!$A$9:$N$24,H$2,0)),0,VLOOKUP('Project Details by Yr - MASTER'!$B166,Bridges!$A$9:$N$24,H$2,0))+IF(ISNA(VLOOKUP('Project Details by Yr - MASTER'!$B166,'Parking Lots &amp; Playgrounds'!$A$9:$N$33,H$2,0)),0,VLOOKUP('Project Details by Yr - MASTER'!$B166,'Parking Lots &amp; Playgrounds'!$A$9:$N$33,H$2,0))+IF(ISNA(VLOOKUP($B166,Vehicles!$B$9:$O$50,H$2,0)),0,VLOOKUP($B166,Vehicles!$B$9:$O$50,H$2,0))</f>
        <v>700000</v>
      </c>
      <c r="I166" s="8">
        <f>IF(ISNA(VLOOKUP($B166,'Other Capital Needs'!$C$51:$P$95,I$2,0)),0,VLOOKUP($B166,'Other Capital Needs'!$C$51:$P$95,I$2,0))+IF(ISNA(VLOOKUP('Project Details by Yr - MASTER'!$B166,'Public Grounds'!$A$11:$N$49,I$2,0)),0,VLOOKUP('Project Details by Yr - MASTER'!$B166,'Public Grounds'!$A$11:$N$49,I$2,0))+IF(ISNA(VLOOKUP('Project Details by Yr - MASTER'!$B166,'Public Buildings'!$A$10:$N$96,I$2,0)),0,VLOOKUP('Project Details by Yr - MASTER'!$B166,'Public Buildings'!$A$10:$N$96,I$2,0))+IF(ISNA(VLOOKUP('Project Details by Yr - MASTER'!$B166,Bridges!$A$9:$N$24,I$2,0)),0,VLOOKUP('Project Details by Yr - MASTER'!$B166,Bridges!$A$9:$N$24,I$2,0))+IF(ISNA(VLOOKUP('Project Details by Yr - MASTER'!$B166,'Parking Lots &amp; Playgrounds'!$A$9:$N$33,I$2,0)),0,VLOOKUP('Project Details by Yr - MASTER'!$B166,'Parking Lots &amp; Playgrounds'!$A$9:$N$33,I$2,0))+IF(ISNA(VLOOKUP($B166,Vehicles!$B$9:$O$50,I$2,0)),0,VLOOKUP($B166,Vehicles!$B$9:$O$50,I$2,0))</f>
        <v>0</v>
      </c>
      <c r="J166" s="8">
        <f>IF(ISNA(VLOOKUP($B166,'Other Capital Needs'!$C$51:$P$95,J$2,0)),0,VLOOKUP($B166,'Other Capital Needs'!$C$51:$P$95,J$2,0))+IF(ISNA(VLOOKUP('Project Details by Yr - MASTER'!$B166,'Public Grounds'!$A$11:$N$49,J$2,0)),0,VLOOKUP('Project Details by Yr - MASTER'!$B166,'Public Grounds'!$A$11:$N$49,J$2,0))+IF(ISNA(VLOOKUP('Project Details by Yr - MASTER'!$B166,'Public Buildings'!$A$10:$N$96,J$2,0)),0,VLOOKUP('Project Details by Yr - MASTER'!$B166,'Public Buildings'!$A$10:$N$96,J$2,0))+IF(ISNA(VLOOKUP('Project Details by Yr - MASTER'!$B166,Bridges!$A$9:$N$24,J$2,0)),0,VLOOKUP('Project Details by Yr - MASTER'!$B166,Bridges!$A$9:$N$24,J$2,0))+IF(ISNA(VLOOKUP('Project Details by Yr - MASTER'!$B166,'Parking Lots &amp; Playgrounds'!$A$9:$N$33,J$2,0)),0,VLOOKUP('Project Details by Yr - MASTER'!$B166,'Parking Lots &amp; Playgrounds'!$A$9:$N$33,J$2,0))+IF(ISNA(VLOOKUP($B166,Vehicles!$B$9:$O$50,J$2,0)),0,VLOOKUP($B166,Vehicles!$B$9:$O$50,J$2,0))</f>
        <v>0</v>
      </c>
      <c r="K166" s="8">
        <f>IF(ISNA(VLOOKUP($B166,'Other Capital Needs'!$C$51:$P$95,K$2,0)),0,VLOOKUP($B166,'Other Capital Needs'!$C$51:$P$95,K$2,0))+IF(ISNA(VLOOKUP('Project Details by Yr - MASTER'!$B166,'Public Grounds'!$A$11:$N$49,K$2,0)),0,VLOOKUP('Project Details by Yr - MASTER'!$B166,'Public Grounds'!$A$11:$N$49,K$2,0))+IF(ISNA(VLOOKUP('Project Details by Yr - MASTER'!$B166,'Public Buildings'!$A$10:$N$96,K$2,0)),0,VLOOKUP('Project Details by Yr - MASTER'!$B166,'Public Buildings'!$A$10:$N$96,K$2,0))+IF(ISNA(VLOOKUP('Project Details by Yr - MASTER'!$B166,Bridges!$A$9:$N$24,K$2,0)),0,VLOOKUP('Project Details by Yr - MASTER'!$B166,Bridges!$A$9:$N$24,K$2,0))+IF(ISNA(VLOOKUP('Project Details by Yr - MASTER'!$B166,'Parking Lots &amp; Playgrounds'!$A$9:$N$33,K$2,0)),0,VLOOKUP('Project Details by Yr - MASTER'!$B166,'Parking Lots &amp; Playgrounds'!$A$9:$N$33,K$2,0))+IF(ISNA(VLOOKUP($B166,Vehicles!$B$9:$O$50,K$2,0)),0,VLOOKUP($B166,Vehicles!$B$9:$O$50,K$2,0))</f>
        <v>0</v>
      </c>
    </row>
    <row r="167" spans="2:11" x14ac:dyDescent="0.25">
      <c r="B167" t="s">
        <v>114</v>
      </c>
      <c r="C167" t="s">
        <v>49</v>
      </c>
      <c r="D167" t="s">
        <v>272</v>
      </c>
      <c r="E167" s="1" t="s">
        <v>16</v>
      </c>
      <c r="G167" s="8">
        <f>IF(ISNA(VLOOKUP($B167,'Other Capital Needs'!$C$51:$P$95,G$2,0)),0,VLOOKUP($B167,'Other Capital Needs'!$C$51:$P$95,G$2,0))+IF(ISNA(VLOOKUP('Project Details by Yr - MASTER'!$B167,'Public Grounds'!$A$11:$N$49,G$2,0)),0,VLOOKUP('Project Details by Yr - MASTER'!$B167,'Public Grounds'!$A$11:$N$49,G$2,0))+IF(ISNA(VLOOKUP('Project Details by Yr - MASTER'!$B167,'Public Buildings'!$A$10:$N$96,G$2,0)),0,VLOOKUP('Project Details by Yr - MASTER'!$B167,'Public Buildings'!$A$10:$N$96,G$2,0))+IF(ISNA(VLOOKUP('Project Details by Yr - MASTER'!$B167,Bridges!$A$9:$N$24,G$2,0)),0,VLOOKUP('Project Details by Yr - MASTER'!$B167,Bridges!$A$9:$N$24,G$2,0))+IF(ISNA(VLOOKUP('Project Details by Yr - MASTER'!$B167,'Parking Lots &amp; Playgrounds'!$A$9:$N$33,G$2,0)),0,VLOOKUP('Project Details by Yr - MASTER'!$B167,'Parking Lots &amp; Playgrounds'!$A$9:$N$33,G$2,0))+IF(ISNA(VLOOKUP($B167,Vehicles!$B$9:$O$50,G$2,0)),0,VLOOKUP($B167,Vehicles!$B$9:$O$50,G$2,0))</f>
        <v>0</v>
      </c>
      <c r="H167" s="8">
        <f>IF(ISNA(VLOOKUP($B167,'Other Capital Needs'!$C$51:$P$95,H$2,0)),0,VLOOKUP($B167,'Other Capital Needs'!$C$51:$P$95,H$2,0))+IF(ISNA(VLOOKUP('Project Details by Yr - MASTER'!$B167,'Public Grounds'!$A$11:$N$49,H$2,0)),0,VLOOKUP('Project Details by Yr - MASTER'!$B167,'Public Grounds'!$A$11:$N$49,H$2,0))+IF(ISNA(VLOOKUP('Project Details by Yr - MASTER'!$B167,'Public Buildings'!$A$10:$N$96,H$2,0)),0,VLOOKUP('Project Details by Yr - MASTER'!$B167,'Public Buildings'!$A$10:$N$96,H$2,0))+IF(ISNA(VLOOKUP('Project Details by Yr - MASTER'!$B167,Bridges!$A$9:$N$24,H$2,0)),0,VLOOKUP('Project Details by Yr - MASTER'!$B167,Bridges!$A$9:$N$24,H$2,0))+IF(ISNA(VLOOKUP('Project Details by Yr - MASTER'!$B167,'Parking Lots &amp; Playgrounds'!$A$9:$N$33,H$2,0)),0,VLOOKUP('Project Details by Yr - MASTER'!$B167,'Parking Lots &amp; Playgrounds'!$A$9:$N$33,H$2,0))+IF(ISNA(VLOOKUP($B167,Vehicles!$B$9:$O$50,H$2,0)),0,VLOOKUP($B167,Vehicles!$B$9:$O$50,H$2,0))</f>
        <v>0</v>
      </c>
      <c r="I167" s="8">
        <f>IF(ISNA(VLOOKUP($B167,'Other Capital Needs'!$C$51:$P$95,I$2,0)),0,VLOOKUP($B167,'Other Capital Needs'!$C$51:$P$95,I$2,0))+IF(ISNA(VLOOKUP('Project Details by Yr - MASTER'!$B167,'Public Grounds'!$A$11:$N$49,I$2,0)),0,VLOOKUP('Project Details by Yr - MASTER'!$B167,'Public Grounds'!$A$11:$N$49,I$2,0))+IF(ISNA(VLOOKUP('Project Details by Yr - MASTER'!$B167,'Public Buildings'!$A$10:$N$96,I$2,0)),0,VLOOKUP('Project Details by Yr - MASTER'!$B167,'Public Buildings'!$A$10:$N$96,I$2,0))+IF(ISNA(VLOOKUP('Project Details by Yr - MASTER'!$B167,Bridges!$A$9:$N$24,I$2,0)),0,VLOOKUP('Project Details by Yr - MASTER'!$B167,Bridges!$A$9:$N$24,I$2,0))+IF(ISNA(VLOOKUP('Project Details by Yr - MASTER'!$B167,'Parking Lots &amp; Playgrounds'!$A$9:$N$33,I$2,0)),0,VLOOKUP('Project Details by Yr - MASTER'!$B167,'Parking Lots &amp; Playgrounds'!$A$9:$N$33,I$2,0))+IF(ISNA(VLOOKUP($B167,Vehicles!$B$9:$O$50,I$2,0)),0,VLOOKUP($B167,Vehicles!$B$9:$O$50,I$2,0))</f>
        <v>0</v>
      </c>
      <c r="J167" s="8">
        <f>IF(ISNA(VLOOKUP($B167,'Other Capital Needs'!$C$51:$P$95,J$2,0)),0,VLOOKUP($B167,'Other Capital Needs'!$C$51:$P$95,J$2,0))+IF(ISNA(VLOOKUP('Project Details by Yr - MASTER'!$B167,'Public Grounds'!$A$11:$N$49,J$2,0)),0,VLOOKUP('Project Details by Yr - MASTER'!$B167,'Public Grounds'!$A$11:$N$49,J$2,0))+IF(ISNA(VLOOKUP('Project Details by Yr - MASTER'!$B167,'Public Buildings'!$A$10:$N$96,J$2,0)),0,VLOOKUP('Project Details by Yr - MASTER'!$B167,'Public Buildings'!$A$10:$N$96,J$2,0))+IF(ISNA(VLOOKUP('Project Details by Yr - MASTER'!$B167,Bridges!$A$9:$N$24,J$2,0)),0,VLOOKUP('Project Details by Yr - MASTER'!$B167,Bridges!$A$9:$N$24,J$2,0))+IF(ISNA(VLOOKUP('Project Details by Yr - MASTER'!$B167,'Parking Lots &amp; Playgrounds'!$A$9:$N$33,J$2,0)),0,VLOOKUP('Project Details by Yr - MASTER'!$B167,'Parking Lots &amp; Playgrounds'!$A$9:$N$33,J$2,0))+IF(ISNA(VLOOKUP($B167,Vehicles!$B$9:$O$50,J$2,0)),0,VLOOKUP($B167,Vehicles!$B$9:$O$50,J$2,0))</f>
        <v>0</v>
      </c>
      <c r="K167" s="8">
        <f>IF(ISNA(VLOOKUP($B167,'Other Capital Needs'!$C$51:$P$95,K$2,0)),0,VLOOKUP($B167,'Other Capital Needs'!$C$51:$P$95,K$2,0))+IF(ISNA(VLOOKUP('Project Details by Yr - MASTER'!$B167,'Public Grounds'!$A$11:$N$49,K$2,0)),0,VLOOKUP('Project Details by Yr - MASTER'!$B167,'Public Grounds'!$A$11:$N$49,K$2,0))+IF(ISNA(VLOOKUP('Project Details by Yr - MASTER'!$B167,'Public Buildings'!$A$10:$N$96,K$2,0)),0,VLOOKUP('Project Details by Yr - MASTER'!$B167,'Public Buildings'!$A$10:$N$96,K$2,0))+IF(ISNA(VLOOKUP('Project Details by Yr - MASTER'!$B167,Bridges!$A$9:$N$24,K$2,0)),0,VLOOKUP('Project Details by Yr - MASTER'!$B167,Bridges!$A$9:$N$24,K$2,0))+IF(ISNA(VLOOKUP('Project Details by Yr - MASTER'!$B167,'Parking Lots &amp; Playgrounds'!$A$9:$N$33,K$2,0)),0,VLOOKUP('Project Details by Yr - MASTER'!$B167,'Parking Lots &amp; Playgrounds'!$A$9:$N$33,K$2,0))+IF(ISNA(VLOOKUP($B167,Vehicles!$B$9:$O$50,K$2,0)),0,VLOOKUP($B167,Vehicles!$B$9:$O$50,K$2,0))</f>
        <v>0</v>
      </c>
    </row>
    <row r="168" spans="2:11" x14ac:dyDescent="0.25">
      <c r="B168" t="s">
        <v>115</v>
      </c>
      <c r="C168" t="s">
        <v>49</v>
      </c>
      <c r="D168" t="s">
        <v>272</v>
      </c>
      <c r="E168" s="1" t="s">
        <v>19</v>
      </c>
      <c r="G168" s="8">
        <f>IF(ISNA(VLOOKUP($B168,'Other Capital Needs'!$C$51:$P$95,G$2,0)),0,VLOOKUP($B168,'Other Capital Needs'!$C$51:$P$95,G$2,0))+IF(ISNA(VLOOKUP('Project Details by Yr - MASTER'!$B168,'Public Grounds'!$A$11:$N$49,G$2,0)),0,VLOOKUP('Project Details by Yr - MASTER'!$B168,'Public Grounds'!$A$11:$N$49,G$2,0))+IF(ISNA(VLOOKUP('Project Details by Yr - MASTER'!$B168,'Public Buildings'!$A$10:$N$96,G$2,0)),0,VLOOKUP('Project Details by Yr - MASTER'!$B168,'Public Buildings'!$A$10:$N$96,G$2,0))+IF(ISNA(VLOOKUP('Project Details by Yr - MASTER'!$B168,Bridges!$A$9:$N$24,G$2,0)),0,VLOOKUP('Project Details by Yr - MASTER'!$B168,Bridges!$A$9:$N$24,G$2,0))+IF(ISNA(VLOOKUP('Project Details by Yr - MASTER'!$B168,'Parking Lots &amp; Playgrounds'!$A$9:$N$33,G$2,0)),0,VLOOKUP('Project Details by Yr - MASTER'!$B168,'Parking Lots &amp; Playgrounds'!$A$9:$N$33,G$2,0))+IF(ISNA(VLOOKUP($B168,Vehicles!$B$9:$O$50,G$2,0)),0,VLOOKUP($B168,Vehicles!$B$9:$O$50,G$2,0))</f>
        <v>0</v>
      </c>
      <c r="H168" s="8">
        <f>IF(ISNA(VLOOKUP($B168,'Other Capital Needs'!$C$51:$P$95,H$2,0)),0,VLOOKUP($B168,'Other Capital Needs'!$C$51:$P$95,H$2,0))+IF(ISNA(VLOOKUP('Project Details by Yr - MASTER'!$B168,'Public Grounds'!$A$11:$N$49,H$2,0)),0,VLOOKUP('Project Details by Yr - MASTER'!$B168,'Public Grounds'!$A$11:$N$49,H$2,0))+IF(ISNA(VLOOKUP('Project Details by Yr - MASTER'!$B168,'Public Buildings'!$A$10:$N$96,H$2,0)),0,VLOOKUP('Project Details by Yr - MASTER'!$B168,'Public Buildings'!$A$10:$N$96,H$2,0))+IF(ISNA(VLOOKUP('Project Details by Yr - MASTER'!$B168,Bridges!$A$9:$N$24,H$2,0)),0,VLOOKUP('Project Details by Yr - MASTER'!$B168,Bridges!$A$9:$N$24,H$2,0))+IF(ISNA(VLOOKUP('Project Details by Yr - MASTER'!$B168,'Parking Lots &amp; Playgrounds'!$A$9:$N$33,H$2,0)),0,VLOOKUP('Project Details by Yr - MASTER'!$B168,'Parking Lots &amp; Playgrounds'!$A$9:$N$33,H$2,0))+IF(ISNA(VLOOKUP($B168,Vehicles!$B$9:$O$50,H$2,0)),0,VLOOKUP($B168,Vehicles!$B$9:$O$50,H$2,0))</f>
        <v>600000</v>
      </c>
      <c r="I168" s="8">
        <f>IF(ISNA(VLOOKUP($B168,'Other Capital Needs'!$C$51:$P$95,I$2,0)),0,VLOOKUP($B168,'Other Capital Needs'!$C$51:$P$95,I$2,0))+IF(ISNA(VLOOKUP('Project Details by Yr - MASTER'!$B168,'Public Grounds'!$A$11:$N$49,I$2,0)),0,VLOOKUP('Project Details by Yr - MASTER'!$B168,'Public Grounds'!$A$11:$N$49,I$2,0))+IF(ISNA(VLOOKUP('Project Details by Yr - MASTER'!$B168,'Public Buildings'!$A$10:$N$96,I$2,0)),0,VLOOKUP('Project Details by Yr - MASTER'!$B168,'Public Buildings'!$A$10:$N$96,I$2,0))+IF(ISNA(VLOOKUP('Project Details by Yr - MASTER'!$B168,Bridges!$A$9:$N$24,I$2,0)),0,VLOOKUP('Project Details by Yr - MASTER'!$B168,Bridges!$A$9:$N$24,I$2,0))+IF(ISNA(VLOOKUP('Project Details by Yr - MASTER'!$B168,'Parking Lots &amp; Playgrounds'!$A$9:$N$33,I$2,0)),0,VLOOKUP('Project Details by Yr - MASTER'!$B168,'Parking Lots &amp; Playgrounds'!$A$9:$N$33,I$2,0))+IF(ISNA(VLOOKUP($B168,Vehicles!$B$9:$O$50,I$2,0)),0,VLOOKUP($B168,Vehicles!$B$9:$O$50,I$2,0))</f>
        <v>0</v>
      </c>
      <c r="J168" s="8">
        <f>IF(ISNA(VLOOKUP($B168,'Other Capital Needs'!$C$51:$P$95,J$2,0)),0,VLOOKUP($B168,'Other Capital Needs'!$C$51:$P$95,J$2,0))+IF(ISNA(VLOOKUP('Project Details by Yr - MASTER'!$B168,'Public Grounds'!$A$11:$N$49,J$2,0)),0,VLOOKUP('Project Details by Yr - MASTER'!$B168,'Public Grounds'!$A$11:$N$49,J$2,0))+IF(ISNA(VLOOKUP('Project Details by Yr - MASTER'!$B168,'Public Buildings'!$A$10:$N$96,J$2,0)),0,VLOOKUP('Project Details by Yr - MASTER'!$B168,'Public Buildings'!$A$10:$N$96,J$2,0))+IF(ISNA(VLOOKUP('Project Details by Yr - MASTER'!$B168,Bridges!$A$9:$N$24,J$2,0)),0,VLOOKUP('Project Details by Yr - MASTER'!$B168,Bridges!$A$9:$N$24,J$2,0))+IF(ISNA(VLOOKUP('Project Details by Yr - MASTER'!$B168,'Parking Lots &amp; Playgrounds'!$A$9:$N$33,J$2,0)),0,VLOOKUP('Project Details by Yr - MASTER'!$B168,'Parking Lots &amp; Playgrounds'!$A$9:$N$33,J$2,0))+IF(ISNA(VLOOKUP($B168,Vehicles!$B$9:$O$50,J$2,0)),0,VLOOKUP($B168,Vehicles!$B$9:$O$50,J$2,0))</f>
        <v>0</v>
      </c>
      <c r="K168" s="8">
        <f>IF(ISNA(VLOOKUP($B168,'Other Capital Needs'!$C$51:$P$95,K$2,0)),0,VLOOKUP($B168,'Other Capital Needs'!$C$51:$P$95,K$2,0))+IF(ISNA(VLOOKUP('Project Details by Yr - MASTER'!$B168,'Public Grounds'!$A$11:$N$49,K$2,0)),0,VLOOKUP('Project Details by Yr - MASTER'!$B168,'Public Grounds'!$A$11:$N$49,K$2,0))+IF(ISNA(VLOOKUP('Project Details by Yr - MASTER'!$B168,'Public Buildings'!$A$10:$N$96,K$2,0)),0,VLOOKUP('Project Details by Yr - MASTER'!$B168,'Public Buildings'!$A$10:$N$96,K$2,0))+IF(ISNA(VLOOKUP('Project Details by Yr - MASTER'!$B168,Bridges!$A$9:$N$24,K$2,0)),0,VLOOKUP('Project Details by Yr - MASTER'!$B168,Bridges!$A$9:$N$24,K$2,0))+IF(ISNA(VLOOKUP('Project Details by Yr - MASTER'!$B168,'Parking Lots &amp; Playgrounds'!$A$9:$N$33,K$2,0)),0,VLOOKUP('Project Details by Yr - MASTER'!$B168,'Parking Lots &amp; Playgrounds'!$A$9:$N$33,K$2,0))+IF(ISNA(VLOOKUP($B168,Vehicles!$B$9:$O$50,K$2,0)),0,VLOOKUP($B168,Vehicles!$B$9:$O$50,K$2,0))</f>
        <v>0</v>
      </c>
    </row>
    <row r="169" spans="2:11" x14ac:dyDescent="0.25">
      <c r="B169" t="s">
        <v>116</v>
      </c>
      <c r="C169" t="s">
        <v>49</v>
      </c>
      <c r="D169" t="s">
        <v>272</v>
      </c>
      <c r="E169" s="1" t="s">
        <v>16</v>
      </c>
      <c r="G169" s="8">
        <f>IF(ISNA(VLOOKUP($B169,'Other Capital Needs'!$C$51:$P$95,G$2,0)),0,VLOOKUP($B169,'Other Capital Needs'!$C$51:$P$95,G$2,0))+IF(ISNA(VLOOKUP('Project Details by Yr - MASTER'!$B169,'Public Grounds'!$A$11:$N$49,G$2,0)),0,VLOOKUP('Project Details by Yr - MASTER'!$B169,'Public Grounds'!$A$11:$N$49,G$2,0))+IF(ISNA(VLOOKUP('Project Details by Yr - MASTER'!$B169,'Public Buildings'!$A$10:$N$96,G$2,0)),0,VLOOKUP('Project Details by Yr - MASTER'!$B169,'Public Buildings'!$A$10:$N$96,G$2,0))+IF(ISNA(VLOOKUP('Project Details by Yr - MASTER'!$B169,Bridges!$A$9:$N$24,G$2,0)),0,VLOOKUP('Project Details by Yr - MASTER'!$B169,Bridges!$A$9:$N$24,G$2,0))+IF(ISNA(VLOOKUP('Project Details by Yr - MASTER'!$B169,'Parking Lots &amp; Playgrounds'!$A$9:$N$33,G$2,0)),0,VLOOKUP('Project Details by Yr - MASTER'!$B169,'Parking Lots &amp; Playgrounds'!$A$9:$N$33,G$2,0))+IF(ISNA(VLOOKUP($B169,Vehicles!$B$9:$O$50,G$2,0)),0,VLOOKUP($B169,Vehicles!$B$9:$O$50,G$2,0))</f>
        <v>0</v>
      </c>
      <c r="H169" s="8">
        <f>IF(ISNA(VLOOKUP($B169,'Other Capital Needs'!$C$51:$P$95,H$2,0)),0,VLOOKUP($B169,'Other Capital Needs'!$C$51:$P$95,H$2,0))+IF(ISNA(VLOOKUP('Project Details by Yr - MASTER'!$B169,'Public Grounds'!$A$11:$N$49,H$2,0)),0,VLOOKUP('Project Details by Yr - MASTER'!$B169,'Public Grounds'!$A$11:$N$49,H$2,0))+IF(ISNA(VLOOKUP('Project Details by Yr - MASTER'!$B169,'Public Buildings'!$A$10:$N$96,H$2,0)),0,VLOOKUP('Project Details by Yr - MASTER'!$B169,'Public Buildings'!$A$10:$N$96,H$2,0))+IF(ISNA(VLOOKUP('Project Details by Yr - MASTER'!$B169,Bridges!$A$9:$N$24,H$2,0)),0,VLOOKUP('Project Details by Yr - MASTER'!$B169,Bridges!$A$9:$N$24,H$2,0))+IF(ISNA(VLOOKUP('Project Details by Yr - MASTER'!$B169,'Parking Lots &amp; Playgrounds'!$A$9:$N$33,H$2,0)),0,VLOOKUP('Project Details by Yr - MASTER'!$B169,'Parking Lots &amp; Playgrounds'!$A$9:$N$33,H$2,0))+IF(ISNA(VLOOKUP($B169,Vehicles!$B$9:$O$50,H$2,0)),0,VLOOKUP($B169,Vehicles!$B$9:$O$50,H$2,0))</f>
        <v>0</v>
      </c>
      <c r="I169" s="8">
        <f>IF(ISNA(VLOOKUP($B169,'Other Capital Needs'!$C$51:$P$95,I$2,0)),0,VLOOKUP($B169,'Other Capital Needs'!$C$51:$P$95,I$2,0))+IF(ISNA(VLOOKUP('Project Details by Yr - MASTER'!$B169,'Public Grounds'!$A$11:$N$49,I$2,0)),0,VLOOKUP('Project Details by Yr - MASTER'!$B169,'Public Grounds'!$A$11:$N$49,I$2,0))+IF(ISNA(VLOOKUP('Project Details by Yr - MASTER'!$B169,'Public Buildings'!$A$10:$N$96,I$2,0)),0,VLOOKUP('Project Details by Yr - MASTER'!$B169,'Public Buildings'!$A$10:$N$96,I$2,0))+IF(ISNA(VLOOKUP('Project Details by Yr - MASTER'!$B169,Bridges!$A$9:$N$24,I$2,0)),0,VLOOKUP('Project Details by Yr - MASTER'!$B169,Bridges!$A$9:$N$24,I$2,0))+IF(ISNA(VLOOKUP('Project Details by Yr - MASTER'!$B169,'Parking Lots &amp; Playgrounds'!$A$9:$N$33,I$2,0)),0,VLOOKUP('Project Details by Yr - MASTER'!$B169,'Parking Lots &amp; Playgrounds'!$A$9:$N$33,I$2,0))+IF(ISNA(VLOOKUP($B169,Vehicles!$B$9:$O$50,I$2,0)),0,VLOOKUP($B169,Vehicles!$B$9:$O$50,I$2,0))</f>
        <v>0</v>
      </c>
      <c r="J169" s="8">
        <f>IF(ISNA(VLOOKUP($B169,'Other Capital Needs'!$C$51:$P$95,J$2,0)),0,VLOOKUP($B169,'Other Capital Needs'!$C$51:$P$95,J$2,0))+IF(ISNA(VLOOKUP('Project Details by Yr - MASTER'!$B169,'Public Grounds'!$A$11:$N$49,J$2,0)),0,VLOOKUP('Project Details by Yr - MASTER'!$B169,'Public Grounds'!$A$11:$N$49,J$2,0))+IF(ISNA(VLOOKUP('Project Details by Yr - MASTER'!$B169,'Public Buildings'!$A$10:$N$96,J$2,0)),0,VLOOKUP('Project Details by Yr - MASTER'!$B169,'Public Buildings'!$A$10:$N$96,J$2,0))+IF(ISNA(VLOOKUP('Project Details by Yr - MASTER'!$B169,Bridges!$A$9:$N$24,J$2,0)),0,VLOOKUP('Project Details by Yr - MASTER'!$B169,Bridges!$A$9:$N$24,J$2,0))+IF(ISNA(VLOOKUP('Project Details by Yr - MASTER'!$B169,'Parking Lots &amp; Playgrounds'!$A$9:$N$33,J$2,0)),0,VLOOKUP('Project Details by Yr - MASTER'!$B169,'Parking Lots &amp; Playgrounds'!$A$9:$N$33,J$2,0))+IF(ISNA(VLOOKUP($B169,Vehicles!$B$9:$O$50,J$2,0)),0,VLOOKUP($B169,Vehicles!$B$9:$O$50,J$2,0))</f>
        <v>0</v>
      </c>
      <c r="K169" s="8">
        <f>IF(ISNA(VLOOKUP($B169,'Other Capital Needs'!$C$51:$P$95,K$2,0)),0,VLOOKUP($B169,'Other Capital Needs'!$C$51:$P$95,K$2,0))+IF(ISNA(VLOOKUP('Project Details by Yr - MASTER'!$B169,'Public Grounds'!$A$11:$N$49,K$2,0)),0,VLOOKUP('Project Details by Yr - MASTER'!$B169,'Public Grounds'!$A$11:$N$49,K$2,0))+IF(ISNA(VLOOKUP('Project Details by Yr - MASTER'!$B169,'Public Buildings'!$A$10:$N$96,K$2,0)),0,VLOOKUP('Project Details by Yr - MASTER'!$B169,'Public Buildings'!$A$10:$N$96,K$2,0))+IF(ISNA(VLOOKUP('Project Details by Yr - MASTER'!$B169,Bridges!$A$9:$N$24,K$2,0)),0,VLOOKUP('Project Details by Yr - MASTER'!$B169,Bridges!$A$9:$N$24,K$2,0))+IF(ISNA(VLOOKUP('Project Details by Yr - MASTER'!$B169,'Parking Lots &amp; Playgrounds'!$A$9:$N$33,K$2,0)),0,VLOOKUP('Project Details by Yr - MASTER'!$B169,'Parking Lots &amp; Playgrounds'!$A$9:$N$33,K$2,0))+IF(ISNA(VLOOKUP($B169,Vehicles!$B$9:$O$50,K$2,0)),0,VLOOKUP($B169,Vehicles!$B$9:$O$50,K$2,0))</f>
        <v>0</v>
      </c>
    </row>
    <row r="170" spans="2:11" x14ac:dyDescent="0.25">
      <c r="B170" t="s">
        <v>117</v>
      </c>
      <c r="C170" t="s">
        <v>49</v>
      </c>
      <c r="D170" t="s">
        <v>272</v>
      </c>
      <c r="E170" s="1" t="s">
        <v>16</v>
      </c>
      <c r="G170" s="8">
        <f>IF(ISNA(VLOOKUP($B170,'Other Capital Needs'!$C$51:$P$95,G$2,0)),0,VLOOKUP($B170,'Other Capital Needs'!$C$51:$P$95,G$2,0))+IF(ISNA(VLOOKUP('Project Details by Yr - MASTER'!$B170,'Public Grounds'!$A$11:$N$49,G$2,0)),0,VLOOKUP('Project Details by Yr - MASTER'!$B170,'Public Grounds'!$A$11:$N$49,G$2,0))+IF(ISNA(VLOOKUP('Project Details by Yr - MASTER'!$B170,'Public Buildings'!$A$10:$N$96,G$2,0)),0,VLOOKUP('Project Details by Yr - MASTER'!$B170,'Public Buildings'!$A$10:$N$96,G$2,0))+IF(ISNA(VLOOKUP('Project Details by Yr - MASTER'!$B170,Bridges!$A$9:$N$24,G$2,0)),0,VLOOKUP('Project Details by Yr - MASTER'!$B170,Bridges!$A$9:$N$24,G$2,0))+IF(ISNA(VLOOKUP('Project Details by Yr - MASTER'!$B170,'Parking Lots &amp; Playgrounds'!$A$9:$N$33,G$2,0)),0,VLOOKUP('Project Details by Yr - MASTER'!$B170,'Parking Lots &amp; Playgrounds'!$A$9:$N$33,G$2,0))+IF(ISNA(VLOOKUP($B170,Vehicles!$B$9:$O$50,G$2,0)),0,VLOOKUP($B170,Vehicles!$B$9:$O$50,G$2,0))</f>
        <v>0</v>
      </c>
      <c r="H170" s="8">
        <f>IF(ISNA(VLOOKUP($B170,'Other Capital Needs'!$C$51:$P$95,H$2,0)),0,VLOOKUP($B170,'Other Capital Needs'!$C$51:$P$95,H$2,0))+IF(ISNA(VLOOKUP('Project Details by Yr - MASTER'!$B170,'Public Grounds'!$A$11:$N$49,H$2,0)),0,VLOOKUP('Project Details by Yr - MASTER'!$B170,'Public Grounds'!$A$11:$N$49,H$2,0))+IF(ISNA(VLOOKUP('Project Details by Yr - MASTER'!$B170,'Public Buildings'!$A$10:$N$96,H$2,0)),0,VLOOKUP('Project Details by Yr - MASTER'!$B170,'Public Buildings'!$A$10:$N$96,H$2,0))+IF(ISNA(VLOOKUP('Project Details by Yr - MASTER'!$B170,Bridges!$A$9:$N$24,H$2,0)),0,VLOOKUP('Project Details by Yr - MASTER'!$B170,Bridges!$A$9:$N$24,H$2,0))+IF(ISNA(VLOOKUP('Project Details by Yr - MASTER'!$B170,'Parking Lots &amp; Playgrounds'!$A$9:$N$33,H$2,0)),0,VLOOKUP('Project Details by Yr - MASTER'!$B170,'Parking Lots &amp; Playgrounds'!$A$9:$N$33,H$2,0))+IF(ISNA(VLOOKUP($B170,Vehicles!$B$9:$O$50,H$2,0)),0,VLOOKUP($B170,Vehicles!$B$9:$O$50,H$2,0))</f>
        <v>0</v>
      </c>
      <c r="I170" s="8">
        <f>IF(ISNA(VLOOKUP($B170,'Other Capital Needs'!$C$51:$P$95,I$2,0)),0,VLOOKUP($B170,'Other Capital Needs'!$C$51:$P$95,I$2,0))+IF(ISNA(VLOOKUP('Project Details by Yr - MASTER'!$B170,'Public Grounds'!$A$11:$N$49,I$2,0)),0,VLOOKUP('Project Details by Yr - MASTER'!$B170,'Public Grounds'!$A$11:$N$49,I$2,0))+IF(ISNA(VLOOKUP('Project Details by Yr - MASTER'!$B170,'Public Buildings'!$A$10:$N$96,I$2,0)),0,VLOOKUP('Project Details by Yr - MASTER'!$B170,'Public Buildings'!$A$10:$N$96,I$2,0))+IF(ISNA(VLOOKUP('Project Details by Yr - MASTER'!$B170,Bridges!$A$9:$N$24,I$2,0)),0,VLOOKUP('Project Details by Yr - MASTER'!$B170,Bridges!$A$9:$N$24,I$2,0))+IF(ISNA(VLOOKUP('Project Details by Yr - MASTER'!$B170,'Parking Lots &amp; Playgrounds'!$A$9:$N$33,I$2,0)),0,VLOOKUP('Project Details by Yr - MASTER'!$B170,'Parking Lots &amp; Playgrounds'!$A$9:$N$33,I$2,0))+IF(ISNA(VLOOKUP($B170,Vehicles!$B$9:$O$50,I$2,0)),0,VLOOKUP($B170,Vehicles!$B$9:$O$50,I$2,0))</f>
        <v>0</v>
      </c>
      <c r="J170" s="8">
        <f>IF(ISNA(VLOOKUP($B170,'Other Capital Needs'!$C$51:$P$95,J$2,0)),0,VLOOKUP($B170,'Other Capital Needs'!$C$51:$P$95,J$2,0))+IF(ISNA(VLOOKUP('Project Details by Yr - MASTER'!$B170,'Public Grounds'!$A$11:$N$49,J$2,0)),0,VLOOKUP('Project Details by Yr - MASTER'!$B170,'Public Grounds'!$A$11:$N$49,J$2,0))+IF(ISNA(VLOOKUP('Project Details by Yr - MASTER'!$B170,'Public Buildings'!$A$10:$N$96,J$2,0)),0,VLOOKUP('Project Details by Yr - MASTER'!$B170,'Public Buildings'!$A$10:$N$96,J$2,0))+IF(ISNA(VLOOKUP('Project Details by Yr - MASTER'!$B170,Bridges!$A$9:$N$24,J$2,0)),0,VLOOKUP('Project Details by Yr - MASTER'!$B170,Bridges!$A$9:$N$24,J$2,0))+IF(ISNA(VLOOKUP('Project Details by Yr - MASTER'!$B170,'Parking Lots &amp; Playgrounds'!$A$9:$N$33,J$2,0)),0,VLOOKUP('Project Details by Yr - MASTER'!$B170,'Parking Lots &amp; Playgrounds'!$A$9:$N$33,J$2,0))+IF(ISNA(VLOOKUP($B170,Vehicles!$B$9:$O$50,J$2,0)),0,VLOOKUP($B170,Vehicles!$B$9:$O$50,J$2,0))</f>
        <v>75000</v>
      </c>
      <c r="K170" s="8">
        <f>IF(ISNA(VLOOKUP($B170,'Other Capital Needs'!$C$51:$P$95,K$2,0)),0,VLOOKUP($B170,'Other Capital Needs'!$C$51:$P$95,K$2,0))+IF(ISNA(VLOOKUP('Project Details by Yr - MASTER'!$B170,'Public Grounds'!$A$11:$N$49,K$2,0)),0,VLOOKUP('Project Details by Yr - MASTER'!$B170,'Public Grounds'!$A$11:$N$49,K$2,0))+IF(ISNA(VLOOKUP('Project Details by Yr - MASTER'!$B170,'Public Buildings'!$A$10:$N$96,K$2,0)),0,VLOOKUP('Project Details by Yr - MASTER'!$B170,'Public Buildings'!$A$10:$N$96,K$2,0))+IF(ISNA(VLOOKUP('Project Details by Yr - MASTER'!$B170,Bridges!$A$9:$N$24,K$2,0)),0,VLOOKUP('Project Details by Yr - MASTER'!$B170,Bridges!$A$9:$N$24,K$2,0))+IF(ISNA(VLOOKUP('Project Details by Yr - MASTER'!$B170,'Parking Lots &amp; Playgrounds'!$A$9:$N$33,K$2,0)),0,VLOOKUP('Project Details by Yr - MASTER'!$B170,'Parking Lots &amp; Playgrounds'!$A$9:$N$33,K$2,0))+IF(ISNA(VLOOKUP($B170,Vehicles!$B$9:$O$50,K$2,0)),0,VLOOKUP($B170,Vehicles!$B$9:$O$50,K$2,0))</f>
        <v>75000</v>
      </c>
    </row>
    <row r="171" spans="2:11" x14ac:dyDescent="0.25">
      <c r="B171" t="s">
        <v>129</v>
      </c>
      <c r="C171" t="s">
        <v>49</v>
      </c>
      <c r="D171" t="s">
        <v>272</v>
      </c>
      <c r="E171" s="1" t="s">
        <v>16</v>
      </c>
      <c r="G171" s="8">
        <f>IF(ISNA(VLOOKUP($B171,'Other Capital Needs'!$C$51:$P$95,G$2,0)),0,VLOOKUP($B171,'Other Capital Needs'!$C$51:$P$95,G$2,0))+IF(ISNA(VLOOKUP('Project Details by Yr - MASTER'!$B171,'Public Grounds'!$A$11:$N$49,G$2,0)),0,VLOOKUP('Project Details by Yr - MASTER'!$B171,'Public Grounds'!$A$11:$N$49,G$2,0))+IF(ISNA(VLOOKUP('Project Details by Yr - MASTER'!$B171,'Public Buildings'!$A$10:$N$96,G$2,0)),0,VLOOKUP('Project Details by Yr - MASTER'!$B171,'Public Buildings'!$A$10:$N$96,G$2,0))+IF(ISNA(VLOOKUP('Project Details by Yr - MASTER'!$B171,Bridges!$A$9:$N$24,G$2,0)),0,VLOOKUP('Project Details by Yr - MASTER'!$B171,Bridges!$A$9:$N$24,G$2,0))+IF(ISNA(VLOOKUP('Project Details by Yr - MASTER'!$B171,'Parking Lots &amp; Playgrounds'!$A$9:$N$33,G$2,0)),0,VLOOKUP('Project Details by Yr - MASTER'!$B171,'Parking Lots &amp; Playgrounds'!$A$9:$N$33,G$2,0))+IF(ISNA(VLOOKUP($B171,Vehicles!$B$9:$O$50,G$2,0)),0,VLOOKUP($B171,Vehicles!$B$9:$O$50,G$2,0))</f>
        <v>0</v>
      </c>
      <c r="H171" s="8">
        <f>IF(ISNA(VLOOKUP($B171,'Other Capital Needs'!$C$51:$P$95,H$2,0)),0,VLOOKUP($B171,'Other Capital Needs'!$C$51:$P$95,H$2,0))+IF(ISNA(VLOOKUP('Project Details by Yr - MASTER'!$B171,'Public Grounds'!$A$11:$N$49,H$2,0)),0,VLOOKUP('Project Details by Yr - MASTER'!$B171,'Public Grounds'!$A$11:$N$49,H$2,0))+IF(ISNA(VLOOKUP('Project Details by Yr - MASTER'!$B171,'Public Buildings'!$A$10:$N$96,H$2,0)),0,VLOOKUP('Project Details by Yr - MASTER'!$B171,'Public Buildings'!$A$10:$N$96,H$2,0))+IF(ISNA(VLOOKUP('Project Details by Yr - MASTER'!$B171,Bridges!$A$9:$N$24,H$2,0)),0,VLOOKUP('Project Details by Yr - MASTER'!$B171,Bridges!$A$9:$N$24,H$2,0))+IF(ISNA(VLOOKUP('Project Details by Yr - MASTER'!$B171,'Parking Lots &amp; Playgrounds'!$A$9:$N$33,H$2,0)),0,VLOOKUP('Project Details by Yr - MASTER'!$B171,'Parking Lots &amp; Playgrounds'!$A$9:$N$33,H$2,0))+IF(ISNA(VLOOKUP($B171,Vehicles!$B$9:$O$50,H$2,0)),0,VLOOKUP($B171,Vehicles!$B$9:$O$50,H$2,0))</f>
        <v>0</v>
      </c>
      <c r="I171" s="8">
        <f>IF(ISNA(VLOOKUP($B171,'Other Capital Needs'!$C$51:$P$95,I$2,0)),0,VLOOKUP($B171,'Other Capital Needs'!$C$51:$P$95,I$2,0))+IF(ISNA(VLOOKUP('Project Details by Yr - MASTER'!$B171,'Public Grounds'!$A$11:$N$49,I$2,0)),0,VLOOKUP('Project Details by Yr - MASTER'!$B171,'Public Grounds'!$A$11:$N$49,I$2,0))+IF(ISNA(VLOOKUP('Project Details by Yr - MASTER'!$B171,'Public Buildings'!$A$10:$N$96,I$2,0)),0,VLOOKUP('Project Details by Yr - MASTER'!$B171,'Public Buildings'!$A$10:$N$96,I$2,0))+IF(ISNA(VLOOKUP('Project Details by Yr - MASTER'!$B171,Bridges!$A$9:$N$24,I$2,0)),0,VLOOKUP('Project Details by Yr - MASTER'!$B171,Bridges!$A$9:$N$24,I$2,0))+IF(ISNA(VLOOKUP('Project Details by Yr - MASTER'!$B171,'Parking Lots &amp; Playgrounds'!$A$9:$N$33,I$2,0)),0,VLOOKUP('Project Details by Yr - MASTER'!$B171,'Parking Lots &amp; Playgrounds'!$A$9:$N$33,I$2,0))+IF(ISNA(VLOOKUP($B171,Vehicles!$B$9:$O$50,I$2,0)),0,VLOOKUP($B171,Vehicles!$B$9:$O$50,I$2,0))</f>
        <v>80000</v>
      </c>
      <c r="J171" s="8">
        <f>IF(ISNA(VLOOKUP($B171,'Other Capital Needs'!$C$51:$P$95,J$2,0)),0,VLOOKUP($B171,'Other Capital Needs'!$C$51:$P$95,J$2,0))+IF(ISNA(VLOOKUP('Project Details by Yr - MASTER'!$B171,'Public Grounds'!$A$11:$N$49,J$2,0)),0,VLOOKUP('Project Details by Yr - MASTER'!$B171,'Public Grounds'!$A$11:$N$49,J$2,0))+IF(ISNA(VLOOKUP('Project Details by Yr - MASTER'!$B171,'Public Buildings'!$A$10:$N$96,J$2,0)),0,VLOOKUP('Project Details by Yr - MASTER'!$B171,'Public Buildings'!$A$10:$N$96,J$2,0))+IF(ISNA(VLOOKUP('Project Details by Yr - MASTER'!$B171,Bridges!$A$9:$N$24,J$2,0)),0,VLOOKUP('Project Details by Yr - MASTER'!$B171,Bridges!$A$9:$N$24,J$2,0))+IF(ISNA(VLOOKUP('Project Details by Yr - MASTER'!$B171,'Parking Lots &amp; Playgrounds'!$A$9:$N$33,J$2,0)),0,VLOOKUP('Project Details by Yr - MASTER'!$B171,'Parking Lots &amp; Playgrounds'!$A$9:$N$33,J$2,0))+IF(ISNA(VLOOKUP($B171,Vehicles!$B$9:$O$50,J$2,0)),0,VLOOKUP($B171,Vehicles!$B$9:$O$50,J$2,0))</f>
        <v>0</v>
      </c>
      <c r="K171" s="8">
        <f>IF(ISNA(VLOOKUP($B171,'Other Capital Needs'!$C$51:$P$95,K$2,0)),0,VLOOKUP($B171,'Other Capital Needs'!$C$51:$P$95,K$2,0))+IF(ISNA(VLOOKUP('Project Details by Yr - MASTER'!$B171,'Public Grounds'!$A$11:$N$49,K$2,0)),0,VLOOKUP('Project Details by Yr - MASTER'!$B171,'Public Grounds'!$A$11:$N$49,K$2,0))+IF(ISNA(VLOOKUP('Project Details by Yr - MASTER'!$B171,'Public Buildings'!$A$10:$N$96,K$2,0)),0,VLOOKUP('Project Details by Yr - MASTER'!$B171,'Public Buildings'!$A$10:$N$96,K$2,0))+IF(ISNA(VLOOKUP('Project Details by Yr - MASTER'!$B171,Bridges!$A$9:$N$24,K$2,0)),0,VLOOKUP('Project Details by Yr - MASTER'!$B171,Bridges!$A$9:$N$24,K$2,0))+IF(ISNA(VLOOKUP('Project Details by Yr - MASTER'!$B171,'Parking Lots &amp; Playgrounds'!$A$9:$N$33,K$2,0)),0,VLOOKUP('Project Details by Yr - MASTER'!$B171,'Parking Lots &amp; Playgrounds'!$A$9:$N$33,K$2,0))+IF(ISNA(VLOOKUP($B171,Vehicles!$B$9:$O$50,K$2,0)),0,VLOOKUP($B171,Vehicles!$B$9:$O$50,K$2,0))</f>
        <v>0</v>
      </c>
    </row>
    <row r="172" spans="2:11" x14ac:dyDescent="0.25">
      <c r="B172" t="s">
        <v>130</v>
      </c>
      <c r="C172" t="s">
        <v>49</v>
      </c>
      <c r="D172" t="s">
        <v>272</v>
      </c>
      <c r="E172" s="1" t="s">
        <v>16</v>
      </c>
      <c r="G172" s="8">
        <f>IF(ISNA(VLOOKUP($B172,'Other Capital Needs'!$C$51:$P$95,G$2,0)),0,VLOOKUP($B172,'Other Capital Needs'!$C$51:$P$95,G$2,0))+IF(ISNA(VLOOKUP('Project Details by Yr - MASTER'!$B172,'Public Grounds'!$A$11:$N$49,G$2,0)),0,VLOOKUP('Project Details by Yr - MASTER'!$B172,'Public Grounds'!$A$11:$N$49,G$2,0))+IF(ISNA(VLOOKUP('Project Details by Yr - MASTER'!$B172,'Public Buildings'!$A$10:$N$96,G$2,0)),0,VLOOKUP('Project Details by Yr - MASTER'!$B172,'Public Buildings'!$A$10:$N$96,G$2,0))+IF(ISNA(VLOOKUP('Project Details by Yr - MASTER'!$B172,Bridges!$A$9:$N$24,G$2,0)),0,VLOOKUP('Project Details by Yr - MASTER'!$B172,Bridges!$A$9:$N$24,G$2,0))+IF(ISNA(VLOOKUP('Project Details by Yr - MASTER'!$B172,'Parking Lots &amp; Playgrounds'!$A$9:$N$33,G$2,0)),0,VLOOKUP('Project Details by Yr - MASTER'!$B172,'Parking Lots &amp; Playgrounds'!$A$9:$N$33,G$2,0))+IF(ISNA(VLOOKUP($B172,Vehicles!$B$9:$O$50,G$2,0)),0,VLOOKUP($B172,Vehicles!$B$9:$O$50,G$2,0))</f>
        <v>0</v>
      </c>
      <c r="H172" s="8">
        <f>IF(ISNA(VLOOKUP($B172,'Other Capital Needs'!$C$51:$P$95,H$2,0)),0,VLOOKUP($B172,'Other Capital Needs'!$C$51:$P$95,H$2,0))+IF(ISNA(VLOOKUP('Project Details by Yr - MASTER'!$B172,'Public Grounds'!$A$11:$N$49,H$2,0)),0,VLOOKUP('Project Details by Yr - MASTER'!$B172,'Public Grounds'!$A$11:$N$49,H$2,0))+IF(ISNA(VLOOKUP('Project Details by Yr - MASTER'!$B172,'Public Buildings'!$A$10:$N$96,H$2,0)),0,VLOOKUP('Project Details by Yr - MASTER'!$B172,'Public Buildings'!$A$10:$N$96,H$2,0))+IF(ISNA(VLOOKUP('Project Details by Yr - MASTER'!$B172,Bridges!$A$9:$N$24,H$2,0)),0,VLOOKUP('Project Details by Yr - MASTER'!$B172,Bridges!$A$9:$N$24,H$2,0))+IF(ISNA(VLOOKUP('Project Details by Yr - MASTER'!$B172,'Parking Lots &amp; Playgrounds'!$A$9:$N$33,H$2,0)),0,VLOOKUP('Project Details by Yr - MASTER'!$B172,'Parking Lots &amp; Playgrounds'!$A$9:$N$33,H$2,0))+IF(ISNA(VLOOKUP($B172,Vehicles!$B$9:$O$50,H$2,0)),0,VLOOKUP($B172,Vehicles!$B$9:$O$50,H$2,0))</f>
        <v>0</v>
      </c>
      <c r="I172" s="8">
        <f>IF(ISNA(VLOOKUP($B172,'Other Capital Needs'!$C$51:$P$95,I$2,0)),0,VLOOKUP($B172,'Other Capital Needs'!$C$51:$P$95,I$2,0))+IF(ISNA(VLOOKUP('Project Details by Yr - MASTER'!$B172,'Public Grounds'!$A$11:$N$49,I$2,0)),0,VLOOKUP('Project Details by Yr - MASTER'!$B172,'Public Grounds'!$A$11:$N$49,I$2,0))+IF(ISNA(VLOOKUP('Project Details by Yr - MASTER'!$B172,'Public Buildings'!$A$10:$N$96,I$2,0)),0,VLOOKUP('Project Details by Yr - MASTER'!$B172,'Public Buildings'!$A$10:$N$96,I$2,0))+IF(ISNA(VLOOKUP('Project Details by Yr - MASTER'!$B172,Bridges!$A$9:$N$24,I$2,0)),0,VLOOKUP('Project Details by Yr - MASTER'!$B172,Bridges!$A$9:$N$24,I$2,0))+IF(ISNA(VLOOKUP('Project Details by Yr - MASTER'!$B172,'Parking Lots &amp; Playgrounds'!$A$9:$N$33,I$2,0)),0,VLOOKUP('Project Details by Yr - MASTER'!$B172,'Parking Lots &amp; Playgrounds'!$A$9:$N$33,I$2,0))+IF(ISNA(VLOOKUP($B172,Vehicles!$B$9:$O$50,I$2,0)),0,VLOOKUP($B172,Vehicles!$B$9:$O$50,I$2,0))</f>
        <v>0</v>
      </c>
      <c r="J172" s="8">
        <f>IF(ISNA(VLOOKUP($B172,'Other Capital Needs'!$C$51:$P$95,J$2,0)),0,VLOOKUP($B172,'Other Capital Needs'!$C$51:$P$95,J$2,0))+IF(ISNA(VLOOKUP('Project Details by Yr - MASTER'!$B172,'Public Grounds'!$A$11:$N$49,J$2,0)),0,VLOOKUP('Project Details by Yr - MASTER'!$B172,'Public Grounds'!$A$11:$N$49,J$2,0))+IF(ISNA(VLOOKUP('Project Details by Yr - MASTER'!$B172,'Public Buildings'!$A$10:$N$96,J$2,0)),0,VLOOKUP('Project Details by Yr - MASTER'!$B172,'Public Buildings'!$A$10:$N$96,J$2,0))+IF(ISNA(VLOOKUP('Project Details by Yr - MASTER'!$B172,Bridges!$A$9:$N$24,J$2,0)),0,VLOOKUP('Project Details by Yr - MASTER'!$B172,Bridges!$A$9:$N$24,J$2,0))+IF(ISNA(VLOOKUP('Project Details by Yr - MASTER'!$B172,'Parking Lots &amp; Playgrounds'!$A$9:$N$33,J$2,0)),0,VLOOKUP('Project Details by Yr - MASTER'!$B172,'Parking Lots &amp; Playgrounds'!$A$9:$N$33,J$2,0))+IF(ISNA(VLOOKUP($B172,Vehicles!$B$9:$O$50,J$2,0)),0,VLOOKUP($B172,Vehicles!$B$9:$O$50,J$2,0))</f>
        <v>0</v>
      </c>
      <c r="K172" s="8">
        <f>IF(ISNA(VLOOKUP($B172,'Other Capital Needs'!$C$51:$P$95,K$2,0)),0,VLOOKUP($B172,'Other Capital Needs'!$C$51:$P$95,K$2,0))+IF(ISNA(VLOOKUP('Project Details by Yr - MASTER'!$B172,'Public Grounds'!$A$11:$N$49,K$2,0)),0,VLOOKUP('Project Details by Yr - MASTER'!$B172,'Public Grounds'!$A$11:$N$49,K$2,0))+IF(ISNA(VLOOKUP('Project Details by Yr - MASTER'!$B172,'Public Buildings'!$A$10:$N$96,K$2,0)),0,VLOOKUP('Project Details by Yr - MASTER'!$B172,'Public Buildings'!$A$10:$N$96,K$2,0))+IF(ISNA(VLOOKUP('Project Details by Yr - MASTER'!$B172,Bridges!$A$9:$N$24,K$2,0)),0,VLOOKUP('Project Details by Yr - MASTER'!$B172,Bridges!$A$9:$N$24,K$2,0))+IF(ISNA(VLOOKUP('Project Details by Yr - MASTER'!$B172,'Parking Lots &amp; Playgrounds'!$A$9:$N$33,K$2,0)),0,VLOOKUP('Project Details by Yr - MASTER'!$B172,'Parking Lots &amp; Playgrounds'!$A$9:$N$33,K$2,0))+IF(ISNA(VLOOKUP($B172,Vehicles!$B$9:$O$50,K$2,0)),0,VLOOKUP($B172,Vehicles!$B$9:$O$50,K$2,0))</f>
        <v>0</v>
      </c>
    </row>
    <row r="173" spans="2:11" x14ac:dyDescent="0.25">
      <c r="B173" t="s">
        <v>131</v>
      </c>
      <c r="C173" t="s">
        <v>49</v>
      </c>
      <c r="D173" t="s">
        <v>272</v>
      </c>
      <c r="E173" s="1" t="s">
        <v>16</v>
      </c>
      <c r="G173" s="8">
        <f>IF(ISNA(VLOOKUP($B173,'Other Capital Needs'!$C$51:$P$95,G$2,0)),0,VLOOKUP($B173,'Other Capital Needs'!$C$51:$P$95,G$2,0))+IF(ISNA(VLOOKUP('Project Details by Yr - MASTER'!$B173,'Public Grounds'!$A$11:$N$49,G$2,0)),0,VLOOKUP('Project Details by Yr - MASTER'!$B173,'Public Grounds'!$A$11:$N$49,G$2,0))+IF(ISNA(VLOOKUP('Project Details by Yr - MASTER'!$B173,'Public Buildings'!$A$10:$N$96,G$2,0)),0,VLOOKUP('Project Details by Yr - MASTER'!$B173,'Public Buildings'!$A$10:$N$96,G$2,0))+IF(ISNA(VLOOKUP('Project Details by Yr - MASTER'!$B173,Bridges!$A$9:$N$24,G$2,0)),0,VLOOKUP('Project Details by Yr - MASTER'!$B173,Bridges!$A$9:$N$24,G$2,0))+IF(ISNA(VLOOKUP('Project Details by Yr - MASTER'!$B173,'Parking Lots &amp; Playgrounds'!$A$9:$N$33,G$2,0)),0,VLOOKUP('Project Details by Yr - MASTER'!$B173,'Parking Lots &amp; Playgrounds'!$A$9:$N$33,G$2,0))+IF(ISNA(VLOOKUP($B173,Vehicles!$B$9:$O$50,G$2,0)),0,VLOOKUP($B173,Vehicles!$B$9:$O$50,G$2,0))</f>
        <v>0</v>
      </c>
      <c r="H173" s="8">
        <f>IF(ISNA(VLOOKUP($B173,'Other Capital Needs'!$C$51:$P$95,H$2,0)),0,VLOOKUP($B173,'Other Capital Needs'!$C$51:$P$95,H$2,0))+IF(ISNA(VLOOKUP('Project Details by Yr - MASTER'!$B173,'Public Grounds'!$A$11:$N$49,H$2,0)),0,VLOOKUP('Project Details by Yr - MASTER'!$B173,'Public Grounds'!$A$11:$N$49,H$2,0))+IF(ISNA(VLOOKUP('Project Details by Yr - MASTER'!$B173,'Public Buildings'!$A$10:$N$96,H$2,0)),0,VLOOKUP('Project Details by Yr - MASTER'!$B173,'Public Buildings'!$A$10:$N$96,H$2,0))+IF(ISNA(VLOOKUP('Project Details by Yr - MASTER'!$B173,Bridges!$A$9:$N$24,H$2,0)),0,VLOOKUP('Project Details by Yr - MASTER'!$B173,Bridges!$A$9:$N$24,H$2,0))+IF(ISNA(VLOOKUP('Project Details by Yr - MASTER'!$B173,'Parking Lots &amp; Playgrounds'!$A$9:$N$33,H$2,0)),0,VLOOKUP('Project Details by Yr - MASTER'!$B173,'Parking Lots &amp; Playgrounds'!$A$9:$N$33,H$2,0))+IF(ISNA(VLOOKUP($B173,Vehicles!$B$9:$O$50,H$2,0)),0,VLOOKUP($B173,Vehicles!$B$9:$O$50,H$2,0))</f>
        <v>40000</v>
      </c>
      <c r="I173" s="8">
        <f>IF(ISNA(VLOOKUP($B173,'Other Capital Needs'!$C$51:$P$95,I$2,0)),0,VLOOKUP($B173,'Other Capital Needs'!$C$51:$P$95,I$2,0))+IF(ISNA(VLOOKUP('Project Details by Yr - MASTER'!$B173,'Public Grounds'!$A$11:$N$49,I$2,0)),0,VLOOKUP('Project Details by Yr - MASTER'!$B173,'Public Grounds'!$A$11:$N$49,I$2,0))+IF(ISNA(VLOOKUP('Project Details by Yr - MASTER'!$B173,'Public Buildings'!$A$10:$N$96,I$2,0)),0,VLOOKUP('Project Details by Yr - MASTER'!$B173,'Public Buildings'!$A$10:$N$96,I$2,0))+IF(ISNA(VLOOKUP('Project Details by Yr - MASTER'!$B173,Bridges!$A$9:$N$24,I$2,0)),0,VLOOKUP('Project Details by Yr - MASTER'!$B173,Bridges!$A$9:$N$24,I$2,0))+IF(ISNA(VLOOKUP('Project Details by Yr - MASTER'!$B173,'Parking Lots &amp; Playgrounds'!$A$9:$N$33,I$2,0)),0,VLOOKUP('Project Details by Yr - MASTER'!$B173,'Parking Lots &amp; Playgrounds'!$A$9:$N$33,I$2,0))+IF(ISNA(VLOOKUP($B173,Vehicles!$B$9:$O$50,I$2,0)),0,VLOOKUP($B173,Vehicles!$B$9:$O$50,I$2,0))</f>
        <v>0</v>
      </c>
      <c r="J173" s="8">
        <f>IF(ISNA(VLOOKUP($B173,'Other Capital Needs'!$C$51:$P$95,J$2,0)),0,VLOOKUP($B173,'Other Capital Needs'!$C$51:$P$95,J$2,0))+IF(ISNA(VLOOKUP('Project Details by Yr - MASTER'!$B173,'Public Grounds'!$A$11:$N$49,J$2,0)),0,VLOOKUP('Project Details by Yr - MASTER'!$B173,'Public Grounds'!$A$11:$N$49,J$2,0))+IF(ISNA(VLOOKUP('Project Details by Yr - MASTER'!$B173,'Public Buildings'!$A$10:$N$96,J$2,0)),0,VLOOKUP('Project Details by Yr - MASTER'!$B173,'Public Buildings'!$A$10:$N$96,J$2,0))+IF(ISNA(VLOOKUP('Project Details by Yr - MASTER'!$B173,Bridges!$A$9:$N$24,J$2,0)),0,VLOOKUP('Project Details by Yr - MASTER'!$B173,Bridges!$A$9:$N$24,J$2,0))+IF(ISNA(VLOOKUP('Project Details by Yr - MASTER'!$B173,'Parking Lots &amp; Playgrounds'!$A$9:$N$33,J$2,0)),0,VLOOKUP('Project Details by Yr - MASTER'!$B173,'Parking Lots &amp; Playgrounds'!$A$9:$N$33,J$2,0))+IF(ISNA(VLOOKUP($B173,Vehicles!$B$9:$O$50,J$2,0)),0,VLOOKUP($B173,Vehicles!$B$9:$O$50,J$2,0))</f>
        <v>0</v>
      </c>
      <c r="K173" s="8">
        <f>IF(ISNA(VLOOKUP($B173,'Other Capital Needs'!$C$51:$P$95,K$2,0)),0,VLOOKUP($B173,'Other Capital Needs'!$C$51:$P$95,K$2,0))+IF(ISNA(VLOOKUP('Project Details by Yr - MASTER'!$B173,'Public Grounds'!$A$11:$N$49,K$2,0)),0,VLOOKUP('Project Details by Yr - MASTER'!$B173,'Public Grounds'!$A$11:$N$49,K$2,0))+IF(ISNA(VLOOKUP('Project Details by Yr - MASTER'!$B173,'Public Buildings'!$A$10:$N$96,K$2,0)),0,VLOOKUP('Project Details by Yr - MASTER'!$B173,'Public Buildings'!$A$10:$N$96,K$2,0))+IF(ISNA(VLOOKUP('Project Details by Yr - MASTER'!$B173,Bridges!$A$9:$N$24,K$2,0)),0,VLOOKUP('Project Details by Yr - MASTER'!$B173,Bridges!$A$9:$N$24,K$2,0))+IF(ISNA(VLOOKUP('Project Details by Yr - MASTER'!$B173,'Parking Lots &amp; Playgrounds'!$A$9:$N$33,K$2,0)),0,VLOOKUP('Project Details by Yr - MASTER'!$B173,'Parking Lots &amp; Playgrounds'!$A$9:$N$33,K$2,0))+IF(ISNA(VLOOKUP($B173,Vehicles!$B$9:$O$50,K$2,0)),0,VLOOKUP($B173,Vehicles!$B$9:$O$50,K$2,0))</f>
        <v>0</v>
      </c>
    </row>
    <row r="174" spans="2:11" x14ac:dyDescent="0.25">
      <c r="B174" t="s">
        <v>132</v>
      </c>
      <c r="C174" t="s">
        <v>49</v>
      </c>
      <c r="D174" t="s">
        <v>272</v>
      </c>
      <c r="E174" s="1" t="s">
        <v>16</v>
      </c>
      <c r="G174" s="8">
        <f>IF(ISNA(VLOOKUP($B174,'Other Capital Needs'!$C$51:$P$95,G$2,0)),0,VLOOKUP($B174,'Other Capital Needs'!$C$51:$P$95,G$2,0))+IF(ISNA(VLOOKUP('Project Details by Yr - MASTER'!$B174,'Public Grounds'!$A$11:$N$49,G$2,0)),0,VLOOKUP('Project Details by Yr - MASTER'!$B174,'Public Grounds'!$A$11:$N$49,G$2,0))+IF(ISNA(VLOOKUP('Project Details by Yr - MASTER'!$B174,'Public Buildings'!$A$10:$N$96,G$2,0)),0,VLOOKUP('Project Details by Yr - MASTER'!$B174,'Public Buildings'!$A$10:$N$96,G$2,0))+IF(ISNA(VLOOKUP('Project Details by Yr - MASTER'!$B174,Bridges!$A$9:$N$24,G$2,0)),0,VLOOKUP('Project Details by Yr - MASTER'!$B174,Bridges!$A$9:$N$24,G$2,0))+IF(ISNA(VLOOKUP('Project Details by Yr - MASTER'!$B174,'Parking Lots &amp; Playgrounds'!$A$9:$N$33,G$2,0)),0,VLOOKUP('Project Details by Yr - MASTER'!$B174,'Parking Lots &amp; Playgrounds'!$A$9:$N$33,G$2,0))+IF(ISNA(VLOOKUP($B174,Vehicles!$B$9:$O$50,G$2,0)),0,VLOOKUP($B174,Vehicles!$B$9:$O$50,G$2,0))</f>
        <v>7500</v>
      </c>
      <c r="H174" s="8">
        <f>IF(ISNA(VLOOKUP($B174,'Other Capital Needs'!$C$51:$P$95,H$2,0)),0,VLOOKUP($B174,'Other Capital Needs'!$C$51:$P$95,H$2,0))+IF(ISNA(VLOOKUP('Project Details by Yr - MASTER'!$B174,'Public Grounds'!$A$11:$N$49,H$2,0)),0,VLOOKUP('Project Details by Yr - MASTER'!$B174,'Public Grounds'!$A$11:$N$49,H$2,0))+IF(ISNA(VLOOKUP('Project Details by Yr - MASTER'!$B174,'Public Buildings'!$A$10:$N$96,H$2,0)),0,VLOOKUP('Project Details by Yr - MASTER'!$B174,'Public Buildings'!$A$10:$N$96,H$2,0))+IF(ISNA(VLOOKUP('Project Details by Yr - MASTER'!$B174,Bridges!$A$9:$N$24,H$2,0)),0,VLOOKUP('Project Details by Yr - MASTER'!$B174,Bridges!$A$9:$N$24,H$2,0))+IF(ISNA(VLOOKUP('Project Details by Yr - MASTER'!$B174,'Parking Lots &amp; Playgrounds'!$A$9:$N$33,H$2,0)),0,VLOOKUP('Project Details by Yr - MASTER'!$B174,'Parking Lots &amp; Playgrounds'!$A$9:$N$33,H$2,0))+IF(ISNA(VLOOKUP($B174,Vehicles!$B$9:$O$50,H$2,0)),0,VLOOKUP($B174,Vehicles!$B$9:$O$50,H$2,0))</f>
        <v>7500</v>
      </c>
      <c r="I174" s="8">
        <f>IF(ISNA(VLOOKUP($B174,'Other Capital Needs'!$C$51:$P$95,I$2,0)),0,VLOOKUP($B174,'Other Capital Needs'!$C$51:$P$95,I$2,0))+IF(ISNA(VLOOKUP('Project Details by Yr - MASTER'!$B174,'Public Grounds'!$A$11:$N$49,I$2,0)),0,VLOOKUP('Project Details by Yr - MASTER'!$B174,'Public Grounds'!$A$11:$N$49,I$2,0))+IF(ISNA(VLOOKUP('Project Details by Yr - MASTER'!$B174,'Public Buildings'!$A$10:$N$96,I$2,0)),0,VLOOKUP('Project Details by Yr - MASTER'!$B174,'Public Buildings'!$A$10:$N$96,I$2,0))+IF(ISNA(VLOOKUP('Project Details by Yr - MASTER'!$B174,Bridges!$A$9:$N$24,I$2,0)),0,VLOOKUP('Project Details by Yr - MASTER'!$B174,Bridges!$A$9:$N$24,I$2,0))+IF(ISNA(VLOOKUP('Project Details by Yr - MASTER'!$B174,'Parking Lots &amp; Playgrounds'!$A$9:$N$33,I$2,0)),0,VLOOKUP('Project Details by Yr - MASTER'!$B174,'Parking Lots &amp; Playgrounds'!$A$9:$N$33,I$2,0))+IF(ISNA(VLOOKUP($B174,Vehicles!$B$9:$O$50,I$2,0)),0,VLOOKUP($B174,Vehicles!$B$9:$O$50,I$2,0))</f>
        <v>7500</v>
      </c>
      <c r="J174" s="8">
        <f>IF(ISNA(VLOOKUP($B174,'Other Capital Needs'!$C$51:$P$95,J$2,0)),0,VLOOKUP($B174,'Other Capital Needs'!$C$51:$P$95,J$2,0))+IF(ISNA(VLOOKUP('Project Details by Yr - MASTER'!$B174,'Public Grounds'!$A$11:$N$49,J$2,0)),0,VLOOKUP('Project Details by Yr - MASTER'!$B174,'Public Grounds'!$A$11:$N$49,J$2,0))+IF(ISNA(VLOOKUP('Project Details by Yr - MASTER'!$B174,'Public Buildings'!$A$10:$N$96,J$2,0)),0,VLOOKUP('Project Details by Yr - MASTER'!$B174,'Public Buildings'!$A$10:$N$96,J$2,0))+IF(ISNA(VLOOKUP('Project Details by Yr - MASTER'!$B174,Bridges!$A$9:$N$24,J$2,0)),0,VLOOKUP('Project Details by Yr - MASTER'!$B174,Bridges!$A$9:$N$24,J$2,0))+IF(ISNA(VLOOKUP('Project Details by Yr - MASTER'!$B174,'Parking Lots &amp; Playgrounds'!$A$9:$N$33,J$2,0)),0,VLOOKUP('Project Details by Yr - MASTER'!$B174,'Parking Lots &amp; Playgrounds'!$A$9:$N$33,J$2,0))+IF(ISNA(VLOOKUP($B174,Vehicles!$B$9:$O$50,J$2,0)),0,VLOOKUP($B174,Vehicles!$B$9:$O$50,J$2,0))</f>
        <v>7500</v>
      </c>
      <c r="K174" s="8">
        <f>IF(ISNA(VLOOKUP($B174,'Other Capital Needs'!$C$51:$P$95,K$2,0)),0,VLOOKUP($B174,'Other Capital Needs'!$C$51:$P$95,K$2,0))+IF(ISNA(VLOOKUP('Project Details by Yr - MASTER'!$B174,'Public Grounds'!$A$11:$N$49,K$2,0)),0,VLOOKUP('Project Details by Yr - MASTER'!$B174,'Public Grounds'!$A$11:$N$49,K$2,0))+IF(ISNA(VLOOKUP('Project Details by Yr - MASTER'!$B174,'Public Buildings'!$A$10:$N$96,K$2,0)),0,VLOOKUP('Project Details by Yr - MASTER'!$B174,'Public Buildings'!$A$10:$N$96,K$2,0))+IF(ISNA(VLOOKUP('Project Details by Yr - MASTER'!$B174,Bridges!$A$9:$N$24,K$2,0)),0,VLOOKUP('Project Details by Yr - MASTER'!$B174,Bridges!$A$9:$N$24,K$2,0))+IF(ISNA(VLOOKUP('Project Details by Yr - MASTER'!$B174,'Parking Lots &amp; Playgrounds'!$A$9:$N$33,K$2,0)),0,VLOOKUP('Project Details by Yr - MASTER'!$B174,'Parking Lots &amp; Playgrounds'!$A$9:$N$33,K$2,0))+IF(ISNA(VLOOKUP($B174,Vehicles!$B$9:$O$50,K$2,0)),0,VLOOKUP($B174,Vehicles!$B$9:$O$50,K$2,0))</f>
        <v>5000</v>
      </c>
    </row>
    <row r="175" spans="2:11" x14ac:dyDescent="0.25">
      <c r="B175" t="s">
        <v>133</v>
      </c>
      <c r="C175" t="s">
        <v>49</v>
      </c>
      <c r="D175" t="s">
        <v>272</v>
      </c>
      <c r="E175" s="1" t="s">
        <v>16</v>
      </c>
      <c r="G175" s="8">
        <f>IF(ISNA(VLOOKUP($B175,'Other Capital Needs'!$C$51:$P$95,G$2,0)),0,VLOOKUP($B175,'Other Capital Needs'!$C$51:$P$95,G$2,0))+IF(ISNA(VLOOKUP('Project Details by Yr - MASTER'!$B175,'Public Grounds'!$A$11:$N$49,G$2,0)),0,VLOOKUP('Project Details by Yr - MASTER'!$B175,'Public Grounds'!$A$11:$N$49,G$2,0))+IF(ISNA(VLOOKUP('Project Details by Yr - MASTER'!$B175,'Public Buildings'!$A$10:$N$96,G$2,0)),0,VLOOKUP('Project Details by Yr - MASTER'!$B175,'Public Buildings'!$A$10:$N$96,G$2,0))+IF(ISNA(VLOOKUP('Project Details by Yr - MASTER'!$B175,Bridges!$A$9:$N$24,G$2,0)),0,VLOOKUP('Project Details by Yr - MASTER'!$B175,Bridges!$A$9:$N$24,G$2,0))+IF(ISNA(VLOOKUP('Project Details by Yr - MASTER'!$B175,'Parking Lots &amp; Playgrounds'!$A$9:$N$33,G$2,0)),0,VLOOKUP('Project Details by Yr - MASTER'!$B175,'Parking Lots &amp; Playgrounds'!$A$9:$N$33,G$2,0))+IF(ISNA(VLOOKUP($B175,Vehicles!$B$9:$O$50,G$2,0)),0,VLOOKUP($B175,Vehicles!$B$9:$O$50,G$2,0))</f>
        <v>0</v>
      </c>
      <c r="H175" s="8">
        <f>IF(ISNA(VLOOKUP($B175,'Other Capital Needs'!$C$51:$P$95,H$2,0)),0,VLOOKUP($B175,'Other Capital Needs'!$C$51:$P$95,H$2,0))+IF(ISNA(VLOOKUP('Project Details by Yr - MASTER'!$B175,'Public Grounds'!$A$11:$N$49,H$2,0)),0,VLOOKUP('Project Details by Yr - MASTER'!$B175,'Public Grounds'!$A$11:$N$49,H$2,0))+IF(ISNA(VLOOKUP('Project Details by Yr - MASTER'!$B175,'Public Buildings'!$A$10:$N$96,H$2,0)),0,VLOOKUP('Project Details by Yr - MASTER'!$B175,'Public Buildings'!$A$10:$N$96,H$2,0))+IF(ISNA(VLOOKUP('Project Details by Yr - MASTER'!$B175,Bridges!$A$9:$N$24,H$2,0)),0,VLOOKUP('Project Details by Yr - MASTER'!$B175,Bridges!$A$9:$N$24,H$2,0))+IF(ISNA(VLOOKUP('Project Details by Yr - MASTER'!$B175,'Parking Lots &amp; Playgrounds'!$A$9:$N$33,H$2,0)),0,VLOOKUP('Project Details by Yr - MASTER'!$B175,'Parking Lots &amp; Playgrounds'!$A$9:$N$33,H$2,0))+IF(ISNA(VLOOKUP($B175,Vehicles!$B$9:$O$50,H$2,0)),0,VLOOKUP($B175,Vehicles!$B$9:$O$50,H$2,0))</f>
        <v>0</v>
      </c>
      <c r="I175" s="8">
        <f>IF(ISNA(VLOOKUP($B175,'Other Capital Needs'!$C$51:$P$95,I$2,0)),0,VLOOKUP($B175,'Other Capital Needs'!$C$51:$P$95,I$2,0))+IF(ISNA(VLOOKUP('Project Details by Yr - MASTER'!$B175,'Public Grounds'!$A$11:$N$49,I$2,0)),0,VLOOKUP('Project Details by Yr - MASTER'!$B175,'Public Grounds'!$A$11:$N$49,I$2,0))+IF(ISNA(VLOOKUP('Project Details by Yr - MASTER'!$B175,'Public Buildings'!$A$10:$N$96,I$2,0)),0,VLOOKUP('Project Details by Yr - MASTER'!$B175,'Public Buildings'!$A$10:$N$96,I$2,0))+IF(ISNA(VLOOKUP('Project Details by Yr - MASTER'!$B175,Bridges!$A$9:$N$24,I$2,0)),0,VLOOKUP('Project Details by Yr - MASTER'!$B175,Bridges!$A$9:$N$24,I$2,0))+IF(ISNA(VLOOKUP('Project Details by Yr - MASTER'!$B175,'Parking Lots &amp; Playgrounds'!$A$9:$N$33,I$2,0)),0,VLOOKUP('Project Details by Yr - MASTER'!$B175,'Parking Lots &amp; Playgrounds'!$A$9:$N$33,I$2,0))+IF(ISNA(VLOOKUP($B175,Vehicles!$B$9:$O$50,I$2,0)),0,VLOOKUP($B175,Vehicles!$B$9:$O$50,I$2,0))</f>
        <v>85000</v>
      </c>
      <c r="J175" s="8">
        <f>IF(ISNA(VLOOKUP($B175,'Other Capital Needs'!$C$51:$P$95,J$2,0)),0,VLOOKUP($B175,'Other Capital Needs'!$C$51:$P$95,J$2,0))+IF(ISNA(VLOOKUP('Project Details by Yr - MASTER'!$B175,'Public Grounds'!$A$11:$N$49,J$2,0)),0,VLOOKUP('Project Details by Yr - MASTER'!$B175,'Public Grounds'!$A$11:$N$49,J$2,0))+IF(ISNA(VLOOKUP('Project Details by Yr - MASTER'!$B175,'Public Buildings'!$A$10:$N$96,J$2,0)),0,VLOOKUP('Project Details by Yr - MASTER'!$B175,'Public Buildings'!$A$10:$N$96,J$2,0))+IF(ISNA(VLOOKUP('Project Details by Yr - MASTER'!$B175,Bridges!$A$9:$N$24,J$2,0)),0,VLOOKUP('Project Details by Yr - MASTER'!$B175,Bridges!$A$9:$N$24,J$2,0))+IF(ISNA(VLOOKUP('Project Details by Yr - MASTER'!$B175,'Parking Lots &amp; Playgrounds'!$A$9:$N$33,J$2,0)),0,VLOOKUP('Project Details by Yr - MASTER'!$B175,'Parking Lots &amp; Playgrounds'!$A$9:$N$33,J$2,0))+IF(ISNA(VLOOKUP($B175,Vehicles!$B$9:$O$50,J$2,0)),0,VLOOKUP($B175,Vehicles!$B$9:$O$50,J$2,0))</f>
        <v>0</v>
      </c>
      <c r="K175" s="8">
        <f>IF(ISNA(VLOOKUP($B175,'Other Capital Needs'!$C$51:$P$95,K$2,0)),0,VLOOKUP($B175,'Other Capital Needs'!$C$51:$P$95,K$2,0))+IF(ISNA(VLOOKUP('Project Details by Yr - MASTER'!$B175,'Public Grounds'!$A$11:$N$49,K$2,0)),0,VLOOKUP('Project Details by Yr - MASTER'!$B175,'Public Grounds'!$A$11:$N$49,K$2,0))+IF(ISNA(VLOOKUP('Project Details by Yr - MASTER'!$B175,'Public Buildings'!$A$10:$N$96,K$2,0)),0,VLOOKUP('Project Details by Yr - MASTER'!$B175,'Public Buildings'!$A$10:$N$96,K$2,0))+IF(ISNA(VLOOKUP('Project Details by Yr - MASTER'!$B175,Bridges!$A$9:$N$24,K$2,0)),0,VLOOKUP('Project Details by Yr - MASTER'!$B175,Bridges!$A$9:$N$24,K$2,0))+IF(ISNA(VLOOKUP('Project Details by Yr - MASTER'!$B175,'Parking Lots &amp; Playgrounds'!$A$9:$N$33,K$2,0)),0,VLOOKUP('Project Details by Yr - MASTER'!$B175,'Parking Lots &amp; Playgrounds'!$A$9:$N$33,K$2,0))+IF(ISNA(VLOOKUP($B175,Vehicles!$B$9:$O$50,K$2,0)),0,VLOOKUP($B175,Vehicles!$B$9:$O$50,K$2,0))</f>
        <v>45000</v>
      </c>
    </row>
    <row r="176" spans="2:11" x14ac:dyDescent="0.25">
      <c r="B176" t="s">
        <v>134</v>
      </c>
      <c r="C176" t="s">
        <v>49</v>
      </c>
      <c r="D176" t="s">
        <v>272</v>
      </c>
      <c r="E176" s="1" t="s">
        <v>16</v>
      </c>
      <c r="G176" s="8">
        <f>IF(ISNA(VLOOKUP($B176,'Other Capital Needs'!$C$51:$P$95,G$2,0)),0,VLOOKUP($B176,'Other Capital Needs'!$C$51:$P$95,G$2,0))+IF(ISNA(VLOOKUP('Project Details by Yr - MASTER'!$B176,'Public Grounds'!$A$11:$N$49,G$2,0)),0,VLOOKUP('Project Details by Yr - MASTER'!$B176,'Public Grounds'!$A$11:$N$49,G$2,0))+IF(ISNA(VLOOKUP('Project Details by Yr - MASTER'!$B176,'Public Buildings'!$A$10:$N$96,G$2,0)),0,VLOOKUP('Project Details by Yr - MASTER'!$B176,'Public Buildings'!$A$10:$N$96,G$2,0))+IF(ISNA(VLOOKUP('Project Details by Yr - MASTER'!$B176,Bridges!$A$9:$N$24,G$2,0)),0,VLOOKUP('Project Details by Yr - MASTER'!$B176,Bridges!$A$9:$N$24,G$2,0))+IF(ISNA(VLOOKUP('Project Details by Yr - MASTER'!$B176,'Parking Lots &amp; Playgrounds'!$A$9:$N$33,G$2,0)),0,VLOOKUP('Project Details by Yr - MASTER'!$B176,'Parking Lots &amp; Playgrounds'!$A$9:$N$33,G$2,0))+IF(ISNA(VLOOKUP($B176,Vehicles!$B$9:$O$50,G$2,0)),0,VLOOKUP($B176,Vehicles!$B$9:$O$50,G$2,0))</f>
        <v>0</v>
      </c>
      <c r="H176" s="8">
        <f>IF(ISNA(VLOOKUP($B176,'Other Capital Needs'!$C$51:$P$95,H$2,0)),0,VLOOKUP($B176,'Other Capital Needs'!$C$51:$P$95,H$2,0))+IF(ISNA(VLOOKUP('Project Details by Yr - MASTER'!$B176,'Public Grounds'!$A$11:$N$49,H$2,0)),0,VLOOKUP('Project Details by Yr - MASTER'!$B176,'Public Grounds'!$A$11:$N$49,H$2,0))+IF(ISNA(VLOOKUP('Project Details by Yr - MASTER'!$B176,'Public Buildings'!$A$10:$N$96,H$2,0)),0,VLOOKUP('Project Details by Yr - MASTER'!$B176,'Public Buildings'!$A$10:$N$96,H$2,0))+IF(ISNA(VLOOKUP('Project Details by Yr - MASTER'!$B176,Bridges!$A$9:$N$24,H$2,0)),0,VLOOKUP('Project Details by Yr - MASTER'!$B176,Bridges!$A$9:$N$24,H$2,0))+IF(ISNA(VLOOKUP('Project Details by Yr - MASTER'!$B176,'Parking Lots &amp; Playgrounds'!$A$9:$N$33,H$2,0)),0,VLOOKUP('Project Details by Yr - MASTER'!$B176,'Parking Lots &amp; Playgrounds'!$A$9:$N$33,H$2,0))+IF(ISNA(VLOOKUP($B176,Vehicles!$B$9:$O$50,H$2,0)),0,VLOOKUP($B176,Vehicles!$B$9:$O$50,H$2,0))</f>
        <v>0</v>
      </c>
      <c r="I176" s="8">
        <f>IF(ISNA(VLOOKUP($B176,'Other Capital Needs'!$C$51:$P$95,I$2,0)),0,VLOOKUP($B176,'Other Capital Needs'!$C$51:$P$95,I$2,0))+IF(ISNA(VLOOKUP('Project Details by Yr - MASTER'!$B176,'Public Grounds'!$A$11:$N$49,I$2,0)),0,VLOOKUP('Project Details by Yr - MASTER'!$B176,'Public Grounds'!$A$11:$N$49,I$2,0))+IF(ISNA(VLOOKUP('Project Details by Yr - MASTER'!$B176,'Public Buildings'!$A$10:$N$96,I$2,0)),0,VLOOKUP('Project Details by Yr - MASTER'!$B176,'Public Buildings'!$A$10:$N$96,I$2,0))+IF(ISNA(VLOOKUP('Project Details by Yr - MASTER'!$B176,Bridges!$A$9:$N$24,I$2,0)),0,VLOOKUP('Project Details by Yr - MASTER'!$B176,Bridges!$A$9:$N$24,I$2,0))+IF(ISNA(VLOOKUP('Project Details by Yr - MASTER'!$B176,'Parking Lots &amp; Playgrounds'!$A$9:$N$33,I$2,0)),0,VLOOKUP('Project Details by Yr - MASTER'!$B176,'Parking Lots &amp; Playgrounds'!$A$9:$N$33,I$2,0))+IF(ISNA(VLOOKUP($B176,Vehicles!$B$9:$O$50,I$2,0)),0,VLOOKUP($B176,Vehicles!$B$9:$O$50,I$2,0))</f>
        <v>19869</v>
      </c>
      <c r="J176" s="8">
        <f>IF(ISNA(VLOOKUP($B176,'Other Capital Needs'!$C$51:$P$95,J$2,0)),0,VLOOKUP($B176,'Other Capital Needs'!$C$51:$P$95,J$2,0))+IF(ISNA(VLOOKUP('Project Details by Yr - MASTER'!$B176,'Public Grounds'!$A$11:$N$49,J$2,0)),0,VLOOKUP('Project Details by Yr - MASTER'!$B176,'Public Grounds'!$A$11:$N$49,J$2,0))+IF(ISNA(VLOOKUP('Project Details by Yr - MASTER'!$B176,'Public Buildings'!$A$10:$N$96,J$2,0)),0,VLOOKUP('Project Details by Yr - MASTER'!$B176,'Public Buildings'!$A$10:$N$96,J$2,0))+IF(ISNA(VLOOKUP('Project Details by Yr - MASTER'!$B176,Bridges!$A$9:$N$24,J$2,0)),0,VLOOKUP('Project Details by Yr - MASTER'!$B176,Bridges!$A$9:$N$24,J$2,0))+IF(ISNA(VLOOKUP('Project Details by Yr - MASTER'!$B176,'Parking Lots &amp; Playgrounds'!$A$9:$N$33,J$2,0)),0,VLOOKUP('Project Details by Yr - MASTER'!$B176,'Parking Lots &amp; Playgrounds'!$A$9:$N$33,J$2,0))+IF(ISNA(VLOOKUP($B176,Vehicles!$B$9:$O$50,J$2,0)),0,VLOOKUP($B176,Vehicles!$B$9:$O$50,J$2,0))</f>
        <v>0</v>
      </c>
      <c r="K176" s="8">
        <f>IF(ISNA(VLOOKUP($B176,'Other Capital Needs'!$C$51:$P$95,K$2,0)),0,VLOOKUP($B176,'Other Capital Needs'!$C$51:$P$95,K$2,0))+IF(ISNA(VLOOKUP('Project Details by Yr - MASTER'!$B176,'Public Grounds'!$A$11:$N$49,K$2,0)),0,VLOOKUP('Project Details by Yr - MASTER'!$B176,'Public Grounds'!$A$11:$N$49,K$2,0))+IF(ISNA(VLOOKUP('Project Details by Yr - MASTER'!$B176,'Public Buildings'!$A$10:$N$96,K$2,0)),0,VLOOKUP('Project Details by Yr - MASTER'!$B176,'Public Buildings'!$A$10:$N$96,K$2,0))+IF(ISNA(VLOOKUP('Project Details by Yr - MASTER'!$B176,Bridges!$A$9:$N$24,K$2,0)),0,VLOOKUP('Project Details by Yr - MASTER'!$B176,Bridges!$A$9:$N$24,K$2,0))+IF(ISNA(VLOOKUP('Project Details by Yr - MASTER'!$B176,'Parking Lots &amp; Playgrounds'!$A$9:$N$33,K$2,0)),0,VLOOKUP('Project Details by Yr - MASTER'!$B176,'Parking Lots &amp; Playgrounds'!$A$9:$N$33,K$2,0))+IF(ISNA(VLOOKUP($B176,Vehicles!$B$9:$O$50,K$2,0)),0,VLOOKUP($B176,Vehicles!$B$9:$O$50,K$2,0))</f>
        <v>20271</v>
      </c>
    </row>
    <row r="177" spans="2:11" x14ac:dyDescent="0.25">
      <c r="B177" t="s">
        <v>135</v>
      </c>
      <c r="C177" t="s">
        <v>49</v>
      </c>
      <c r="D177" t="s">
        <v>272</v>
      </c>
      <c r="E177" s="1" t="s">
        <v>16</v>
      </c>
      <c r="G177" s="8">
        <f>IF(ISNA(VLOOKUP($B177,'Other Capital Needs'!$C$51:$P$95,G$2,0)),0,VLOOKUP($B177,'Other Capital Needs'!$C$51:$P$95,G$2,0))+IF(ISNA(VLOOKUP('Project Details by Yr - MASTER'!$B177,'Public Grounds'!$A$11:$N$49,G$2,0)),0,VLOOKUP('Project Details by Yr - MASTER'!$B177,'Public Grounds'!$A$11:$N$49,G$2,0))+IF(ISNA(VLOOKUP('Project Details by Yr - MASTER'!$B177,'Public Buildings'!$A$10:$N$96,G$2,0)),0,VLOOKUP('Project Details by Yr - MASTER'!$B177,'Public Buildings'!$A$10:$N$96,G$2,0))+IF(ISNA(VLOOKUP('Project Details by Yr - MASTER'!$B177,Bridges!$A$9:$N$24,G$2,0)),0,VLOOKUP('Project Details by Yr - MASTER'!$B177,Bridges!$A$9:$N$24,G$2,0))+IF(ISNA(VLOOKUP('Project Details by Yr - MASTER'!$B177,'Parking Lots &amp; Playgrounds'!$A$9:$N$33,G$2,0)),0,VLOOKUP('Project Details by Yr - MASTER'!$B177,'Parking Lots &amp; Playgrounds'!$A$9:$N$33,G$2,0))+IF(ISNA(VLOOKUP($B177,Vehicles!$B$9:$O$50,G$2,0)),0,VLOOKUP($B177,Vehicles!$B$9:$O$50,G$2,0))</f>
        <v>0</v>
      </c>
      <c r="H177" s="8">
        <f>IF(ISNA(VLOOKUP($B177,'Other Capital Needs'!$C$51:$P$95,H$2,0)),0,VLOOKUP($B177,'Other Capital Needs'!$C$51:$P$95,H$2,0))+IF(ISNA(VLOOKUP('Project Details by Yr - MASTER'!$B177,'Public Grounds'!$A$11:$N$49,H$2,0)),0,VLOOKUP('Project Details by Yr - MASTER'!$B177,'Public Grounds'!$A$11:$N$49,H$2,0))+IF(ISNA(VLOOKUP('Project Details by Yr - MASTER'!$B177,'Public Buildings'!$A$10:$N$96,H$2,0)),0,VLOOKUP('Project Details by Yr - MASTER'!$B177,'Public Buildings'!$A$10:$N$96,H$2,0))+IF(ISNA(VLOOKUP('Project Details by Yr - MASTER'!$B177,Bridges!$A$9:$N$24,H$2,0)),0,VLOOKUP('Project Details by Yr - MASTER'!$B177,Bridges!$A$9:$N$24,H$2,0))+IF(ISNA(VLOOKUP('Project Details by Yr - MASTER'!$B177,'Parking Lots &amp; Playgrounds'!$A$9:$N$33,H$2,0)),0,VLOOKUP('Project Details by Yr - MASTER'!$B177,'Parking Lots &amp; Playgrounds'!$A$9:$N$33,H$2,0))+IF(ISNA(VLOOKUP($B177,Vehicles!$B$9:$O$50,H$2,0)),0,VLOOKUP($B177,Vehicles!$B$9:$O$50,H$2,0))</f>
        <v>0</v>
      </c>
      <c r="I177" s="8">
        <f>IF(ISNA(VLOOKUP($B177,'Other Capital Needs'!$C$51:$P$95,I$2,0)),0,VLOOKUP($B177,'Other Capital Needs'!$C$51:$P$95,I$2,0))+IF(ISNA(VLOOKUP('Project Details by Yr - MASTER'!$B177,'Public Grounds'!$A$11:$N$49,I$2,0)),0,VLOOKUP('Project Details by Yr - MASTER'!$B177,'Public Grounds'!$A$11:$N$49,I$2,0))+IF(ISNA(VLOOKUP('Project Details by Yr - MASTER'!$B177,'Public Buildings'!$A$10:$N$96,I$2,0)),0,VLOOKUP('Project Details by Yr - MASTER'!$B177,'Public Buildings'!$A$10:$N$96,I$2,0))+IF(ISNA(VLOOKUP('Project Details by Yr - MASTER'!$B177,Bridges!$A$9:$N$24,I$2,0)),0,VLOOKUP('Project Details by Yr - MASTER'!$B177,Bridges!$A$9:$N$24,I$2,0))+IF(ISNA(VLOOKUP('Project Details by Yr - MASTER'!$B177,'Parking Lots &amp; Playgrounds'!$A$9:$N$33,I$2,0)),0,VLOOKUP('Project Details by Yr - MASTER'!$B177,'Parking Lots &amp; Playgrounds'!$A$9:$N$33,I$2,0))+IF(ISNA(VLOOKUP($B177,Vehicles!$B$9:$O$50,I$2,0)),0,VLOOKUP($B177,Vehicles!$B$9:$O$50,I$2,0))</f>
        <v>0</v>
      </c>
      <c r="J177" s="8">
        <f>IF(ISNA(VLOOKUP($B177,'Other Capital Needs'!$C$51:$P$95,J$2,0)),0,VLOOKUP($B177,'Other Capital Needs'!$C$51:$P$95,J$2,0))+IF(ISNA(VLOOKUP('Project Details by Yr - MASTER'!$B177,'Public Grounds'!$A$11:$N$49,J$2,0)),0,VLOOKUP('Project Details by Yr - MASTER'!$B177,'Public Grounds'!$A$11:$N$49,J$2,0))+IF(ISNA(VLOOKUP('Project Details by Yr - MASTER'!$B177,'Public Buildings'!$A$10:$N$96,J$2,0)),0,VLOOKUP('Project Details by Yr - MASTER'!$B177,'Public Buildings'!$A$10:$N$96,J$2,0))+IF(ISNA(VLOOKUP('Project Details by Yr - MASTER'!$B177,Bridges!$A$9:$N$24,J$2,0)),0,VLOOKUP('Project Details by Yr - MASTER'!$B177,Bridges!$A$9:$N$24,J$2,0))+IF(ISNA(VLOOKUP('Project Details by Yr - MASTER'!$B177,'Parking Lots &amp; Playgrounds'!$A$9:$N$33,J$2,0)),0,VLOOKUP('Project Details by Yr - MASTER'!$B177,'Parking Lots &amp; Playgrounds'!$A$9:$N$33,J$2,0))+IF(ISNA(VLOOKUP($B177,Vehicles!$B$9:$O$50,J$2,0)),0,VLOOKUP($B177,Vehicles!$B$9:$O$50,J$2,0))</f>
        <v>0</v>
      </c>
      <c r="K177" s="8">
        <f>IF(ISNA(VLOOKUP($B177,'Other Capital Needs'!$C$51:$P$95,K$2,0)),0,VLOOKUP($B177,'Other Capital Needs'!$C$51:$P$95,K$2,0))+IF(ISNA(VLOOKUP('Project Details by Yr - MASTER'!$B177,'Public Grounds'!$A$11:$N$49,K$2,0)),0,VLOOKUP('Project Details by Yr - MASTER'!$B177,'Public Grounds'!$A$11:$N$49,K$2,0))+IF(ISNA(VLOOKUP('Project Details by Yr - MASTER'!$B177,'Public Buildings'!$A$10:$N$96,K$2,0)),0,VLOOKUP('Project Details by Yr - MASTER'!$B177,'Public Buildings'!$A$10:$N$96,K$2,0))+IF(ISNA(VLOOKUP('Project Details by Yr - MASTER'!$B177,Bridges!$A$9:$N$24,K$2,0)),0,VLOOKUP('Project Details by Yr - MASTER'!$B177,Bridges!$A$9:$N$24,K$2,0))+IF(ISNA(VLOOKUP('Project Details by Yr - MASTER'!$B177,'Parking Lots &amp; Playgrounds'!$A$9:$N$33,K$2,0)),0,VLOOKUP('Project Details by Yr - MASTER'!$B177,'Parking Lots &amp; Playgrounds'!$A$9:$N$33,K$2,0))+IF(ISNA(VLOOKUP($B177,Vehicles!$B$9:$O$50,K$2,0)),0,VLOOKUP($B177,Vehicles!$B$9:$O$50,K$2,0))</f>
        <v>0</v>
      </c>
    </row>
    <row r="178" spans="2:11" x14ac:dyDescent="0.25">
      <c r="B178" t="s">
        <v>136</v>
      </c>
      <c r="C178" t="s">
        <v>49</v>
      </c>
      <c r="D178" t="s">
        <v>272</v>
      </c>
      <c r="E178" s="1" t="s">
        <v>16</v>
      </c>
      <c r="G178" s="8">
        <f>IF(ISNA(VLOOKUP($B178,'Other Capital Needs'!$C$51:$P$95,G$2,0)),0,VLOOKUP($B178,'Other Capital Needs'!$C$51:$P$95,G$2,0))+IF(ISNA(VLOOKUP('Project Details by Yr - MASTER'!$B178,'Public Grounds'!$A$11:$N$49,G$2,0)),0,VLOOKUP('Project Details by Yr - MASTER'!$B178,'Public Grounds'!$A$11:$N$49,G$2,0))+IF(ISNA(VLOOKUP('Project Details by Yr - MASTER'!$B178,'Public Buildings'!$A$10:$N$96,G$2,0)),0,VLOOKUP('Project Details by Yr - MASTER'!$B178,'Public Buildings'!$A$10:$N$96,G$2,0))+IF(ISNA(VLOOKUP('Project Details by Yr - MASTER'!$B178,Bridges!$A$9:$N$24,G$2,0)),0,VLOOKUP('Project Details by Yr - MASTER'!$B178,Bridges!$A$9:$N$24,G$2,0))+IF(ISNA(VLOOKUP('Project Details by Yr - MASTER'!$B178,'Parking Lots &amp; Playgrounds'!$A$9:$N$33,G$2,0)),0,VLOOKUP('Project Details by Yr - MASTER'!$B178,'Parking Lots &amp; Playgrounds'!$A$9:$N$33,G$2,0))+IF(ISNA(VLOOKUP($B178,Vehicles!$B$9:$O$50,G$2,0)),0,VLOOKUP($B178,Vehicles!$B$9:$O$50,G$2,0))</f>
        <v>0</v>
      </c>
      <c r="H178" s="8">
        <f>IF(ISNA(VLOOKUP($B178,'Other Capital Needs'!$C$51:$P$95,H$2,0)),0,VLOOKUP($B178,'Other Capital Needs'!$C$51:$P$95,H$2,0))+IF(ISNA(VLOOKUP('Project Details by Yr - MASTER'!$B178,'Public Grounds'!$A$11:$N$49,H$2,0)),0,VLOOKUP('Project Details by Yr - MASTER'!$B178,'Public Grounds'!$A$11:$N$49,H$2,0))+IF(ISNA(VLOOKUP('Project Details by Yr - MASTER'!$B178,'Public Buildings'!$A$10:$N$96,H$2,0)),0,VLOOKUP('Project Details by Yr - MASTER'!$B178,'Public Buildings'!$A$10:$N$96,H$2,0))+IF(ISNA(VLOOKUP('Project Details by Yr - MASTER'!$B178,Bridges!$A$9:$N$24,H$2,0)),0,VLOOKUP('Project Details by Yr - MASTER'!$B178,Bridges!$A$9:$N$24,H$2,0))+IF(ISNA(VLOOKUP('Project Details by Yr - MASTER'!$B178,'Parking Lots &amp; Playgrounds'!$A$9:$N$33,H$2,0)),0,VLOOKUP('Project Details by Yr - MASTER'!$B178,'Parking Lots &amp; Playgrounds'!$A$9:$N$33,H$2,0))+IF(ISNA(VLOOKUP($B178,Vehicles!$B$9:$O$50,H$2,0)),0,VLOOKUP($B178,Vehicles!$B$9:$O$50,H$2,0))</f>
        <v>25000</v>
      </c>
      <c r="I178" s="8">
        <f>IF(ISNA(VLOOKUP($B178,'Other Capital Needs'!$C$51:$P$95,I$2,0)),0,VLOOKUP($B178,'Other Capital Needs'!$C$51:$P$95,I$2,0))+IF(ISNA(VLOOKUP('Project Details by Yr - MASTER'!$B178,'Public Grounds'!$A$11:$N$49,I$2,0)),0,VLOOKUP('Project Details by Yr - MASTER'!$B178,'Public Grounds'!$A$11:$N$49,I$2,0))+IF(ISNA(VLOOKUP('Project Details by Yr - MASTER'!$B178,'Public Buildings'!$A$10:$N$96,I$2,0)),0,VLOOKUP('Project Details by Yr - MASTER'!$B178,'Public Buildings'!$A$10:$N$96,I$2,0))+IF(ISNA(VLOOKUP('Project Details by Yr - MASTER'!$B178,Bridges!$A$9:$N$24,I$2,0)),0,VLOOKUP('Project Details by Yr - MASTER'!$B178,Bridges!$A$9:$N$24,I$2,0))+IF(ISNA(VLOOKUP('Project Details by Yr - MASTER'!$B178,'Parking Lots &amp; Playgrounds'!$A$9:$N$33,I$2,0)),0,VLOOKUP('Project Details by Yr - MASTER'!$B178,'Parking Lots &amp; Playgrounds'!$A$9:$N$33,I$2,0))+IF(ISNA(VLOOKUP($B178,Vehicles!$B$9:$O$50,I$2,0)),0,VLOOKUP($B178,Vehicles!$B$9:$O$50,I$2,0))</f>
        <v>25625</v>
      </c>
      <c r="J178" s="8">
        <f>IF(ISNA(VLOOKUP($B178,'Other Capital Needs'!$C$51:$P$95,J$2,0)),0,VLOOKUP($B178,'Other Capital Needs'!$C$51:$P$95,J$2,0))+IF(ISNA(VLOOKUP('Project Details by Yr - MASTER'!$B178,'Public Grounds'!$A$11:$N$49,J$2,0)),0,VLOOKUP('Project Details by Yr - MASTER'!$B178,'Public Grounds'!$A$11:$N$49,J$2,0))+IF(ISNA(VLOOKUP('Project Details by Yr - MASTER'!$B178,'Public Buildings'!$A$10:$N$96,J$2,0)),0,VLOOKUP('Project Details by Yr - MASTER'!$B178,'Public Buildings'!$A$10:$N$96,J$2,0))+IF(ISNA(VLOOKUP('Project Details by Yr - MASTER'!$B178,Bridges!$A$9:$N$24,J$2,0)),0,VLOOKUP('Project Details by Yr - MASTER'!$B178,Bridges!$A$9:$N$24,J$2,0))+IF(ISNA(VLOOKUP('Project Details by Yr - MASTER'!$B178,'Parking Lots &amp; Playgrounds'!$A$9:$N$33,J$2,0)),0,VLOOKUP('Project Details by Yr - MASTER'!$B178,'Parking Lots &amp; Playgrounds'!$A$9:$N$33,J$2,0))+IF(ISNA(VLOOKUP($B178,Vehicles!$B$9:$O$50,J$2,0)),0,VLOOKUP($B178,Vehicles!$B$9:$O$50,J$2,0))</f>
        <v>26266</v>
      </c>
      <c r="K178" s="8">
        <f>IF(ISNA(VLOOKUP($B178,'Other Capital Needs'!$C$51:$P$95,K$2,0)),0,VLOOKUP($B178,'Other Capital Needs'!$C$51:$P$95,K$2,0))+IF(ISNA(VLOOKUP('Project Details by Yr - MASTER'!$B178,'Public Grounds'!$A$11:$N$49,K$2,0)),0,VLOOKUP('Project Details by Yr - MASTER'!$B178,'Public Grounds'!$A$11:$N$49,K$2,0))+IF(ISNA(VLOOKUP('Project Details by Yr - MASTER'!$B178,'Public Buildings'!$A$10:$N$96,K$2,0)),0,VLOOKUP('Project Details by Yr - MASTER'!$B178,'Public Buildings'!$A$10:$N$96,K$2,0))+IF(ISNA(VLOOKUP('Project Details by Yr - MASTER'!$B178,Bridges!$A$9:$N$24,K$2,0)),0,VLOOKUP('Project Details by Yr - MASTER'!$B178,Bridges!$A$9:$N$24,K$2,0))+IF(ISNA(VLOOKUP('Project Details by Yr - MASTER'!$B178,'Parking Lots &amp; Playgrounds'!$A$9:$N$33,K$2,0)),0,VLOOKUP('Project Details by Yr - MASTER'!$B178,'Parking Lots &amp; Playgrounds'!$A$9:$N$33,K$2,0))+IF(ISNA(VLOOKUP($B178,Vehicles!$B$9:$O$50,K$2,0)),0,VLOOKUP($B178,Vehicles!$B$9:$O$50,K$2,0))</f>
        <v>0</v>
      </c>
    </row>
    <row r="179" spans="2:11" x14ac:dyDescent="0.25">
      <c r="B179" t="s">
        <v>137</v>
      </c>
      <c r="C179" t="s">
        <v>49</v>
      </c>
      <c r="D179" t="s">
        <v>272</v>
      </c>
      <c r="E179" s="1" t="s">
        <v>16</v>
      </c>
      <c r="G179" s="8">
        <f>IF(ISNA(VLOOKUP($B179,'Other Capital Needs'!$C$51:$P$95,G$2,0)),0,VLOOKUP($B179,'Other Capital Needs'!$C$51:$P$95,G$2,0))+IF(ISNA(VLOOKUP('Project Details by Yr - MASTER'!$B179,'Public Grounds'!$A$11:$N$49,G$2,0)),0,VLOOKUP('Project Details by Yr - MASTER'!$B179,'Public Grounds'!$A$11:$N$49,G$2,0))+IF(ISNA(VLOOKUP('Project Details by Yr - MASTER'!$B179,'Public Buildings'!$A$10:$N$96,G$2,0)),0,VLOOKUP('Project Details by Yr - MASTER'!$B179,'Public Buildings'!$A$10:$N$96,G$2,0))+IF(ISNA(VLOOKUP('Project Details by Yr - MASTER'!$B179,Bridges!$A$9:$N$24,G$2,0)),0,VLOOKUP('Project Details by Yr - MASTER'!$B179,Bridges!$A$9:$N$24,G$2,0))+IF(ISNA(VLOOKUP('Project Details by Yr - MASTER'!$B179,'Parking Lots &amp; Playgrounds'!$A$9:$N$33,G$2,0)),0,VLOOKUP('Project Details by Yr - MASTER'!$B179,'Parking Lots &amp; Playgrounds'!$A$9:$N$33,G$2,0))+IF(ISNA(VLOOKUP($B179,Vehicles!$B$9:$O$50,G$2,0)),0,VLOOKUP($B179,Vehicles!$B$9:$O$50,G$2,0))</f>
        <v>0</v>
      </c>
      <c r="H179" s="8">
        <f>IF(ISNA(VLOOKUP($B179,'Other Capital Needs'!$C$51:$P$95,H$2,0)),0,VLOOKUP($B179,'Other Capital Needs'!$C$51:$P$95,H$2,0))+IF(ISNA(VLOOKUP('Project Details by Yr - MASTER'!$B179,'Public Grounds'!$A$11:$N$49,H$2,0)),0,VLOOKUP('Project Details by Yr - MASTER'!$B179,'Public Grounds'!$A$11:$N$49,H$2,0))+IF(ISNA(VLOOKUP('Project Details by Yr - MASTER'!$B179,'Public Buildings'!$A$10:$N$96,H$2,0)),0,VLOOKUP('Project Details by Yr - MASTER'!$B179,'Public Buildings'!$A$10:$N$96,H$2,0))+IF(ISNA(VLOOKUP('Project Details by Yr - MASTER'!$B179,Bridges!$A$9:$N$24,H$2,0)),0,VLOOKUP('Project Details by Yr - MASTER'!$B179,Bridges!$A$9:$N$24,H$2,0))+IF(ISNA(VLOOKUP('Project Details by Yr - MASTER'!$B179,'Parking Lots &amp; Playgrounds'!$A$9:$N$33,H$2,0)),0,VLOOKUP('Project Details by Yr - MASTER'!$B179,'Parking Lots &amp; Playgrounds'!$A$9:$N$33,H$2,0))+IF(ISNA(VLOOKUP($B179,Vehicles!$B$9:$O$50,H$2,0)),0,VLOOKUP($B179,Vehicles!$B$9:$O$50,H$2,0))</f>
        <v>0</v>
      </c>
      <c r="I179" s="8">
        <f>IF(ISNA(VLOOKUP($B179,'Other Capital Needs'!$C$51:$P$95,I$2,0)),0,VLOOKUP($B179,'Other Capital Needs'!$C$51:$P$95,I$2,0))+IF(ISNA(VLOOKUP('Project Details by Yr - MASTER'!$B179,'Public Grounds'!$A$11:$N$49,I$2,0)),0,VLOOKUP('Project Details by Yr - MASTER'!$B179,'Public Grounds'!$A$11:$N$49,I$2,0))+IF(ISNA(VLOOKUP('Project Details by Yr - MASTER'!$B179,'Public Buildings'!$A$10:$N$96,I$2,0)),0,VLOOKUP('Project Details by Yr - MASTER'!$B179,'Public Buildings'!$A$10:$N$96,I$2,0))+IF(ISNA(VLOOKUP('Project Details by Yr - MASTER'!$B179,Bridges!$A$9:$N$24,I$2,0)),0,VLOOKUP('Project Details by Yr - MASTER'!$B179,Bridges!$A$9:$N$24,I$2,0))+IF(ISNA(VLOOKUP('Project Details by Yr - MASTER'!$B179,'Parking Lots &amp; Playgrounds'!$A$9:$N$33,I$2,0)),0,VLOOKUP('Project Details by Yr - MASTER'!$B179,'Parking Lots &amp; Playgrounds'!$A$9:$N$33,I$2,0))+IF(ISNA(VLOOKUP($B179,Vehicles!$B$9:$O$50,I$2,0)),0,VLOOKUP($B179,Vehicles!$B$9:$O$50,I$2,0))</f>
        <v>0</v>
      </c>
      <c r="J179" s="8">
        <f>IF(ISNA(VLOOKUP($B179,'Other Capital Needs'!$C$51:$P$95,J$2,0)),0,VLOOKUP($B179,'Other Capital Needs'!$C$51:$P$95,J$2,0))+IF(ISNA(VLOOKUP('Project Details by Yr - MASTER'!$B179,'Public Grounds'!$A$11:$N$49,J$2,0)),0,VLOOKUP('Project Details by Yr - MASTER'!$B179,'Public Grounds'!$A$11:$N$49,J$2,0))+IF(ISNA(VLOOKUP('Project Details by Yr - MASTER'!$B179,'Public Buildings'!$A$10:$N$96,J$2,0)),0,VLOOKUP('Project Details by Yr - MASTER'!$B179,'Public Buildings'!$A$10:$N$96,J$2,0))+IF(ISNA(VLOOKUP('Project Details by Yr - MASTER'!$B179,Bridges!$A$9:$N$24,J$2,0)),0,VLOOKUP('Project Details by Yr - MASTER'!$B179,Bridges!$A$9:$N$24,J$2,0))+IF(ISNA(VLOOKUP('Project Details by Yr - MASTER'!$B179,'Parking Lots &amp; Playgrounds'!$A$9:$N$33,J$2,0)),0,VLOOKUP('Project Details by Yr - MASTER'!$B179,'Parking Lots &amp; Playgrounds'!$A$9:$N$33,J$2,0))+IF(ISNA(VLOOKUP($B179,Vehicles!$B$9:$O$50,J$2,0)),0,VLOOKUP($B179,Vehicles!$B$9:$O$50,J$2,0))</f>
        <v>0</v>
      </c>
      <c r="K179" s="8">
        <f>IF(ISNA(VLOOKUP($B179,'Other Capital Needs'!$C$51:$P$95,K$2,0)),0,VLOOKUP($B179,'Other Capital Needs'!$C$51:$P$95,K$2,0))+IF(ISNA(VLOOKUP('Project Details by Yr - MASTER'!$B179,'Public Grounds'!$A$11:$N$49,K$2,0)),0,VLOOKUP('Project Details by Yr - MASTER'!$B179,'Public Grounds'!$A$11:$N$49,K$2,0))+IF(ISNA(VLOOKUP('Project Details by Yr - MASTER'!$B179,'Public Buildings'!$A$10:$N$96,K$2,0)),0,VLOOKUP('Project Details by Yr - MASTER'!$B179,'Public Buildings'!$A$10:$N$96,K$2,0))+IF(ISNA(VLOOKUP('Project Details by Yr - MASTER'!$B179,Bridges!$A$9:$N$24,K$2,0)),0,VLOOKUP('Project Details by Yr - MASTER'!$B179,Bridges!$A$9:$N$24,K$2,0))+IF(ISNA(VLOOKUP('Project Details by Yr - MASTER'!$B179,'Parking Lots &amp; Playgrounds'!$A$9:$N$33,K$2,0)),0,VLOOKUP('Project Details by Yr - MASTER'!$B179,'Parking Lots &amp; Playgrounds'!$A$9:$N$33,K$2,0))+IF(ISNA(VLOOKUP($B179,Vehicles!$B$9:$O$50,K$2,0)),0,VLOOKUP($B179,Vehicles!$B$9:$O$50,K$2,0))</f>
        <v>0</v>
      </c>
    </row>
    <row r="180" spans="2:11" x14ac:dyDescent="0.25">
      <c r="B180" t="s">
        <v>138</v>
      </c>
      <c r="C180" t="s">
        <v>49</v>
      </c>
      <c r="D180" t="s">
        <v>272</v>
      </c>
      <c r="E180" s="1" t="s">
        <v>16</v>
      </c>
      <c r="G180" s="8">
        <f>IF(ISNA(VLOOKUP($B180,'Other Capital Needs'!$C$51:$P$95,G$2,0)),0,VLOOKUP($B180,'Other Capital Needs'!$C$51:$P$95,G$2,0))+IF(ISNA(VLOOKUP('Project Details by Yr - MASTER'!$B180,'Public Grounds'!$A$11:$N$49,G$2,0)),0,VLOOKUP('Project Details by Yr - MASTER'!$B180,'Public Grounds'!$A$11:$N$49,G$2,0))+IF(ISNA(VLOOKUP('Project Details by Yr - MASTER'!$B180,'Public Buildings'!$A$10:$N$96,G$2,0)),0,VLOOKUP('Project Details by Yr - MASTER'!$B180,'Public Buildings'!$A$10:$N$96,G$2,0))+IF(ISNA(VLOOKUP('Project Details by Yr - MASTER'!$B180,Bridges!$A$9:$N$24,G$2,0)),0,VLOOKUP('Project Details by Yr - MASTER'!$B180,Bridges!$A$9:$N$24,G$2,0))+IF(ISNA(VLOOKUP('Project Details by Yr - MASTER'!$B180,'Parking Lots &amp; Playgrounds'!$A$9:$N$33,G$2,0)),0,VLOOKUP('Project Details by Yr - MASTER'!$B180,'Parking Lots &amp; Playgrounds'!$A$9:$N$33,G$2,0))+IF(ISNA(VLOOKUP($B180,Vehicles!$B$9:$O$50,G$2,0)),0,VLOOKUP($B180,Vehicles!$B$9:$O$50,G$2,0))</f>
        <v>0</v>
      </c>
      <c r="H180" s="8">
        <f>IF(ISNA(VLOOKUP($B180,'Other Capital Needs'!$C$51:$P$95,H$2,0)),0,VLOOKUP($B180,'Other Capital Needs'!$C$51:$P$95,H$2,0))+IF(ISNA(VLOOKUP('Project Details by Yr - MASTER'!$B180,'Public Grounds'!$A$11:$N$49,H$2,0)),0,VLOOKUP('Project Details by Yr - MASTER'!$B180,'Public Grounds'!$A$11:$N$49,H$2,0))+IF(ISNA(VLOOKUP('Project Details by Yr - MASTER'!$B180,'Public Buildings'!$A$10:$N$96,H$2,0)),0,VLOOKUP('Project Details by Yr - MASTER'!$B180,'Public Buildings'!$A$10:$N$96,H$2,0))+IF(ISNA(VLOOKUP('Project Details by Yr - MASTER'!$B180,Bridges!$A$9:$N$24,H$2,0)),0,VLOOKUP('Project Details by Yr - MASTER'!$B180,Bridges!$A$9:$N$24,H$2,0))+IF(ISNA(VLOOKUP('Project Details by Yr - MASTER'!$B180,'Parking Lots &amp; Playgrounds'!$A$9:$N$33,H$2,0)),0,VLOOKUP('Project Details by Yr - MASTER'!$B180,'Parking Lots &amp; Playgrounds'!$A$9:$N$33,H$2,0))+IF(ISNA(VLOOKUP($B180,Vehicles!$B$9:$O$50,H$2,0)),0,VLOOKUP($B180,Vehicles!$B$9:$O$50,H$2,0))</f>
        <v>0</v>
      </c>
      <c r="I180" s="8">
        <f>IF(ISNA(VLOOKUP($B180,'Other Capital Needs'!$C$51:$P$95,I$2,0)),0,VLOOKUP($B180,'Other Capital Needs'!$C$51:$P$95,I$2,0))+IF(ISNA(VLOOKUP('Project Details by Yr - MASTER'!$B180,'Public Grounds'!$A$11:$N$49,I$2,0)),0,VLOOKUP('Project Details by Yr - MASTER'!$B180,'Public Grounds'!$A$11:$N$49,I$2,0))+IF(ISNA(VLOOKUP('Project Details by Yr - MASTER'!$B180,'Public Buildings'!$A$10:$N$96,I$2,0)),0,VLOOKUP('Project Details by Yr - MASTER'!$B180,'Public Buildings'!$A$10:$N$96,I$2,0))+IF(ISNA(VLOOKUP('Project Details by Yr - MASTER'!$B180,Bridges!$A$9:$N$24,I$2,0)),0,VLOOKUP('Project Details by Yr - MASTER'!$B180,Bridges!$A$9:$N$24,I$2,0))+IF(ISNA(VLOOKUP('Project Details by Yr - MASTER'!$B180,'Parking Lots &amp; Playgrounds'!$A$9:$N$33,I$2,0)),0,VLOOKUP('Project Details by Yr - MASTER'!$B180,'Parking Lots &amp; Playgrounds'!$A$9:$N$33,I$2,0))+IF(ISNA(VLOOKUP($B180,Vehicles!$B$9:$O$50,I$2,0)),0,VLOOKUP($B180,Vehicles!$B$9:$O$50,I$2,0))</f>
        <v>0</v>
      </c>
      <c r="J180" s="8">
        <f>IF(ISNA(VLOOKUP($B180,'Other Capital Needs'!$C$51:$P$95,J$2,0)),0,VLOOKUP($B180,'Other Capital Needs'!$C$51:$P$95,J$2,0))+IF(ISNA(VLOOKUP('Project Details by Yr - MASTER'!$B180,'Public Grounds'!$A$11:$N$49,J$2,0)),0,VLOOKUP('Project Details by Yr - MASTER'!$B180,'Public Grounds'!$A$11:$N$49,J$2,0))+IF(ISNA(VLOOKUP('Project Details by Yr - MASTER'!$B180,'Public Buildings'!$A$10:$N$96,J$2,0)),0,VLOOKUP('Project Details by Yr - MASTER'!$B180,'Public Buildings'!$A$10:$N$96,J$2,0))+IF(ISNA(VLOOKUP('Project Details by Yr - MASTER'!$B180,Bridges!$A$9:$N$24,J$2,0)),0,VLOOKUP('Project Details by Yr - MASTER'!$B180,Bridges!$A$9:$N$24,J$2,0))+IF(ISNA(VLOOKUP('Project Details by Yr - MASTER'!$B180,'Parking Lots &amp; Playgrounds'!$A$9:$N$33,J$2,0)),0,VLOOKUP('Project Details by Yr - MASTER'!$B180,'Parking Lots &amp; Playgrounds'!$A$9:$N$33,J$2,0))+IF(ISNA(VLOOKUP($B180,Vehicles!$B$9:$O$50,J$2,0)),0,VLOOKUP($B180,Vehicles!$B$9:$O$50,J$2,0))</f>
        <v>50000</v>
      </c>
      <c r="K180" s="8">
        <f>IF(ISNA(VLOOKUP($B180,'Other Capital Needs'!$C$51:$P$95,K$2,0)),0,VLOOKUP($B180,'Other Capital Needs'!$C$51:$P$95,K$2,0))+IF(ISNA(VLOOKUP('Project Details by Yr - MASTER'!$B180,'Public Grounds'!$A$11:$N$49,K$2,0)),0,VLOOKUP('Project Details by Yr - MASTER'!$B180,'Public Grounds'!$A$11:$N$49,K$2,0))+IF(ISNA(VLOOKUP('Project Details by Yr - MASTER'!$B180,'Public Buildings'!$A$10:$N$96,K$2,0)),0,VLOOKUP('Project Details by Yr - MASTER'!$B180,'Public Buildings'!$A$10:$N$96,K$2,0))+IF(ISNA(VLOOKUP('Project Details by Yr - MASTER'!$B180,Bridges!$A$9:$N$24,K$2,0)),0,VLOOKUP('Project Details by Yr - MASTER'!$B180,Bridges!$A$9:$N$24,K$2,0))+IF(ISNA(VLOOKUP('Project Details by Yr - MASTER'!$B180,'Parking Lots &amp; Playgrounds'!$A$9:$N$33,K$2,0)),0,VLOOKUP('Project Details by Yr - MASTER'!$B180,'Parking Lots &amp; Playgrounds'!$A$9:$N$33,K$2,0))+IF(ISNA(VLOOKUP($B180,Vehicles!$B$9:$O$50,K$2,0)),0,VLOOKUP($B180,Vehicles!$B$9:$O$50,K$2,0))</f>
        <v>0</v>
      </c>
    </row>
    <row r="181" spans="2:11" x14ac:dyDescent="0.25">
      <c r="B181" t="s">
        <v>139</v>
      </c>
      <c r="C181" t="s">
        <v>49</v>
      </c>
      <c r="D181" t="s">
        <v>273</v>
      </c>
      <c r="E181" s="1" t="s">
        <v>16</v>
      </c>
      <c r="G181" s="8">
        <f>IF(ISNA(VLOOKUP($B181,'Other Capital Needs'!$C$51:$P$95,G$2,0)),0,VLOOKUP($B181,'Other Capital Needs'!$C$51:$P$95,G$2,0))+IF(ISNA(VLOOKUP('Project Details by Yr - MASTER'!$B181,'Public Grounds'!$A$11:$N$49,G$2,0)),0,VLOOKUP('Project Details by Yr - MASTER'!$B181,'Public Grounds'!$A$11:$N$49,G$2,0))+IF(ISNA(VLOOKUP('Project Details by Yr - MASTER'!$B181,'Public Buildings'!$A$10:$N$96,G$2,0)),0,VLOOKUP('Project Details by Yr - MASTER'!$B181,'Public Buildings'!$A$10:$N$96,G$2,0))+IF(ISNA(VLOOKUP('Project Details by Yr - MASTER'!$B181,Bridges!$A$9:$N$24,G$2,0)),0,VLOOKUP('Project Details by Yr - MASTER'!$B181,Bridges!$A$9:$N$24,G$2,0))+IF(ISNA(VLOOKUP('Project Details by Yr - MASTER'!$B181,'Parking Lots &amp; Playgrounds'!$A$9:$N$33,G$2,0)),0,VLOOKUP('Project Details by Yr - MASTER'!$B181,'Parking Lots &amp; Playgrounds'!$A$9:$N$33,G$2,0))+IF(ISNA(VLOOKUP($B181,Vehicles!$B$9:$O$50,G$2,0)),0,VLOOKUP($B181,Vehicles!$B$9:$O$50,G$2,0))</f>
        <v>98000</v>
      </c>
      <c r="H181" s="8">
        <f>IF(ISNA(VLOOKUP($B181,'Other Capital Needs'!$C$51:$P$95,H$2,0)),0,VLOOKUP($B181,'Other Capital Needs'!$C$51:$P$95,H$2,0))+IF(ISNA(VLOOKUP('Project Details by Yr - MASTER'!$B181,'Public Grounds'!$A$11:$N$49,H$2,0)),0,VLOOKUP('Project Details by Yr - MASTER'!$B181,'Public Grounds'!$A$11:$N$49,H$2,0))+IF(ISNA(VLOOKUP('Project Details by Yr - MASTER'!$B181,'Public Buildings'!$A$10:$N$96,H$2,0)),0,VLOOKUP('Project Details by Yr - MASTER'!$B181,'Public Buildings'!$A$10:$N$96,H$2,0))+IF(ISNA(VLOOKUP('Project Details by Yr - MASTER'!$B181,Bridges!$A$9:$N$24,H$2,0)),0,VLOOKUP('Project Details by Yr - MASTER'!$B181,Bridges!$A$9:$N$24,H$2,0))+IF(ISNA(VLOOKUP('Project Details by Yr - MASTER'!$B181,'Parking Lots &amp; Playgrounds'!$A$9:$N$33,H$2,0)),0,VLOOKUP('Project Details by Yr - MASTER'!$B181,'Parking Lots &amp; Playgrounds'!$A$9:$N$33,H$2,0))+IF(ISNA(VLOOKUP($B181,Vehicles!$B$9:$O$50,H$2,0)),0,VLOOKUP($B181,Vehicles!$B$9:$O$50,H$2,0))</f>
        <v>44588</v>
      </c>
      <c r="I181" s="8">
        <f>IF(ISNA(VLOOKUP($B181,'Other Capital Needs'!$C$51:$P$95,I$2,0)),0,VLOOKUP($B181,'Other Capital Needs'!$C$51:$P$95,I$2,0))+IF(ISNA(VLOOKUP('Project Details by Yr - MASTER'!$B181,'Public Grounds'!$A$11:$N$49,I$2,0)),0,VLOOKUP('Project Details by Yr - MASTER'!$B181,'Public Grounds'!$A$11:$N$49,I$2,0))+IF(ISNA(VLOOKUP('Project Details by Yr - MASTER'!$B181,'Public Buildings'!$A$10:$N$96,I$2,0)),0,VLOOKUP('Project Details by Yr - MASTER'!$B181,'Public Buildings'!$A$10:$N$96,I$2,0))+IF(ISNA(VLOOKUP('Project Details by Yr - MASTER'!$B181,Bridges!$A$9:$N$24,I$2,0)),0,VLOOKUP('Project Details by Yr - MASTER'!$B181,Bridges!$A$9:$N$24,I$2,0))+IF(ISNA(VLOOKUP('Project Details by Yr - MASTER'!$B181,'Parking Lots &amp; Playgrounds'!$A$9:$N$33,I$2,0)),0,VLOOKUP('Project Details by Yr - MASTER'!$B181,'Parking Lots &amp; Playgrounds'!$A$9:$N$33,I$2,0))+IF(ISNA(VLOOKUP($B181,Vehicles!$B$9:$O$50,I$2,0)),0,VLOOKUP($B181,Vehicles!$B$9:$O$50,I$2,0))</f>
        <v>98655</v>
      </c>
      <c r="J181" s="8">
        <f>IF(ISNA(VLOOKUP($B181,'Other Capital Needs'!$C$51:$P$95,J$2,0)),0,VLOOKUP($B181,'Other Capital Needs'!$C$51:$P$95,J$2,0))+IF(ISNA(VLOOKUP('Project Details by Yr - MASTER'!$B181,'Public Grounds'!$A$11:$N$49,J$2,0)),0,VLOOKUP('Project Details by Yr - MASTER'!$B181,'Public Grounds'!$A$11:$N$49,J$2,0))+IF(ISNA(VLOOKUP('Project Details by Yr - MASTER'!$B181,'Public Buildings'!$A$10:$N$96,J$2,0)),0,VLOOKUP('Project Details by Yr - MASTER'!$B181,'Public Buildings'!$A$10:$N$96,J$2,0))+IF(ISNA(VLOOKUP('Project Details by Yr - MASTER'!$B181,Bridges!$A$9:$N$24,J$2,0)),0,VLOOKUP('Project Details by Yr - MASTER'!$B181,Bridges!$A$9:$N$24,J$2,0))+IF(ISNA(VLOOKUP('Project Details by Yr - MASTER'!$B181,'Parking Lots &amp; Playgrounds'!$A$9:$N$33,J$2,0)),0,VLOOKUP('Project Details by Yr - MASTER'!$B181,'Parking Lots &amp; Playgrounds'!$A$9:$N$33,J$2,0))+IF(ISNA(VLOOKUP($B181,Vehicles!$B$9:$O$50,J$2,0)),0,VLOOKUP($B181,Vehicles!$B$9:$O$50,J$2,0))</f>
        <v>41718</v>
      </c>
      <c r="K181" s="8">
        <f>IF(ISNA(VLOOKUP($B181,'Other Capital Needs'!$C$51:$P$95,K$2,0)),0,VLOOKUP($B181,'Other Capital Needs'!$C$51:$P$95,K$2,0))+IF(ISNA(VLOOKUP('Project Details by Yr - MASTER'!$B181,'Public Grounds'!$A$11:$N$49,K$2,0)),0,VLOOKUP('Project Details by Yr - MASTER'!$B181,'Public Grounds'!$A$11:$N$49,K$2,0))+IF(ISNA(VLOOKUP('Project Details by Yr - MASTER'!$B181,'Public Buildings'!$A$10:$N$96,K$2,0)),0,VLOOKUP('Project Details by Yr - MASTER'!$B181,'Public Buildings'!$A$10:$N$96,K$2,0))+IF(ISNA(VLOOKUP('Project Details by Yr - MASTER'!$B181,Bridges!$A$9:$N$24,K$2,0)),0,VLOOKUP('Project Details by Yr - MASTER'!$B181,Bridges!$A$9:$N$24,K$2,0))+IF(ISNA(VLOOKUP('Project Details by Yr - MASTER'!$B181,'Parking Lots &amp; Playgrounds'!$A$9:$N$33,K$2,0)),0,VLOOKUP('Project Details by Yr - MASTER'!$B181,'Parking Lots &amp; Playgrounds'!$A$9:$N$33,K$2,0))+IF(ISNA(VLOOKUP($B181,Vehicles!$B$9:$O$50,K$2,0)),0,VLOOKUP($B181,Vehicles!$B$9:$O$50,K$2,0))</f>
        <v>43604</v>
      </c>
    </row>
    <row r="182" spans="2:11" x14ac:dyDescent="0.25">
      <c r="B182" t="s">
        <v>140</v>
      </c>
      <c r="C182" t="s">
        <v>49</v>
      </c>
      <c r="D182" t="s">
        <v>273</v>
      </c>
      <c r="E182" s="1" t="s">
        <v>16</v>
      </c>
      <c r="G182" s="8">
        <f>IF(ISNA(VLOOKUP($B182,'Other Capital Needs'!$C$51:$P$95,G$2,0)),0,VLOOKUP($B182,'Other Capital Needs'!$C$51:$P$95,G$2,0))+IF(ISNA(VLOOKUP('Project Details by Yr - MASTER'!$B182,'Public Grounds'!$A$11:$N$49,G$2,0)),0,VLOOKUP('Project Details by Yr - MASTER'!$B182,'Public Grounds'!$A$11:$N$49,G$2,0))+IF(ISNA(VLOOKUP('Project Details by Yr - MASTER'!$B182,'Public Buildings'!$A$10:$N$96,G$2,0)),0,VLOOKUP('Project Details by Yr - MASTER'!$B182,'Public Buildings'!$A$10:$N$96,G$2,0))+IF(ISNA(VLOOKUP('Project Details by Yr - MASTER'!$B182,Bridges!$A$9:$N$24,G$2,0)),0,VLOOKUP('Project Details by Yr - MASTER'!$B182,Bridges!$A$9:$N$24,G$2,0))+IF(ISNA(VLOOKUP('Project Details by Yr - MASTER'!$B182,'Parking Lots &amp; Playgrounds'!$A$9:$N$33,G$2,0)),0,VLOOKUP('Project Details by Yr - MASTER'!$B182,'Parking Lots &amp; Playgrounds'!$A$9:$N$33,G$2,0))+IF(ISNA(VLOOKUP($B182,Vehicles!$B$9:$O$50,G$2,0)),0,VLOOKUP($B182,Vehicles!$B$9:$O$50,G$2,0))</f>
        <v>0</v>
      </c>
      <c r="H182" s="8">
        <f>IF(ISNA(VLOOKUP($B182,'Other Capital Needs'!$C$51:$P$95,H$2,0)),0,VLOOKUP($B182,'Other Capital Needs'!$C$51:$P$95,H$2,0))+IF(ISNA(VLOOKUP('Project Details by Yr - MASTER'!$B182,'Public Grounds'!$A$11:$N$49,H$2,0)),0,VLOOKUP('Project Details by Yr - MASTER'!$B182,'Public Grounds'!$A$11:$N$49,H$2,0))+IF(ISNA(VLOOKUP('Project Details by Yr - MASTER'!$B182,'Public Buildings'!$A$10:$N$96,H$2,0)),0,VLOOKUP('Project Details by Yr - MASTER'!$B182,'Public Buildings'!$A$10:$N$96,H$2,0))+IF(ISNA(VLOOKUP('Project Details by Yr - MASTER'!$B182,Bridges!$A$9:$N$24,H$2,0)),0,VLOOKUP('Project Details by Yr - MASTER'!$B182,Bridges!$A$9:$N$24,H$2,0))+IF(ISNA(VLOOKUP('Project Details by Yr - MASTER'!$B182,'Parking Lots &amp; Playgrounds'!$A$9:$N$33,H$2,0)),0,VLOOKUP('Project Details by Yr - MASTER'!$B182,'Parking Lots &amp; Playgrounds'!$A$9:$N$33,H$2,0))+IF(ISNA(VLOOKUP($B182,Vehicles!$B$9:$O$50,H$2,0)),0,VLOOKUP($B182,Vehicles!$B$9:$O$50,H$2,0))</f>
        <v>0</v>
      </c>
      <c r="I182" s="8">
        <f>IF(ISNA(VLOOKUP($B182,'Other Capital Needs'!$C$51:$P$95,I$2,0)),0,VLOOKUP($B182,'Other Capital Needs'!$C$51:$P$95,I$2,0))+IF(ISNA(VLOOKUP('Project Details by Yr - MASTER'!$B182,'Public Grounds'!$A$11:$N$49,I$2,0)),0,VLOOKUP('Project Details by Yr - MASTER'!$B182,'Public Grounds'!$A$11:$N$49,I$2,0))+IF(ISNA(VLOOKUP('Project Details by Yr - MASTER'!$B182,'Public Buildings'!$A$10:$N$96,I$2,0)),0,VLOOKUP('Project Details by Yr - MASTER'!$B182,'Public Buildings'!$A$10:$N$96,I$2,0))+IF(ISNA(VLOOKUP('Project Details by Yr - MASTER'!$B182,Bridges!$A$9:$N$24,I$2,0)),0,VLOOKUP('Project Details by Yr - MASTER'!$B182,Bridges!$A$9:$N$24,I$2,0))+IF(ISNA(VLOOKUP('Project Details by Yr - MASTER'!$B182,'Parking Lots &amp; Playgrounds'!$A$9:$N$33,I$2,0)),0,VLOOKUP('Project Details by Yr - MASTER'!$B182,'Parking Lots &amp; Playgrounds'!$A$9:$N$33,I$2,0))+IF(ISNA(VLOOKUP($B182,Vehicles!$B$9:$O$50,I$2,0)),0,VLOOKUP($B182,Vehicles!$B$9:$O$50,I$2,0))</f>
        <v>0</v>
      </c>
      <c r="J182" s="8">
        <f>IF(ISNA(VLOOKUP($B182,'Other Capital Needs'!$C$51:$P$95,J$2,0)),0,VLOOKUP($B182,'Other Capital Needs'!$C$51:$P$95,J$2,0))+IF(ISNA(VLOOKUP('Project Details by Yr - MASTER'!$B182,'Public Grounds'!$A$11:$N$49,J$2,0)),0,VLOOKUP('Project Details by Yr - MASTER'!$B182,'Public Grounds'!$A$11:$N$49,J$2,0))+IF(ISNA(VLOOKUP('Project Details by Yr - MASTER'!$B182,'Public Buildings'!$A$10:$N$96,J$2,0)),0,VLOOKUP('Project Details by Yr - MASTER'!$B182,'Public Buildings'!$A$10:$N$96,J$2,0))+IF(ISNA(VLOOKUP('Project Details by Yr - MASTER'!$B182,Bridges!$A$9:$N$24,J$2,0)),0,VLOOKUP('Project Details by Yr - MASTER'!$B182,Bridges!$A$9:$N$24,J$2,0))+IF(ISNA(VLOOKUP('Project Details by Yr - MASTER'!$B182,'Parking Lots &amp; Playgrounds'!$A$9:$N$33,J$2,0)),0,VLOOKUP('Project Details by Yr - MASTER'!$B182,'Parking Lots &amp; Playgrounds'!$A$9:$N$33,J$2,0))+IF(ISNA(VLOOKUP($B182,Vehicles!$B$9:$O$50,J$2,0)),0,VLOOKUP($B182,Vehicles!$B$9:$O$50,J$2,0))</f>
        <v>0</v>
      </c>
      <c r="K182" s="8">
        <f>IF(ISNA(VLOOKUP($B182,'Other Capital Needs'!$C$51:$P$95,K$2,0)),0,VLOOKUP($B182,'Other Capital Needs'!$C$51:$P$95,K$2,0))+IF(ISNA(VLOOKUP('Project Details by Yr - MASTER'!$B182,'Public Grounds'!$A$11:$N$49,K$2,0)),0,VLOOKUP('Project Details by Yr - MASTER'!$B182,'Public Grounds'!$A$11:$N$49,K$2,0))+IF(ISNA(VLOOKUP('Project Details by Yr - MASTER'!$B182,'Public Buildings'!$A$10:$N$96,K$2,0)),0,VLOOKUP('Project Details by Yr - MASTER'!$B182,'Public Buildings'!$A$10:$N$96,K$2,0))+IF(ISNA(VLOOKUP('Project Details by Yr - MASTER'!$B182,Bridges!$A$9:$N$24,K$2,0)),0,VLOOKUP('Project Details by Yr - MASTER'!$B182,Bridges!$A$9:$N$24,K$2,0))+IF(ISNA(VLOOKUP('Project Details by Yr - MASTER'!$B182,'Parking Lots &amp; Playgrounds'!$A$9:$N$33,K$2,0)),0,VLOOKUP('Project Details by Yr - MASTER'!$B182,'Parking Lots &amp; Playgrounds'!$A$9:$N$33,K$2,0))+IF(ISNA(VLOOKUP($B182,Vehicles!$B$9:$O$50,K$2,0)),0,VLOOKUP($B182,Vehicles!$B$9:$O$50,K$2,0))</f>
        <v>0</v>
      </c>
    </row>
    <row r="183" spans="2:11" x14ac:dyDescent="0.25">
      <c r="B183" t="s">
        <v>141</v>
      </c>
      <c r="C183" t="s">
        <v>49</v>
      </c>
      <c r="D183" t="s">
        <v>273</v>
      </c>
      <c r="E183" s="1" t="s">
        <v>16</v>
      </c>
      <c r="G183" s="8">
        <f>IF(ISNA(VLOOKUP($B183,'Other Capital Needs'!$C$51:$P$95,G$2,0)),0,VLOOKUP($B183,'Other Capital Needs'!$C$51:$P$95,G$2,0))+IF(ISNA(VLOOKUP('Project Details by Yr - MASTER'!$B183,'Public Grounds'!$A$11:$N$49,G$2,0)),0,VLOOKUP('Project Details by Yr - MASTER'!$B183,'Public Grounds'!$A$11:$N$49,G$2,0))+IF(ISNA(VLOOKUP('Project Details by Yr - MASTER'!$B183,'Public Buildings'!$A$10:$N$96,G$2,0)),0,VLOOKUP('Project Details by Yr - MASTER'!$B183,'Public Buildings'!$A$10:$N$96,G$2,0))+IF(ISNA(VLOOKUP('Project Details by Yr - MASTER'!$B183,Bridges!$A$9:$N$24,G$2,0)),0,VLOOKUP('Project Details by Yr - MASTER'!$B183,Bridges!$A$9:$N$24,G$2,0))+IF(ISNA(VLOOKUP('Project Details by Yr - MASTER'!$B183,'Parking Lots &amp; Playgrounds'!$A$9:$N$33,G$2,0)),0,VLOOKUP('Project Details by Yr - MASTER'!$B183,'Parking Lots &amp; Playgrounds'!$A$9:$N$33,G$2,0))+IF(ISNA(VLOOKUP($B183,Vehicles!$B$9:$O$50,G$2,0)),0,VLOOKUP($B183,Vehicles!$B$9:$O$50,G$2,0))</f>
        <v>0</v>
      </c>
      <c r="H183" s="8">
        <f>IF(ISNA(VLOOKUP($B183,'Other Capital Needs'!$C$51:$P$95,H$2,0)),0,VLOOKUP($B183,'Other Capital Needs'!$C$51:$P$95,H$2,0))+IF(ISNA(VLOOKUP('Project Details by Yr - MASTER'!$B183,'Public Grounds'!$A$11:$N$49,H$2,0)),0,VLOOKUP('Project Details by Yr - MASTER'!$B183,'Public Grounds'!$A$11:$N$49,H$2,0))+IF(ISNA(VLOOKUP('Project Details by Yr - MASTER'!$B183,'Public Buildings'!$A$10:$N$96,H$2,0)),0,VLOOKUP('Project Details by Yr - MASTER'!$B183,'Public Buildings'!$A$10:$N$96,H$2,0))+IF(ISNA(VLOOKUP('Project Details by Yr - MASTER'!$B183,Bridges!$A$9:$N$24,H$2,0)),0,VLOOKUP('Project Details by Yr - MASTER'!$B183,Bridges!$A$9:$N$24,H$2,0))+IF(ISNA(VLOOKUP('Project Details by Yr - MASTER'!$B183,'Parking Lots &amp; Playgrounds'!$A$9:$N$33,H$2,0)),0,VLOOKUP('Project Details by Yr - MASTER'!$B183,'Parking Lots &amp; Playgrounds'!$A$9:$N$33,H$2,0))+IF(ISNA(VLOOKUP($B183,Vehicles!$B$9:$O$50,H$2,0)),0,VLOOKUP($B183,Vehicles!$B$9:$O$50,H$2,0))</f>
        <v>0</v>
      </c>
      <c r="I183" s="8">
        <f>IF(ISNA(VLOOKUP($B183,'Other Capital Needs'!$C$51:$P$95,I$2,0)),0,VLOOKUP($B183,'Other Capital Needs'!$C$51:$P$95,I$2,0))+IF(ISNA(VLOOKUP('Project Details by Yr - MASTER'!$B183,'Public Grounds'!$A$11:$N$49,I$2,0)),0,VLOOKUP('Project Details by Yr - MASTER'!$B183,'Public Grounds'!$A$11:$N$49,I$2,0))+IF(ISNA(VLOOKUP('Project Details by Yr - MASTER'!$B183,'Public Buildings'!$A$10:$N$96,I$2,0)),0,VLOOKUP('Project Details by Yr - MASTER'!$B183,'Public Buildings'!$A$10:$N$96,I$2,0))+IF(ISNA(VLOOKUP('Project Details by Yr - MASTER'!$B183,Bridges!$A$9:$N$24,I$2,0)),0,VLOOKUP('Project Details by Yr - MASTER'!$B183,Bridges!$A$9:$N$24,I$2,0))+IF(ISNA(VLOOKUP('Project Details by Yr - MASTER'!$B183,'Parking Lots &amp; Playgrounds'!$A$9:$N$33,I$2,0)),0,VLOOKUP('Project Details by Yr - MASTER'!$B183,'Parking Lots &amp; Playgrounds'!$A$9:$N$33,I$2,0))+IF(ISNA(VLOOKUP($B183,Vehicles!$B$9:$O$50,I$2,0)),0,VLOOKUP($B183,Vehicles!$B$9:$O$50,I$2,0))</f>
        <v>0</v>
      </c>
      <c r="J183" s="8">
        <f>IF(ISNA(VLOOKUP($B183,'Other Capital Needs'!$C$51:$P$95,J$2,0)),0,VLOOKUP($B183,'Other Capital Needs'!$C$51:$P$95,J$2,0))+IF(ISNA(VLOOKUP('Project Details by Yr - MASTER'!$B183,'Public Grounds'!$A$11:$N$49,J$2,0)),0,VLOOKUP('Project Details by Yr - MASTER'!$B183,'Public Grounds'!$A$11:$N$49,J$2,0))+IF(ISNA(VLOOKUP('Project Details by Yr - MASTER'!$B183,'Public Buildings'!$A$10:$N$96,J$2,0)),0,VLOOKUP('Project Details by Yr - MASTER'!$B183,'Public Buildings'!$A$10:$N$96,J$2,0))+IF(ISNA(VLOOKUP('Project Details by Yr - MASTER'!$B183,Bridges!$A$9:$N$24,J$2,0)),0,VLOOKUP('Project Details by Yr - MASTER'!$B183,Bridges!$A$9:$N$24,J$2,0))+IF(ISNA(VLOOKUP('Project Details by Yr - MASTER'!$B183,'Parking Lots &amp; Playgrounds'!$A$9:$N$33,J$2,0)),0,VLOOKUP('Project Details by Yr - MASTER'!$B183,'Parking Lots &amp; Playgrounds'!$A$9:$N$33,J$2,0))+IF(ISNA(VLOOKUP($B183,Vehicles!$B$9:$O$50,J$2,0)),0,VLOOKUP($B183,Vehicles!$B$9:$O$50,J$2,0))</f>
        <v>0</v>
      </c>
      <c r="K183" s="8">
        <f>IF(ISNA(VLOOKUP($B183,'Other Capital Needs'!$C$51:$P$95,K$2,0)),0,VLOOKUP($B183,'Other Capital Needs'!$C$51:$P$95,K$2,0))+IF(ISNA(VLOOKUP('Project Details by Yr - MASTER'!$B183,'Public Grounds'!$A$11:$N$49,K$2,0)),0,VLOOKUP('Project Details by Yr - MASTER'!$B183,'Public Grounds'!$A$11:$N$49,K$2,0))+IF(ISNA(VLOOKUP('Project Details by Yr - MASTER'!$B183,'Public Buildings'!$A$10:$N$96,K$2,0)),0,VLOOKUP('Project Details by Yr - MASTER'!$B183,'Public Buildings'!$A$10:$N$96,K$2,0))+IF(ISNA(VLOOKUP('Project Details by Yr - MASTER'!$B183,Bridges!$A$9:$N$24,K$2,0)),0,VLOOKUP('Project Details by Yr - MASTER'!$B183,Bridges!$A$9:$N$24,K$2,0))+IF(ISNA(VLOOKUP('Project Details by Yr - MASTER'!$B183,'Parking Lots &amp; Playgrounds'!$A$9:$N$33,K$2,0)),0,VLOOKUP('Project Details by Yr - MASTER'!$B183,'Parking Lots &amp; Playgrounds'!$A$9:$N$33,K$2,0))+IF(ISNA(VLOOKUP($B183,Vehicles!$B$9:$O$50,K$2,0)),0,VLOOKUP($B183,Vehicles!$B$9:$O$50,K$2,0))</f>
        <v>0</v>
      </c>
    </row>
    <row r="184" spans="2:11" x14ac:dyDescent="0.25">
      <c r="E184" s="1"/>
      <c r="G184" s="8"/>
      <c r="H184" s="8"/>
      <c r="I184" s="8"/>
      <c r="J184" s="8"/>
      <c r="K184" s="8"/>
    </row>
    <row r="185" spans="2:11" x14ac:dyDescent="0.25">
      <c r="B185" s="33" t="s">
        <v>274</v>
      </c>
      <c r="C185" s="33" t="s">
        <v>250</v>
      </c>
      <c r="D185" s="33" t="s">
        <v>272</v>
      </c>
      <c r="E185" s="1" t="s">
        <v>16</v>
      </c>
      <c r="G185" s="8">
        <f>Summary!E38</f>
        <v>0</v>
      </c>
      <c r="H185" s="8">
        <f>Summary!F38</f>
        <v>0</v>
      </c>
      <c r="I185" s="8">
        <f>Summary!G38</f>
        <v>1500000</v>
      </c>
      <c r="J185" s="8">
        <f>Summary!H38</f>
        <v>1500000</v>
      </c>
      <c r="K185" s="8">
        <f>Summary!I38</f>
        <v>1500000</v>
      </c>
    </row>
    <row r="186" spans="2:11" x14ac:dyDescent="0.25">
      <c r="B186" s="33" t="s">
        <v>274</v>
      </c>
      <c r="C186" s="33" t="s">
        <v>250</v>
      </c>
      <c r="D186" s="33" t="s">
        <v>272</v>
      </c>
      <c r="E186" s="1" t="s">
        <v>19</v>
      </c>
      <c r="G186" s="8">
        <f>Summary!E41</f>
        <v>1500000</v>
      </c>
      <c r="H186" s="8">
        <f>Summary!F41</f>
        <v>1500000</v>
      </c>
      <c r="I186" s="8">
        <f>Summary!G41</f>
        <v>0</v>
      </c>
      <c r="J186" s="8">
        <f>Summary!H41</f>
        <v>0</v>
      </c>
      <c r="K186" s="8">
        <f>Summary!I41</f>
        <v>0</v>
      </c>
    </row>
    <row r="187" spans="2:11" x14ac:dyDescent="0.25">
      <c r="B187" t="s">
        <v>77</v>
      </c>
      <c r="C187" t="s">
        <v>48</v>
      </c>
      <c r="D187" t="s">
        <v>272</v>
      </c>
      <c r="E187" s="1" t="s">
        <v>19</v>
      </c>
      <c r="G187" s="8">
        <f>IF(ISNA(VLOOKUP($B187,'Other Capital Needs'!$C$51:$P$95,G$2,0)),0,VLOOKUP($B187,'Other Capital Needs'!$C$51:$P$95,G$2,0))+IF(ISNA(VLOOKUP('Project Details by Yr - MASTER'!$B187,'Public Grounds'!$A$11:$N$49,G$2,0)),0,VLOOKUP('Project Details by Yr - MASTER'!$B187,'Public Grounds'!$A$11:$N$49,G$2,0))+IF(ISNA(VLOOKUP('Project Details by Yr - MASTER'!$B187,'Public Buildings'!$A$10:$N$96,G$2,0)),0,VLOOKUP('Project Details by Yr - MASTER'!$B187,'Public Buildings'!$A$10:$N$96,G$2,0))+IF(ISNA(VLOOKUP('Project Details by Yr - MASTER'!$B187,Bridges!$A$9:$N$24,G$2,0)),0,VLOOKUP('Project Details by Yr - MASTER'!$B187,Bridges!$A$9:$N$24,G$2,0))+IF(ISNA(VLOOKUP('Project Details by Yr - MASTER'!$B187,'Parking Lots &amp; Playgrounds'!$A$9:$N$33,G$2,0)),0,VLOOKUP('Project Details by Yr - MASTER'!$B187,'Parking Lots &amp; Playgrounds'!$A$9:$N$33,G$2,0))+IF(ISNA(VLOOKUP($B187,Vehicles!$B$9:$O$50,G$2,0)),0,VLOOKUP($B187,Vehicles!$B$9:$O$50,G$2,0))</f>
        <v>0</v>
      </c>
      <c r="H187" s="8">
        <f>IF(ISNA(VLOOKUP($B187,'Other Capital Needs'!$C$51:$P$95,H$2,0)),0,VLOOKUP($B187,'Other Capital Needs'!$C$51:$P$95,H$2,0))+IF(ISNA(VLOOKUP('Project Details by Yr - MASTER'!$B187,'Public Grounds'!$A$11:$N$49,H$2,0)),0,VLOOKUP('Project Details by Yr - MASTER'!$B187,'Public Grounds'!$A$11:$N$49,H$2,0))+IF(ISNA(VLOOKUP('Project Details by Yr - MASTER'!$B187,'Public Buildings'!$A$10:$N$96,H$2,0)),0,VLOOKUP('Project Details by Yr - MASTER'!$B187,'Public Buildings'!$A$10:$N$96,H$2,0))+IF(ISNA(VLOOKUP('Project Details by Yr - MASTER'!$B187,Bridges!$A$9:$N$24,H$2,0)),0,VLOOKUP('Project Details by Yr - MASTER'!$B187,Bridges!$A$9:$N$24,H$2,0))+IF(ISNA(VLOOKUP('Project Details by Yr - MASTER'!$B187,'Parking Lots &amp; Playgrounds'!$A$9:$N$33,H$2,0)),0,VLOOKUP('Project Details by Yr - MASTER'!$B187,'Parking Lots &amp; Playgrounds'!$A$9:$N$33,H$2,0))+IF(ISNA(VLOOKUP($B187,Vehicles!$B$9:$O$50,H$2,0)),0,VLOOKUP($B187,Vehicles!$B$9:$O$50,H$2,0))</f>
        <v>0</v>
      </c>
      <c r="I187" s="8">
        <f>IF(ISNA(VLOOKUP($B187,'Other Capital Needs'!$C$51:$P$95,I$2,0)),0,VLOOKUP($B187,'Other Capital Needs'!$C$51:$P$95,I$2,0))+IF(ISNA(VLOOKUP('Project Details by Yr - MASTER'!$B187,'Public Grounds'!$A$11:$N$49,I$2,0)),0,VLOOKUP('Project Details by Yr - MASTER'!$B187,'Public Grounds'!$A$11:$N$49,I$2,0))+IF(ISNA(VLOOKUP('Project Details by Yr - MASTER'!$B187,'Public Buildings'!$A$10:$N$96,I$2,0)),0,VLOOKUP('Project Details by Yr - MASTER'!$B187,'Public Buildings'!$A$10:$N$96,I$2,0))+IF(ISNA(VLOOKUP('Project Details by Yr - MASTER'!$B187,Bridges!$A$9:$N$24,I$2,0)),0,VLOOKUP('Project Details by Yr - MASTER'!$B187,Bridges!$A$9:$N$24,I$2,0))+IF(ISNA(VLOOKUP('Project Details by Yr - MASTER'!$B187,'Parking Lots &amp; Playgrounds'!$A$9:$N$33,I$2,0)),0,VLOOKUP('Project Details by Yr - MASTER'!$B187,'Parking Lots &amp; Playgrounds'!$A$9:$N$33,I$2,0))+IF(ISNA(VLOOKUP($B187,Vehicles!$B$9:$O$50,I$2,0)),0,VLOOKUP($B187,Vehicles!$B$9:$O$50,I$2,0))</f>
        <v>0</v>
      </c>
      <c r="J187" s="8">
        <f>IF(ISNA(VLOOKUP($B187,'Other Capital Needs'!$C$51:$P$95,J$2,0)),0,VLOOKUP($B187,'Other Capital Needs'!$C$51:$P$95,J$2,0))+IF(ISNA(VLOOKUP('Project Details by Yr - MASTER'!$B187,'Public Grounds'!$A$11:$N$49,J$2,0)),0,VLOOKUP('Project Details by Yr - MASTER'!$B187,'Public Grounds'!$A$11:$N$49,J$2,0))+IF(ISNA(VLOOKUP('Project Details by Yr - MASTER'!$B187,'Public Buildings'!$A$10:$N$96,J$2,0)),0,VLOOKUP('Project Details by Yr - MASTER'!$B187,'Public Buildings'!$A$10:$N$96,J$2,0))+IF(ISNA(VLOOKUP('Project Details by Yr - MASTER'!$B187,Bridges!$A$9:$N$24,J$2,0)),0,VLOOKUP('Project Details by Yr - MASTER'!$B187,Bridges!$A$9:$N$24,J$2,0))+IF(ISNA(VLOOKUP('Project Details by Yr - MASTER'!$B187,'Parking Lots &amp; Playgrounds'!$A$9:$N$33,J$2,0)),0,VLOOKUP('Project Details by Yr - MASTER'!$B187,'Parking Lots &amp; Playgrounds'!$A$9:$N$33,J$2,0))+IF(ISNA(VLOOKUP($B187,Vehicles!$B$9:$O$50,J$2,0)),0,VLOOKUP($B187,Vehicles!$B$9:$O$50,J$2,0))</f>
        <v>0</v>
      </c>
      <c r="K187" s="8">
        <f>IF(ISNA(VLOOKUP($B187,'Other Capital Needs'!$C$51:$P$95,K$2,0)),0,VLOOKUP($B187,'Other Capital Needs'!$C$51:$P$95,K$2,0))+IF(ISNA(VLOOKUP('Project Details by Yr - MASTER'!$B187,'Public Grounds'!$A$11:$N$49,K$2,0)),0,VLOOKUP('Project Details by Yr - MASTER'!$B187,'Public Grounds'!$A$11:$N$49,K$2,0))+IF(ISNA(VLOOKUP('Project Details by Yr - MASTER'!$B187,'Public Buildings'!$A$10:$N$96,K$2,0)),0,VLOOKUP('Project Details by Yr - MASTER'!$B187,'Public Buildings'!$A$10:$N$96,K$2,0))+IF(ISNA(VLOOKUP('Project Details by Yr - MASTER'!$B187,Bridges!$A$9:$N$24,K$2,0)),0,VLOOKUP('Project Details by Yr - MASTER'!$B187,Bridges!$A$9:$N$24,K$2,0))+IF(ISNA(VLOOKUP('Project Details by Yr - MASTER'!$B187,'Parking Lots &amp; Playgrounds'!$A$9:$N$33,K$2,0)),0,VLOOKUP('Project Details by Yr - MASTER'!$B187,'Parking Lots &amp; Playgrounds'!$A$9:$N$33,K$2,0))+IF(ISNA(VLOOKUP($B187,Vehicles!$B$9:$O$50,K$2,0)),0,VLOOKUP($B187,Vehicles!$B$9:$O$50,K$2,0))</f>
        <v>0</v>
      </c>
    </row>
    <row r="188" spans="2:11" x14ac:dyDescent="0.25">
      <c r="B188" t="s">
        <v>99</v>
      </c>
      <c r="C188" t="s">
        <v>48</v>
      </c>
      <c r="D188" t="s">
        <v>272</v>
      </c>
      <c r="E188" s="1" t="s">
        <v>19</v>
      </c>
      <c r="G188" s="8">
        <f>IF(ISNA(VLOOKUP($B188,'Other Capital Needs'!$C$51:$P$95,G$2,0)),0,VLOOKUP($B188,'Other Capital Needs'!$C$51:$P$95,G$2,0))+IF(ISNA(VLOOKUP('Project Details by Yr - MASTER'!$B188,'Public Grounds'!$A$11:$N$49,G$2,0)),0,VLOOKUP('Project Details by Yr - MASTER'!$B188,'Public Grounds'!$A$11:$N$49,G$2,0))+IF(ISNA(VLOOKUP('Project Details by Yr - MASTER'!$B188,'Public Buildings'!$A$10:$N$96,G$2,0)),0,VLOOKUP('Project Details by Yr - MASTER'!$B188,'Public Buildings'!$A$10:$N$96,G$2,0))+IF(ISNA(VLOOKUP('Project Details by Yr - MASTER'!$B188,Bridges!$A$9:$N$24,G$2,0)),0,VLOOKUP('Project Details by Yr - MASTER'!$B188,Bridges!$A$9:$N$24,G$2,0))+IF(ISNA(VLOOKUP('Project Details by Yr - MASTER'!$B188,'Parking Lots &amp; Playgrounds'!$A$9:$N$33,G$2,0)),0,VLOOKUP('Project Details by Yr - MASTER'!$B188,'Parking Lots &amp; Playgrounds'!$A$9:$N$33,G$2,0))+IF(ISNA(VLOOKUP($B188,Vehicles!$B$9:$O$50,G$2,0)),0,VLOOKUP($B188,Vehicles!$B$9:$O$50,G$2,0))</f>
        <v>0</v>
      </c>
      <c r="H188" s="8">
        <f>IF(ISNA(VLOOKUP($B188,'Other Capital Needs'!$C$51:$P$95,H$2,0)),0,VLOOKUP($B188,'Other Capital Needs'!$C$51:$P$95,H$2,0))+IF(ISNA(VLOOKUP('Project Details by Yr - MASTER'!$B188,'Public Grounds'!$A$11:$N$49,H$2,0)),0,VLOOKUP('Project Details by Yr - MASTER'!$B188,'Public Grounds'!$A$11:$N$49,H$2,0))+IF(ISNA(VLOOKUP('Project Details by Yr - MASTER'!$B188,'Public Buildings'!$A$10:$N$96,H$2,0)),0,VLOOKUP('Project Details by Yr - MASTER'!$B188,'Public Buildings'!$A$10:$N$96,H$2,0))+IF(ISNA(VLOOKUP('Project Details by Yr - MASTER'!$B188,Bridges!$A$9:$N$24,H$2,0)),0,VLOOKUP('Project Details by Yr - MASTER'!$B188,Bridges!$A$9:$N$24,H$2,0))+IF(ISNA(VLOOKUP('Project Details by Yr - MASTER'!$B188,'Parking Lots &amp; Playgrounds'!$A$9:$N$33,H$2,0)),0,VLOOKUP('Project Details by Yr - MASTER'!$B188,'Parking Lots &amp; Playgrounds'!$A$9:$N$33,H$2,0))+IF(ISNA(VLOOKUP($B188,Vehicles!$B$9:$O$50,H$2,0)),0,VLOOKUP($B188,Vehicles!$B$9:$O$50,H$2,0))</f>
        <v>1000000</v>
      </c>
      <c r="I188" s="8">
        <f>IF(ISNA(VLOOKUP($B188,'Other Capital Needs'!$C$51:$P$95,I$2,0)),0,VLOOKUP($B188,'Other Capital Needs'!$C$51:$P$95,I$2,0))+IF(ISNA(VLOOKUP('Project Details by Yr - MASTER'!$B188,'Public Grounds'!$A$11:$N$49,I$2,0)),0,VLOOKUP('Project Details by Yr - MASTER'!$B188,'Public Grounds'!$A$11:$N$49,I$2,0))+IF(ISNA(VLOOKUP('Project Details by Yr - MASTER'!$B188,'Public Buildings'!$A$10:$N$96,I$2,0)),0,VLOOKUP('Project Details by Yr - MASTER'!$B188,'Public Buildings'!$A$10:$N$96,I$2,0))+IF(ISNA(VLOOKUP('Project Details by Yr - MASTER'!$B188,Bridges!$A$9:$N$24,I$2,0)),0,VLOOKUP('Project Details by Yr - MASTER'!$B188,Bridges!$A$9:$N$24,I$2,0))+IF(ISNA(VLOOKUP('Project Details by Yr - MASTER'!$B188,'Parking Lots &amp; Playgrounds'!$A$9:$N$33,I$2,0)),0,VLOOKUP('Project Details by Yr - MASTER'!$B188,'Parking Lots &amp; Playgrounds'!$A$9:$N$33,I$2,0))+IF(ISNA(VLOOKUP($B188,Vehicles!$B$9:$O$50,I$2,0)),0,VLOOKUP($B188,Vehicles!$B$9:$O$50,I$2,0))</f>
        <v>0</v>
      </c>
      <c r="J188" s="8">
        <f>IF(ISNA(VLOOKUP($B188,'Other Capital Needs'!$C$51:$P$95,J$2,0)),0,VLOOKUP($B188,'Other Capital Needs'!$C$51:$P$95,J$2,0))+IF(ISNA(VLOOKUP('Project Details by Yr - MASTER'!$B188,'Public Grounds'!$A$11:$N$49,J$2,0)),0,VLOOKUP('Project Details by Yr - MASTER'!$B188,'Public Grounds'!$A$11:$N$49,J$2,0))+IF(ISNA(VLOOKUP('Project Details by Yr - MASTER'!$B188,'Public Buildings'!$A$10:$N$96,J$2,0)),0,VLOOKUP('Project Details by Yr - MASTER'!$B188,'Public Buildings'!$A$10:$N$96,J$2,0))+IF(ISNA(VLOOKUP('Project Details by Yr - MASTER'!$B188,Bridges!$A$9:$N$24,J$2,0)),0,VLOOKUP('Project Details by Yr - MASTER'!$B188,Bridges!$A$9:$N$24,J$2,0))+IF(ISNA(VLOOKUP('Project Details by Yr - MASTER'!$B188,'Parking Lots &amp; Playgrounds'!$A$9:$N$33,J$2,0)),0,VLOOKUP('Project Details by Yr - MASTER'!$B188,'Parking Lots &amp; Playgrounds'!$A$9:$N$33,J$2,0))+IF(ISNA(VLOOKUP($B188,Vehicles!$B$9:$O$50,J$2,0)),0,VLOOKUP($B188,Vehicles!$B$9:$O$50,J$2,0))</f>
        <v>0</v>
      </c>
      <c r="K188" s="8">
        <f>IF(ISNA(VLOOKUP($B188,'Other Capital Needs'!$C$51:$P$95,K$2,0)),0,VLOOKUP($B188,'Other Capital Needs'!$C$51:$P$95,K$2,0))+IF(ISNA(VLOOKUP('Project Details by Yr - MASTER'!$B188,'Public Grounds'!$A$11:$N$49,K$2,0)),0,VLOOKUP('Project Details by Yr - MASTER'!$B188,'Public Grounds'!$A$11:$N$49,K$2,0))+IF(ISNA(VLOOKUP('Project Details by Yr - MASTER'!$B188,'Public Buildings'!$A$10:$N$96,K$2,0)),0,VLOOKUP('Project Details by Yr - MASTER'!$B188,'Public Buildings'!$A$10:$N$96,K$2,0))+IF(ISNA(VLOOKUP('Project Details by Yr - MASTER'!$B188,Bridges!$A$9:$N$24,K$2,0)),0,VLOOKUP('Project Details by Yr - MASTER'!$B188,Bridges!$A$9:$N$24,K$2,0))+IF(ISNA(VLOOKUP('Project Details by Yr - MASTER'!$B188,'Parking Lots &amp; Playgrounds'!$A$9:$N$33,K$2,0)),0,VLOOKUP('Project Details by Yr - MASTER'!$B188,'Parking Lots &amp; Playgrounds'!$A$9:$N$33,K$2,0))+IF(ISNA(VLOOKUP($B188,Vehicles!$B$9:$O$50,K$2,0)),0,VLOOKUP($B188,Vehicles!$B$9:$O$50,K$2,0))</f>
        <v>0</v>
      </c>
    </row>
    <row r="189" spans="2:11" x14ac:dyDescent="0.25">
      <c r="B189" t="s">
        <v>79</v>
      </c>
      <c r="C189" t="s">
        <v>48</v>
      </c>
      <c r="D189" t="s">
        <v>272</v>
      </c>
      <c r="E189" s="1" t="s">
        <v>19</v>
      </c>
      <c r="G189" s="8">
        <f>IF(ISNA(VLOOKUP($B189,'Other Capital Needs'!$C$51:$P$95,G$2,0)),0,VLOOKUP($B189,'Other Capital Needs'!$C$51:$P$95,G$2,0))+IF(ISNA(VLOOKUP('Project Details by Yr - MASTER'!$B189,'Public Grounds'!$A$11:$N$49,G$2,0)),0,VLOOKUP('Project Details by Yr - MASTER'!$B189,'Public Grounds'!$A$11:$N$49,G$2,0))+IF(ISNA(VLOOKUP('Project Details by Yr - MASTER'!$B189,'Public Buildings'!$A$10:$N$96,G$2,0)),0,VLOOKUP('Project Details by Yr - MASTER'!$B189,'Public Buildings'!$A$10:$N$96,G$2,0))+IF(ISNA(VLOOKUP('Project Details by Yr - MASTER'!$B189,Bridges!$A$9:$N$24,G$2,0)),0,VLOOKUP('Project Details by Yr - MASTER'!$B189,Bridges!$A$9:$N$24,G$2,0))+IF(ISNA(VLOOKUP('Project Details by Yr - MASTER'!$B189,'Parking Lots &amp; Playgrounds'!$A$9:$N$33,G$2,0)),0,VLOOKUP('Project Details by Yr - MASTER'!$B189,'Parking Lots &amp; Playgrounds'!$A$9:$N$33,G$2,0))+IF(ISNA(VLOOKUP($B189,Vehicles!$B$9:$O$50,G$2,0)),0,VLOOKUP($B189,Vehicles!$B$9:$O$50,G$2,0))</f>
        <v>0</v>
      </c>
      <c r="H189" s="8">
        <f>IF(ISNA(VLOOKUP($B189,'Other Capital Needs'!$C$51:$P$95,H$2,0)),0,VLOOKUP($B189,'Other Capital Needs'!$C$51:$P$95,H$2,0))+IF(ISNA(VLOOKUP('Project Details by Yr - MASTER'!$B189,'Public Grounds'!$A$11:$N$49,H$2,0)),0,VLOOKUP('Project Details by Yr - MASTER'!$B189,'Public Grounds'!$A$11:$N$49,H$2,0))+IF(ISNA(VLOOKUP('Project Details by Yr - MASTER'!$B189,'Public Buildings'!$A$10:$N$96,H$2,0)),0,VLOOKUP('Project Details by Yr - MASTER'!$B189,'Public Buildings'!$A$10:$N$96,H$2,0))+IF(ISNA(VLOOKUP('Project Details by Yr - MASTER'!$B189,Bridges!$A$9:$N$24,H$2,0)),0,VLOOKUP('Project Details by Yr - MASTER'!$B189,Bridges!$A$9:$N$24,H$2,0))+IF(ISNA(VLOOKUP('Project Details by Yr - MASTER'!$B189,'Parking Lots &amp; Playgrounds'!$A$9:$N$33,H$2,0)),0,VLOOKUP('Project Details by Yr - MASTER'!$B189,'Parking Lots &amp; Playgrounds'!$A$9:$N$33,H$2,0))+IF(ISNA(VLOOKUP($B189,Vehicles!$B$9:$O$50,H$2,0)),0,VLOOKUP($B189,Vehicles!$B$9:$O$50,H$2,0))</f>
        <v>0</v>
      </c>
      <c r="I189" s="8">
        <f>IF(ISNA(VLOOKUP($B189,'Other Capital Needs'!$C$51:$P$95,I$2,0)),0,VLOOKUP($B189,'Other Capital Needs'!$C$51:$P$95,I$2,0))+IF(ISNA(VLOOKUP('Project Details by Yr - MASTER'!$B189,'Public Grounds'!$A$11:$N$49,I$2,0)),0,VLOOKUP('Project Details by Yr - MASTER'!$B189,'Public Grounds'!$A$11:$N$49,I$2,0))+IF(ISNA(VLOOKUP('Project Details by Yr - MASTER'!$B189,'Public Buildings'!$A$10:$N$96,I$2,0)),0,VLOOKUP('Project Details by Yr - MASTER'!$B189,'Public Buildings'!$A$10:$N$96,I$2,0))+IF(ISNA(VLOOKUP('Project Details by Yr - MASTER'!$B189,Bridges!$A$9:$N$24,I$2,0)),0,VLOOKUP('Project Details by Yr - MASTER'!$B189,Bridges!$A$9:$N$24,I$2,0))+IF(ISNA(VLOOKUP('Project Details by Yr - MASTER'!$B189,'Parking Lots &amp; Playgrounds'!$A$9:$N$33,I$2,0)),0,VLOOKUP('Project Details by Yr - MASTER'!$B189,'Parking Lots &amp; Playgrounds'!$A$9:$N$33,I$2,0))+IF(ISNA(VLOOKUP($B189,Vehicles!$B$9:$O$50,I$2,0)),0,VLOOKUP($B189,Vehicles!$B$9:$O$50,I$2,0))</f>
        <v>0</v>
      </c>
      <c r="J189" s="8">
        <f>IF(ISNA(VLOOKUP($B189,'Other Capital Needs'!$C$51:$P$95,J$2,0)),0,VLOOKUP($B189,'Other Capital Needs'!$C$51:$P$95,J$2,0))+IF(ISNA(VLOOKUP('Project Details by Yr - MASTER'!$B189,'Public Grounds'!$A$11:$N$49,J$2,0)),0,VLOOKUP('Project Details by Yr - MASTER'!$B189,'Public Grounds'!$A$11:$N$49,J$2,0))+IF(ISNA(VLOOKUP('Project Details by Yr - MASTER'!$B189,'Public Buildings'!$A$10:$N$96,J$2,0)),0,VLOOKUP('Project Details by Yr - MASTER'!$B189,'Public Buildings'!$A$10:$N$96,J$2,0))+IF(ISNA(VLOOKUP('Project Details by Yr - MASTER'!$B189,Bridges!$A$9:$N$24,J$2,0)),0,VLOOKUP('Project Details by Yr - MASTER'!$B189,Bridges!$A$9:$N$24,J$2,0))+IF(ISNA(VLOOKUP('Project Details by Yr - MASTER'!$B189,'Parking Lots &amp; Playgrounds'!$A$9:$N$33,J$2,0)),0,VLOOKUP('Project Details by Yr - MASTER'!$B189,'Parking Lots &amp; Playgrounds'!$A$9:$N$33,J$2,0))+IF(ISNA(VLOOKUP($B189,Vehicles!$B$9:$O$50,J$2,0)),0,VLOOKUP($B189,Vehicles!$B$9:$O$50,J$2,0))</f>
        <v>0</v>
      </c>
      <c r="K189" s="8">
        <f>IF(ISNA(VLOOKUP($B189,'Other Capital Needs'!$C$51:$P$95,K$2,0)),0,VLOOKUP($B189,'Other Capital Needs'!$C$51:$P$95,K$2,0))+IF(ISNA(VLOOKUP('Project Details by Yr - MASTER'!$B189,'Public Grounds'!$A$11:$N$49,K$2,0)),0,VLOOKUP('Project Details by Yr - MASTER'!$B189,'Public Grounds'!$A$11:$N$49,K$2,0))+IF(ISNA(VLOOKUP('Project Details by Yr - MASTER'!$B189,'Public Buildings'!$A$10:$N$96,K$2,0)),0,VLOOKUP('Project Details by Yr - MASTER'!$B189,'Public Buildings'!$A$10:$N$96,K$2,0))+IF(ISNA(VLOOKUP('Project Details by Yr - MASTER'!$B189,Bridges!$A$9:$N$24,K$2,0)),0,VLOOKUP('Project Details by Yr - MASTER'!$B189,Bridges!$A$9:$N$24,K$2,0))+IF(ISNA(VLOOKUP('Project Details by Yr - MASTER'!$B189,'Parking Lots &amp; Playgrounds'!$A$9:$N$33,K$2,0)),0,VLOOKUP('Project Details by Yr - MASTER'!$B189,'Parking Lots &amp; Playgrounds'!$A$9:$N$33,K$2,0))+IF(ISNA(VLOOKUP($B189,Vehicles!$B$9:$O$50,K$2,0)),0,VLOOKUP($B189,Vehicles!$B$9:$O$50,K$2,0))</f>
        <v>0</v>
      </c>
    </row>
    <row r="190" spans="2:11" x14ac:dyDescent="0.25">
      <c r="B190" t="s">
        <v>78</v>
      </c>
      <c r="C190" t="s">
        <v>48</v>
      </c>
      <c r="D190" t="s">
        <v>272</v>
      </c>
      <c r="E190" s="1" t="s">
        <v>19</v>
      </c>
      <c r="G190" s="8">
        <f>IF(ISNA(VLOOKUP($B190,'Other Capital Needs'!$C$51:$P$95,G$2,0)),0,VLOOKUP($B190,'Other Capital Needs'!$C$51:$P$95,G$2,0))+IF(ISNA(VLOOKUP('Project Details by Yr - MASTER'!$B190,'Public Grounds'!$A$11:$N$49,G$2,0)),0,VLOOKUP('Project Details by Yr - MASTER'!$B190,'Public Grounds'!$A$11:$N$49,G$2,0))+IF(ISNA(VLOOKUP('Project Details by Yr - MASTER'!$B190,'Public Buildings'!$A$10:$N$96,G$2,0)),0,VLOOKUP('Project Details by Yr - MASTER'!$B190,'Public Buildings'!$A$10:$N$96,G$2,0))+IF(ISNA(VLOOKUP('Project Details by Yr - MASTER'!$B190,Bridges!$A$9:$N$24,G$2,0)),0,VLOOKUP('Project Details by Yr - MASTER'!$B190,Bridges!$A$9:$N$24,G$2,0))+IF(ISNA(VLOOKUP('Project Details by Yr - MASTER'!$B190,'Parking Lots &amp; Playgrounds'!$A$9:$N$33,G$2,0)),0,VLOOKUP('Project Details by Yr - MASTER'!$B190,'Parking Lots &amp; Playgrounds'!$A$9:$N$33,G$2,0))+IF(ISNA(VLOOKUP($B190,Vehicles!$B$9:$O$50,G$2,0)),0,VLOOKUP($B190,Vehicles!$B$9:$O$50,G$2,0))</f>
        <v>0</v>
      </c>
      <c r="H190" s="8">
        <f>IF(ISNA(VLOOKUP($B190,'Other Capital Needs'!$C$51:$P$95,H$2,0)),0,VLOOKUP($B190,'Other Capital Needs'!$C$51:$P$95,H$2,0))+IF(ISNA(VLOOKUP('Project Details by Yr - MASTER'!$B190,'Public Grounds'!$A$11:$N$49,H$2,0)),0,VLOOKUP('Project Details by Yr - MASTER'!$B190,'Public Grounds'!$A$11:$N$49,H$2,0))+IF(ISNA(VLOOKUP('Project Details by Yr - MASTER'!$B190,'Public Buildings'!$A$10:$N$96,H$2,0)),0,VLOOKUP('Project Details by Yr - MASTER'!$B190,'Public Buildings'!$A$10:$N$96,H$2,0))+IF(ISNA(VLOOKUP('Project Details by Yr - MASTER'!$B190,Bridges!$A$9:$N$24,H$2,0)),0,VLOOKUP('Project Details by Yr - MASTER'!$B190,Bridges!$A$9:$N$24,H$2,0))+IF(ISNA(VLOOKUP('Project Details by Yr - MASTER'!$B190,'Parking Lots &amp; Playgrounds'!$A$9:$N$33,H$2,0)),0,VLOOKUP('Project Details by Yr - MASTER'!$B190,'Parking Lots &amp; Playgrounds'!$A$9:$N$33,H$2,0))+IF(ISNA(VLOOKUP($B190,Vehicles!$B$9:$O$50,H$2,0)),0,VLOOKUP($B190,Vehicles!$B$9:$O$50,H$2,0))</f>
        <v>0</v>
      </c>
      <c r="I190" s="8">
        <f>IF(ISNA(VLOOKUP($B190,'Other Capital Needs'!$C$51:$P$95,I$2,0)),0,VLOOKUP($B190,'Other Capital Needs'!$C$51:$P$95,I$2,0))+IF(ISNA(VLOOKUP('Project Details by Yr - MASTER'!$B190,'Public Grounds'!$A$11:$N$49,I$2,0)),0,VLOOKUP('Project Details by Yr - MASTER'!$B190,'Public Grounds'!$A$11:$N$49,I$2,0))+IF(ISNA(VLOOKUP('Project Details by Yr - MASTER'!$B190,'Public Buildings'!$A$10:$N$96,I$2,0)),0,VLOOKUP('Project Details by Yr - MASTER'!$B190,'Public Buildings'!$A$10:$N$96,I$2,0))+IF(ISNA(VLOOKUP('Project Details by Yr - MASTER'!$B190,Bridges!$A$9:$N$24,I$2,0)),0,VLOOKUP('Project Details by Yr - MASTER'!$B190,Bridges!$A$9:$N$24,I$2,0))+IF(ISNA(VLOOKUP('Project Details by Yr - MASTER'!$B190,'Parking Lots &amp; Playgrounds'!$A$9:$N$33,I$2,0)),0,VLOOKUP('Project Details by Yr - MASTER'!$B190,'Parking Lots &amp; Playgrounds'!$A$9:$N$33,I$2,0))+IF(ISNA(VLOOKUP($B190,Vehicles!$B$9:$O$50,I$2,0)),0,VLOOKUP($B190,Vehicles!$B$9:$O$50,I$2,0))</f>
        <v>0</v>
      </c>
      <c r="J190" s="8">
        <f>IF(ISNA(VLOOKUP($B190,'Other Capital Needs'!$C$51:$P$95,J$2,0)),0,VLOOKUP($B190,'Other Capital Needs'!$C$51:$P$95,J$2,0))+IF(ISNA(VLOOKUP('Project Details by Yr - MASTER'!$B190,'Public Grounds'!$A$11:$N$49,J$2,0)),0,VLOOKUP('Project Details by Yr - MASTER'!$B190,'Public Grounds'!$A$11:$N$49,J$2,0))+IF(ISNA(VLOOKUP('Project Details by Yr - MASTER'!$B190,'Public Buildings'!$A$10:$N$96,J$2,0)),0,VLOOKUP('Project Details by Yr - MASTER'!$B190,'Public Buildings'!$A$10:$N$96,J$2,0))+IF(ISNA(VLOOKUP('Project Details by Yr - MASTER'!$B190,Bridges!$A$9:$N$24,J$2,0)),0,VLOOKUP('Project Details by Yr - MASTER'!$B190,Bridges!$A$9:$N$24,J$2,0))+IF(ISNA(VLOOKUP('Project Details by Yr - MASTER'!$B190,'Parking Lots &amp; Playgrounds'!$A$9:$N$33,J$2,0)),0,VLOOKUP('Project Details by Yr - MASTER'!$B190,'Parking Lots &amp; Playgrounds'!$A$9:$N$33,J$2,0))+IF(ISNA(VLOOKUP($B190,Vehicles!$B$9:$O$50,J$2,0)),0,VLOOKUP($B190,Vehicles!$B$9:$O$50,J$2,0))</f>
        <v>0</v>
      </c>
      <c r="K190" s="8">
        <f>IF(ISNA(VLOOKUP($B190,'Other Capital Needs'!$C$51:$P$95,K$2,0)),0,VLOOKUP($B190,'Other Capital Needs'!$C$51:$P$95,K$2,0))+IF(ISNA(VLOOKUP('Project Details by Yr - MASTER'!$B190,'Public Grounds'!$A$11:$N$49,K$2,0)),0,VLOOKUP('Project Details by Yr - MASTER'!$B190,'Public Grounds'!$A$11:$N$49,K$2,0))+IF(ISNA(VLOOKUP('Project Details by Yr - MASTER'!$B190,'Public Buildings'!$A$10:$N$96,K$2,0)),0,VLOOKUP('Project Details by Yr - MASTER'!$B190,'Public Buildings'!$A$10:$N$96,K$2,0))+IF(ISNA(VLOOKUP('Project Details by Yr - MASTER'!$B190,Bridges!$A$9:$N$24,K$2,0)),0,VLOOKUP('Project Details by Yr - MASTER'!$B190,Bridges!$A$9:$N$24,K$2,0))+IF(ISNA(VLOOKUP('Project Details by Yr - MASTER'!$B190,'Parking Lots &amp; Playgrounds'!$A$9:$N$33,K$2,0)),0,VLOOKUP('Project Details by Yr - MASTER'!$B190,'Parking Lots &amp; Playgrounds'!$A$9:$N$33,K$2,0))+IF(ISNA(VLOOKUP($B190,Vehicles!$B$9:$O$50,K$2,0)),0,VLOOKUP($B190,Vehicles!$B$9:$O$50,K$2,0))</f>
        <v>0</v>
      </c>
    </row>
    <row r="191" spans="2:11" x14ac:dyDescent="0.25">
      <c r="B191" t="s">
        <v>205</v>
      </c>
      <c r="C191" t="s">
        <v>48</v>
      </c>
      <c r="D191" t="s">
        <v>272</v>
      </c>
      <c r="E191" s="1" t="s">
        <v>16</v>
      </c>
      <c r="G191" s="8">
        <f>IF(ISNA(VLOOKUP($B191,'Other Capital Needs'!$C$51:$P$95,G$2,0)),0,VLOOKUP($B191,'Other Capital Needs'!$C$51:$P$95,G$2,0))+IF(ISNA(VLOOKUP('Project Details by Yr - MASTER'!$B191,'Public Grounds'!$A$11:$N$49,G$2,0)),0,VLOOKUP('Project Details by Yr - MASTER'!$B191,'Public Grounds'!$A$11:$N$49,G$2,0))+IF(ISNA(VLOOKUP('Project Details by Yr - MASTER'!$B191,'Public Buildings'!$A$10:$N$96,G$2,0)),0,VLOOKUP('Project Details by Yr - MASTER'!$B191,'Public Buildings'!$A$10:$N$96,G$2,0))+IF(ISNA(VLOOKUP('Project Details by Yr - MASTER'!$B191,Bridges!$A$9:$N$24,G$2,0)),0,VLOOKUP('Project Details by Yr - MASTER'!$B191,Bridges!$A$9:$N$24,G$2,0))+IF(ISNA(VLOOKUP('Project Details by Yr - MASTER'!$B191,'Parking Lots &amp; Playgrounds'!$A$9:$N$33,G$2,0)),0,VLOOKUP('Project Details by Yr - MASTER'!$B191,'Parking Lots &amp; Playgrounds'!$A$9:$N$33,G$2,0))+IF(ISNA(VLOOKUP($B191,Vehicles!$B$9:$O$50,G$2,0)),0,VLOOKUP($B191,Vehicles!$B$9:$O$50,G$2,0))</f>
        <v>0</v>
      </c>
      <c r="H191" s="8">
        <f>IF(ISNA(VLOOKUP($B191,'Other Capital Needs'!$C$51:$P$95,H$2,0)),0,VLOOKUP($B191,'Other Capital Needs'!$C$51:$P$95,H$2,0))+IF(ISNA(VLOOKUP('Project Details by Yr - MASTER'!$B191,'Public Grounds'!$A$11:$N$49,H$2,0)),0,VLOOKUP('Project Details by Yr - MASTER'!$B191,'Public Grounds'!$A$11:$N$49,H$2,0))+IF(ISNA(VLOOKUP('Project Details by Yr - MASTER'!$B191,'Public Buildings'!$A$10:$N$96,H$2,0)),0,VLOOKUP('Project Details by Yr - MASTER'!$B191,'Public Buildings'!$A$10:$N$96,H$2,0))+IF(ISNA(VLOOKUP('Project Details by Yr - MASTER'!$B191,Bridges!$A$9:$N$24,H$2,0)),0,VLOOKUP('Project Details by Yr - MASTER'!$B191,Bridges!$A$9:$N$24,H$2,0))+IF(ISNA(VLOOKUP('Project Details by Yr - MASTER'!$B191,'Parking Lots &amp; Playgrounds'!$A$9:$N$33,H$2,0)),0,VLOOKUP('Project Details by Yr - MASTER'!$B191,'Parking Lots &amp; Playgrounds'!$A$9:$N$33,H$2,0))+IF(ISNA(VLOOKUP($B191,Vehicles!$B$9:$O$50,H$2,0)),0,VLOOKUP($B191,Vehicles!$B$9:$O$50,H$2,0))</f>
        <v>500000</v>
      </c>
      <c r="I191" s="8">
        <f>IF(ISNA(VLOOKUP($B191,'Other Capital Needs'!$C$51:$P$95,I$2,0)),0,VLOOKUP($B191,'Other Capital Needs'!$C$51:$P$95,I$2,0))+IF(ISNA(VLOOKUP('Project Details by Yr - MASTER'!$B191,'Public Grounds'!$A$11:$N$49,I$2,0)),0,VLOOKUP('Project Details by Yr - MASTER'!$B191,'Public Grounds'!$A$11:$N$49,I$2,0))+IF(ISNA(VLOOKUP('Project Details by Yr - MASTER'!$B191,'Public Buildings'!$A$10:$N$96,I$2,0)),0,VLOOKUP('Project Details by Yr - MASTER'!$B191,'Public Buildings'!$A$10:$N$96,I$2,0))+IF(ISNA(VLOOKUP('Project Details by Yr - MASTER'!$B191,Bridges!$A$9:$N$24,I$2,0)),0,VLOOKUP('Project Details by Yr - MASTER'!$B191,Bridges!$A$9:$N$24,I$2,0))+IF(ISNA(VLOOKUP('Project Details by Yr - MASTER'!$B191,'Parking Lots &amp; Playgrounds'!$A$9:$N$33,I$2,0)),0,VLOOKUP('Project Details by Yr - MASTER'!$B191,'Parking Lots &amp; Playgrounds'!$A$9:$N$33,I$2,0))+IF(ISNA(VLOOKUP($B191,Vehicles!$B$9:$O$50,I$2,0)),0,VLOOKUP($B191,Vehicles!$B$9:$O$50,I$2,0))</f>
        <v>500000</v>
      </c>
      <c r="J191" s="8">
        <f>IF(ISNA(VLOOKUP($B191,'Other Capital Needs'!$C$51:$P$95,J$2,0)),0,VLOOKUP($B191,'Other Capital Needs'!$C$51:$P$95,J$2,0))+IF(ISNA(VLOOKUP('Project Details by Yr - MASTER'!$B191,'Public Grounds'!$A$11:$N$49,J$2,0)),0,VLOOKUP('Project Details by Yr - MASTER'!$B191,'Public Grounds'!$A$11:$N$49,J$2,0))+IF(ISNA(VLOOKUP('Project Details by Yr - MASTER'!$B191,'Public Buildings'!$A$10:$N$96,J$2,0)),0,VLOOKUP('Project Details by Yr - MASTER'!$B191,'Public Buildings'!$A$10:$N$96,J$2,0))+IF(ISNA(VLOOKUP('Project Details by Yr - MASTER'!$B191,Bridges!$A$9:$N$24,J$2,0)),0,VLOOKUP('Project Details by Yr - MASTER'!$B191,Bridges!$A$9:$N$24,J$2,0))+IF(ISNA(VLOOKUP('Project Details by Yr - MASTER'!$B191,'Parking Lots &amp; Playgrounds'!$A$9:$N$33,J$2,0)),0,VLOOKUP('Project Details by Yr - MASTER'!$B191,'Parking Lots &amp; Playgrounds'!$A$9:$N$33,J$2,0))+IF(ISNA(VLOOKUP($B191,Vehicles!$B$9:$O$50,J$2,0)),0,VLOOKUP($B191,Vehicles!$B$9:$O$50,J$2,0))</f>
        <v>250000</v>
      </c>
      <c r="K191" s="8">
        <f>IF(ISNA(VLOOKUP($B191,'Other Capital Needs'!$C$51:$P$95,K$2,0)),0,VLOOKUP($B191,'Other Capital Needs'!$C$51:$P$95,K$2,0))+IF(ISNA(VLOOKUP('Project Details by Yr - MASTER'!$B191,'Public Grounds'!$A$11:$N$49,K$2,0)),0,VLOOKUP('Project Details by Yr - MASTER'!$B191,'Public Grounds'!$A$11:$N$49,K$2,0))+IF(ISNA(VLOOKUP('Project Details by Yr - MASTER'!$B191,'Public Buildings'!$A$10:$N$96,K$2,0)),0,VLOOKUP('Project Details by Yr - MASTER'!$B191,'Public Buildings'!$A$10:$N$96,K$2,0))+IF(ISNA(VLOOKUP('Project Details by Yr - MASTER'!$B191,Bridges!$A$9:$N$24,K$2,0)),0,VLOOKUP('Project Details by Yr - MASTER'!$B191,Bridges!$A$9:$N$24,K$2,0))+IF(ISNA(VLOOKUP('Project Details by Yr - MASTER'!$B191,'Parking Lots &amp; Playgrounds'!$A$9:$N$33,K$2,0)),0,VLOOKUP('Project Details by Yr - MASTER'!$B191,'Parking Lots &amp; Playgrounds'!$A$9:$N$33,K$2,0))+IF(ISNA(VLOOKUP($B191,Vehicles!$B$9:$O$50,K$2,0)),0,VLOOKUP($B191,Vehicles!$B$9:$O$50,K$2,0))</f>
        <v>250000</v>
      </c>
    </row>
    <row r="192" spans="2:11" x14ac:dyDescent="0.25">
      <c r="E192" s="1"/>
      <c r="G192" s="8"/>
      <c r="H192" s="8"/>
      <c r="I192" s="8"/>
      <c r="J192" s="8"/>
      <c r="K192" s="8"/>
    </row>
    <row r="193" spans="1:11" ht="15.75" thickBot="1" x14ac:dyDescent="0.3">
      <c r="G193" s="36">
        <f>SUM(G5:G192)</f>
        <v>5931628</v>
      </c>
      <c r="H193" s="36">
        <f>SUM(H5:H192)</f>
        <v>6996921</v>
      </c>
      <c r="I193" s="36">
        <f>SUM(I5:I192)</f>
        <v>6921116</v>
      </c>
      <c r="J193" s="36">
        <f>SUM(J5:J192)</f>
        <v>8664024</v>
      </c>
      <c r="K193" s="36">
        <f>SUM(K5:K192)</f>
        <v>6361771</v>
      </c>
    </row>
    <row r="194" spans="1:11" ht="15.75" thickTop="1" x14ac:dyDescent="0.25">
      <c r="G194" s="35" t="e">
        <f>G193-Summary!E96</f>
        <v>#REF!</v>
      </c>
      <c r="H194" s="35" t="e">
        <f>H193-Summary!F96</f>
        <v>#REF!</v>
      </c>
      <c r="I194" s="35" t="e">
        <f>I193-Summary!G96</f>
        <v>#REF!</v>
      </c>
      <c r="J194" s="35" t="e">
        <f>J193-Summary!H96</f>
        <v>#REF!</v>
      </c>
      <c r="K194" s="35" t="e">
        <f>K193-Summary!I96</f>
        <v>#REF!</v>
      </c>
    </row>
    <row r="196" spans="1:11" x14ac:dyDescent="0.25">
      <c r="B196" s="5" t="s">
        <v>277</v>
      </c>
    </row>
    <row r="197" spans="1:11" x14ac:dyDescent="0.25">
      <c r="A197" s="32">
        <v>44</v>
      </c>
      <c r="B197" s="22" t="s">
        <v>252</v>
      </c>
      <c r="C197" s="22" t="s">
        <v>101</v>
      </c>
      <c r="D197" s="22" t="s">
        <v>272</v>
      </c>
      <c r="E197" s="32" t="s">
        <v>279</v>
      </c>
      <c r="F197" s="26"/>
      <c r="G197" s="38"/>
      <c r="H197" s="38"/>
      <c r="I197" s="38"/>
      <c r="J197" s="38"/>
      <c r="K197" s="38"/>
    </row>
    <row r="198" spans="1:11" x14ac:dyDescent="0.25">
      <c r="A198" s="32" t="s">
        <v>242</v>
      </c>
      <c r="B198" s="22" t="s">
        <v>111</v>
      </c>
      <c r="C198" s="22" t="s">
        <v>101</v>
      </c>
      <c r="D198" s="22" t="s">
        <v>272</v>
      </c>
      <c r="E198" s="32" t="s">
        <v>279</v>
      </c>
      <c r="F198" s="26"/>
      <c r="G198" s="38"/>
      <c r="H198" s="38"/>
      <c r="I198" s="38"/>
      <c r="J198" s="38"/>
      <c r="K198" s="38"/>
    </row>
    <row r="199" spans="1:11" x14ac:dyDescent="0.25">
      <c r="A199" s="32">
        <v>38</v>
      </c>
      <c r="B199" s="22" t="s">
        <v>181</v>
      </c>
      <c r="C199" s="22" t="s">
        <v>101</v>
      </c>
      <c r="D199" s="22" t="s">
        <v>272</v>
      </c>
      <c r="E199" s="32" t="s">
        <v>279</v>
      </c>
      <c r="F199" s="26"/>
      <c r="G199" s="38"/>
      <c r="H199" s="38"/>
      <c r="I199" s="38"/>
      <c r="J199" s="38"/>
      <c r="K199" s="38"/>
    </row>
    <row r="200" spans="1:11" x14ac:dyDescent="0.25">
      <c r="A200" s="32">
        <v>32</v>
      </c>
      <c r="B200" s="22" t="s">
        <v>278</v>
      </c>
      <c r="C200" s="22" t="s">
        <v>101</v>
      </c>
      <c r="D200" s="22" t="s">
        <v>272</v>
      </c>
      <c r="E200" s="32" t="s">
        <v>279</v>
      </c>
      <c r="F200" s="26"/>
      <c r="G200" s="38"/>
      <c r="H200" s="38"/>
      <c r="I200" s="38"/>
      <c r="J200" s="38"/>
      <c r="K200" s="38"/>
    </row>
    <row r="201" spans="1:11" x14ac:dyDescent="0.25">
      <c r="A201" s="32" t="s">
        <v>242</v>
      </c>
      <c r="B201" s="22" t="s">
        <v>147</v>
      </c>
      <c r="C201" s="22" t="s">
        <v>101</v>
      </c>
      <c r="D201" s="22" t="s">
        <v>272</v>
      </c>
      <c r="E201" s="32" t="s">
        <v>279</v>
      </c>
      <c r="F201" s="26"/>
      <c r="G201" s="38"/>
      <c r="H201" s="38"/>
      <c r="I201" s="38"/>
      <c r="J201" s="38"/>
      <c r="K201" s="38"/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64"/>
  <sheetViews>
    <sheetView workbookViewId="0">
      <selection activeCell="G68" sqref="G68"/>
    </sheetView>
  </sheetViews>
  <sheetFormatPr defaultRowHeight="15" x14ac:dyDescent="0.25"/>
  <cols>
    <col min="1" max="1" width="89.140625" customWidth="1"/>
    <col min="2" max="2" width="8.28515625" style="1" customWidth="1"/>
    <col min="3" max="3" width="2.85546875" customWidth="1"/>
    <col min="4" max="4" width="11.140625" style="6" customWidth="1"/>
    <col min="5" max="6" width="10.140625" style="6" customWidth="1"/>
    <col min="7" max="7" width="9.140625" style="6"/>
    <col min="8" max="11" width="10.140625" style="6" customWidth="1"/>
    <col min="12" max="12" width="9.140625" style="6"/>
    <col min="13" max="14" width="10.140625" style="6" customWidth="1"/>
    <col min="17" max="17" width="13.28515625" bestFit="1" customWidth="1"/>
  </cols>
  <sheetData>
    <row r="1" spans="1:14" ht="21" x14ac:dyDescent="0.35">
      <c r="A1" s="17" t="s">
        <v>62</v>
      </c>
    </row>
    <row r="2" spans="1:14" ht="21" x14ac:dyDescent="0.35">
      <c r="A2" s="17" t="s">
        <v>68</v>
      </c>
    </row>
    <row r="3" spans="1:14" ht="21" x14ac:dyDescent="0.35">
      <c r="A3" s="17" t="s">
        <v>64</v>
      </c>
      <c r="D3"/>
      <c r="E3"/>
      <c r="F3"/>
      <c r="G3"/>
      <c r="H3"/>
      <c r="I3"/>
      <c r="J3"/>
      <c r="K3"/>
      <c r="L3"/>
      <c r="M3"/>
      <c r="N3"/>
    </row>
    <row r="4" spans="1:14" x14ac:dyDescent="0.25">
      <c r="D4"/>
      <c r="E4"/>
      <c r="F4"/>
      <c r="G4"/>
      <c r="H4"/>
      <c r="I4"/>
      <c r="J4"/>
      <c r="K4"/>
      <c r="L4"/>
      <c r="M4"/>
      <c r="N4"/>
    </row>
    <row r="5" spans="1:14" x14ac:dyDescent="0.25">
      <c r="D5"/>
      <c r="E5"/>
      <c r="F5"/>
      <c r="G5"/>
      <c r="H5"/>
      <c r="I5"/>
      <c r="J5"/>
      <c r="K5"/>
      <c r="L5"/>
      <c r="M5"/>
      <c r="N5"/>
    </row>
    <row r="6" spans="1:14" x14ac:dyDescent="0.25"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45</v>
      </c>
    </row>
    <row r="7" spans="1:14" x14ac:dyDescent="0.25">
      <c r="D7"/>
      <c r="E7"/>
      <c r="F7"/>
      <c r="G7"/>
      <c r="H7"/>
      <c r="I7"/>
      <c r="J7"/>
      <c r="K7"/>
      <c r="L7"/>
      <c r="M7"/>
      <c r="N7"/>
    </row>
    <row r="8" spans="1:14" x14ac:dyDescent="0.25">
      <c r="A8" s="5" t="s">
        <v>0</v>
      </c>
      <c r="D8"/>
      <c r="E8"/>
      <c r="F8"/>
      <c r="G8"/>
      <c r="H8"/>
      <c r="I8"/>
      <c r="J8"/>
      <c r="K8"/>
      <c r="L8"/>
      <c r="M8"/>
      <c r="N8"/>
    </row>
    <row r="9" spans="1:14" x14ac:dyDescent="0.25">
      <c r="A9" t="s">
        <v>77</v>
      </c>
      <c r="B9" s="1" t="s">
        <v>19</v>
      </c>
      <c r="D9" s="18"/>
    </row>
    <row r="10" spans="1:14" x14ac:dyDescent="0.25">
      <c r="A10" t="s">
        <v>99</v>
      </c>
      <c r="B10" s="1" t="s">
        <v>19</v>
      </c>
      <c r="F10" s="6">
        <v>1000000</v>
      </c>
    </row>
    <row r="11" spans="1:14" x14ac:dyDescent="0.25">
      <c r="A11" t="s">
        <v>302</v>
      </c>
      <c r="B11" s="1" t="s">
        <v>19</v>
      </c>
      <c r="D11" s="21">
        <v>200000</v>
      </c>
      <c r="E11" s="6">
        <f>1300000-D11-192200</f>
        <v>907800</v>
      </c>
    </row>
    <row r="12" spans="1:14" x14ac:dyDescent="0.25">
      <c r="A12" t="s">
        <v>301</v>
      </c>
      <c r="B12" s="1" t="s">
        <v>19</v>
      </c>
      <c r="D12" s="6">
        <v>800000</v>
      </c>
      <c r="E12" s="6">
        <f>1225000-D12</f>
        <v>425000</v>
      </c>
    </row>
    <row r="13" spans="1:14" x14ac:dyDescent="0.25">
      <c r="A13" t="s">
        <v>288</v>
      </c>
      <c r="B13" s="1" t="s">
        <v>38</v>
      </c>
      <c r="E13" s="6">
        <f>978000*0.8</f>
        <v>782400</v>
      </c>
    </row>
    <row r="14" spans="1:14" x14ac:dyDescent="0.25">
      <c r="A14" t="s">
        <v>288</v>
      </c>
      <c r="B14" s="1" t="s">
        <v>16</v>
      </c>
      <c r="E14" s="6">
        <f>978000*0.2</f>
        <v>195600</v>
      </c>
    </row>
    <row r="15" spans="1:14" x14ac:dyDescent="0.25">
      <c r="A15" t="s">
        <v>205</v>
      </c>
      <c r="B15" s="1" t="s">
        <v>16</v>
      </c>
      <c r="F15" s="6">
        <v>500000</v>
      </c>
      <c r="G15" s="6">
        <v>500000</v>
      </c>
      <c r="H15" s="6">
        <v>250000</v>
      </c>
      <c r="I15" s="6">
        <v>250000</v>
      </c>
      <c r="J15" s="6">
        <v>250000</v>
      </c>
      <c r="K15" s="6">
        <v>250000</v>
      </c>
      <c r="L15" s="6">
        <v>250000</v>
      </c>
      <c r="M15" s="6">
        <v>250000</v>
      </c>
      <c r="N15" s="6">
        <v>250000</v>
      </c>
    </row>
    <row r="17" spans="1:14" s="4" customFormat="1" ht="15.75" thickBot="1" x14ac:dyDescent="0.3">
      <c r="A17" s="4" t="s">
        <v>36</v>
      </c>
      <c r="B17" s="2"/>
      <c r="D17" s="9">
        <f t="shared" ref="D17:N17" si="0">SUM(D9:D16)</f>
        <v>1000000</v>
      </c>
      <c r="E17" s="9">
        <f t="shared" si="0"/>
        <v>2310800</v>
      </c>
      <c r="F17" s="9">
        <f t="shared" si="0"/>
        <v>1500000</v>
      </c>
      <c r="G17" s="9">
        <f t="shared" si="0"/>
        <v>500000</v>
      </c>
      <c r="H17" s="9">
        <f t="shared" si="0"/>
        <v>250000</v>
      </c>
      <c r="I17" s="9">
        <f t="shared" si="0"/>
        <v>250000</v>
      </c>
      <c r="J17" s="9">
        <f t="shared" si="0"/>
        <v>250000</v>
      </c>
      <c r="K17" s="9">
        <f t="shared" si="0"/>
        <v>250000</v>
      </c>
      <c r="L17" s="9">
        <f t="shared" si="0"/>
        <v>250000</v>
      </c>
      <c r="M17" s="9">
        <f t="shared" si="0"/>
        <v>250000</v>
      </c>
      <c r="N17" s="9">
        <f t="shared" si="0"/>
        <v>250000</v>
      </c>
    </row>
    <row r="18" spans="1:14" ht="15.75" thickTop="1" x14ac:dyDescent="0.25"/>
    <row r="19" spans="1:14" x14ac:dyDescent="0.25">
      <c r="A19" s="5" t="s">
        <v>1</v>
      </c>
    </row>
    <row r="25" spans="1:14" s="4" customFormat="1" ht="15.75" thickBot="1" x14ac:dyDescent="0.3">
      <c r="A25" s="4" t="s">
        <v>34</v>
      </c>
      <c r="B25" s="2"/>
      <c r="D25" s="9">
        <f>SUM(D20:D24)</f>
        <v>0</v>
      </c>
      <c r="E25" s="9">
        <f t="shared" ref="E25:N25" si="1">SUM(E20:E24)</f>
        <v>0</v>
      </c>
      <c r="F25" s="9">
        <f t="shared" si="1"/>
        <v>0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9">
        <f t="shared" si="1"/>
        <v>0</v>
      </c>
    </row>
    <row r="26" spans="1:14" ht="15.75" thickTop="1" x14ac:dyDescent="0.25"/>
    <row r="27" spans="1:14" s="4" customFormat="1" x14ac:dyDescent="0.25">
      <c r="A27" s="4" t="s">
        <v>35</v>
      </c>
      <c r="B27" s="2"/>
      <c r="D27" s="10">
        <f>D25+D17</f>
        <v>1000000</v>
      </c>
      <c r="E27" s="10">
        <f t="shared" ref="E27:N27" si="2">E25+E17</f>
        <v>2310800</v>
      </c>
      <c r="F27" s="10">
        <f t="shared" si="2"/>
        <v>1500000</v>
      </c>
      <c r="G27" s="10">
        <f t="shared" si="2"/>
        <v>500000</v>
      </c>
      <c r="H27" s="10">
        <f t="shared" si="2"/>
        <v>250000</v>
      </c>
      <c r="I27" s="10">
        <f t="shared" si="2"/>
        <v>250000</v>
      </c>
      <c r="J27" s="10">
        <f t="shared" si="2"/>
        <v>250000</v>
      </c>
      <c r="K27" s="10">
        <f t="shared" si="2"/>
        <v>250000</v>
      </c>
      <c r="L27" s="10">
        <f t="shared" si="2"/>
        <v>250000</v>
      </c>
      <c r="M27" s="10">
        <f t="shared" si="2"/>
        <v>250000</v>
      </c>
      <c r="N27" s="10">
        <f t="shared" si="2"/>
        <v>250000</v>
      </c>
    </row>
    <row r="31" spans="1:14" x14ac:dyDescent="0.25">
      <c r="A31" t="s">
        <v>16</v>
      </c>
      <c r="D31" s="6">
        <f t="shared" ref="D31:N37" si="3">SUMIF($B$9:$B$24,$A31,D$9:D$24)</f>
        <v>0</v>
      </c>
      <c r="E31" s="6">
        <f t="shared" si="3"/>
        <v>195600</v>
      </c>
      <c r="F31" s="6">
        <f t="shared" si="3"/>
        <v>500000</v>
      </c>
      <c r="G31" s="6">
        <f t="shared" si="3"/>
        <v>500000</v>
      </c>
      <c r="H31" s="6">
        <f t="shared" si="3"/>
        <v>250000</v>
      </c>
      <c r="I31" s="6">
        <f t="shared" si="3"/>
        <v>250000</v>
      </c>
      <c r="J31" s="6">
        <f t="shared" si="3"/>
        <v>250000</v>
      </c>
      <c r="K31" s="6">
        <f t="shared" si="3"/>
        <v>250000</v>
      </c>
      <c r="L31" s="6">
        <f t="shared" si="3"/>
        <v>250000</v>
      </c>
      <c r="M31" s="6">
        <f t="shared" si="3"/>
        <v>250000</v>
      </c>
      <c r="N31" s="6">
        <f t="shared" si="3"/>
        <v>250000</v>
      </c>
    </row>
    <row r="32" spans="1:14" x14ac:dyDescent="0.25">
      <c r="A32" t="s">
        <v>37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 t="shared" si="3"/>
        <v>0</v>
      </c>
      <c r="H32" s="6">
        <f t="shared" si="3"/>
        <v>0</v>
      </c>
      <c r="I32" s="6">
        <f t="shared" si="3"/>
        <v>0</v>
      </c>
      <c r="J32" s="6">
        <f t="shared" si="3"/>
        <v>0</v>
      </c>
      <c r="K32" s="6">
        <f t="shared" si="3"/>
        <v>0</v>
      </c>
      <c r="L32" s="6">
        <f t="shared" si="3"/>
        <v>0</v>
      </c>
      <c r="M32" s="6">
        <f t="shared" si="3"/>
        <v>0</v>
      </c>
      <c r="N32" s="6">
        <f t="shared" si="3"/>
        <v>0</v>
      </c>
    </row>
    <row r="33" spans="1:17" x14ac:dyDescent="0.25">
      <c r="A33" t="s">
        <v>38</v>
      </c>
      <c r="D33" s="6">
        <f t="shared" si="3"/>
        <v>0</v>
      </c>
      <c r="E33" s="6">
        <f t="shared" si="3"/>
        <v>782400</v>
      </c>
      <c r="F33" s="6">
        <f t="shared" si="3"/>
        <v>0</v>
      </c>
      <c r="G33" s="6">
        <f t="shared" si="3"/>
        <v>0</v>
      </c>
      <c r="H33" s="6">
        <f t="shared" si="3"/>
        <v>0</v>
      </c>
      <c r="I33" s="6">
        <f t="shared" si="3"/>
        <v>0</v>
      </c>
      <c r="J33" s="6">
        <f t="shared" si="3"/>
        <v>0</v>
      </c>
      <c r="K33" s="6">
        <f t="shared" si="3"/>
        <v>0</v>
      </c>
      <c r="L33" s="6">
        <f t="shared" si="3"/>
        <v>0</v>
      </c>
      <c r="M33" s="6">
        <f t="shared" si="3"/>
        <v>0</v>
      </c>
      <c r="N33" s="6">
        <f t="shared" si="3"/>
        <v>0</v>
      </c>
    </row>
    <row r="34" spans="1:17" x14ac:dyDescent="0.25">
      <c r="A34" t="s">
        <v>19</v>
      </c>
      <c r="D34" s="6">
        <f t="shared" si="3"/>
        <v>1000000</v>
      </c>
      <c r="E34" s="6">
        <f t="shared" si="3"/>
        <v>1332800</v>
      </c>
      <c r="F34" s="6">
        <f t="shared" si="3"/>
        <v>1000000</v>
      </c>
      <c r="G34" s="6">
        <f t="shared" si="3"/>
        <v>0</v>
      </c>
      <c r="H34" s="6">
        <f t="shared" si="3"/>
        <v>0</v>
      </c>
      <c r="I34" s="6">
        <f t="shared" si="3"/>
        <v>0</v>
      </c>
      <c r="J34" s="6">
        <f t="shared" si="3"/>
        <v>0</v>
      </c>
      <c r="K34" s="6">
        <f t="shared" si="3"/>
        <v>0</v>
      </c>
      <c r="L34" s="6">
        <f t="shared" si="3"/>
        <v>0</v>
      </c>
      <c r="M34" s="6">
        <f t="shared" si="3"/>
        <v>0</v>
      </c>
      <c r="N34" s="6">
        <f t="shared" si="3"/>
        <v>0</v>
      </c>
    </row>
    <row r="35" spans="1:17" x14ac:dyDescent="0.25">
      <c r="A35" t="s">
        <v>243</v>
      </c>
      <c r="D35" s="6">
        <f t="shared" si="3"/>
        <v>0</v>
      </c>
      <c r="E35" s="6">
        <f t="shared" si="3"/>
        <v>0</v>
      </c>
      <c r="F35" s="6">
        <f t="shared" si="3"/>
        <v>0</v>
      </c>
      <c r="G35" s="6">
        <f t="shared" si="3"/>
        <v>0</v>
      </c>
      <c r="H35" s="6">
        <f t="shared" si="3"/>
        <v>0</v>
      </c>
      <c r="I35" s="6">
        <f t="shared" si="3"/>
        <v>0</v>
      </c>
      <c r="J35" s="6">
        <f t="shared" si="3"/>
        <v>0</v>
      </c>
      <c r="K35" s="6">
        <f t="shared" si="3"/>
        <v>0</v>
      </c>
      <c r="L35" s="6">
        <f t="shared" si="3"/>
        <v>0</v>
      </c>
      <c r="M35" s="6">
        <f t="shared" si="3"/>
        <v>0</v>
      </c>
      <c r="N35" s="6">
        <f t="shared" si="3"/>
        <v>0</v>
      </c>
    </row>
    <row r="36" spans="1:17" x14ac:dyDescent="0.25">
      <c r="A36" t="s">
        <v>13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  <c r="H36" s="6">
        <f t="shared" si="3"/>
        <v>0</v>
      </c>
      <c r="I36" s="6">
        <f t="shared" si="3"/>
        <v>0</v>
      </c>
      <c r="J36" s="6">
        <f t="shared" si="3"/>
        <v>0</v>
      </c>
      <c r="K36" s="6">
        <f t="shared" si="3"/>
        <v>0</v>
      </c>
      <c r="L36" s="6">
        <f t="shared" si="3"/>
        <v>0</v>
      </c>
      <c r="M36" s="6">
        <f t="shared" si="3"/>
        <v>0</v>
      </c>
      <c r="N36" s="6">
        <f t="shared" si="3"/>
        <v>0</v>
      </c>
    </row>
    <row r="37" spans="1:17" x14ac:dyDescent="0.25">
      <c r="A37" t="s">
        <v>50</v>
      </c>
      <c r="D37" s="6">
        <f t="shared" si="3"/>
        <v>0</v>
      </c>
      <c r="E37" s="6">
        <f t="shared" si="3"/>
        <v>0</v>
      </c>
      <c r="F37" s="6">
        <f t="shared" si="3"/>
        <v>0</v>
      </c>
      <c r="G37" s="6">
        <f t="shared" si="3"/>
        <v>0</v>
      </c>
      <c r="H37" s="6">
        <f t="shared" si="3"/>
        <v>0</v>
      </c>
      <c r="I37" s="6">
        <f t="shared" si="3"/>
        <v>0</v>
      </c>
      <c r="J37" s="6">
        <f t="shared" si="3"/>
        <v>0</v>
      </c>
      <c r="K37" s="6">
        <f t="shared" si="3"/>
        <v>0</v>
      </c>
      <c r="L37" s="6">
        <f t="shared" si="3"/>
        <v>0</v>
      </c>
      <c r="M37" s="6">
        <f t="shared" si="3"/>
        <v>0</v>
      </c>
      <c r="N37" s="6">
        <f t="shared" si="3"/>
        <v>0</v>
      </c>
    </row>
    <row r="38" spans="1:17" ht="15.75" thickBot="1" x14ac:dyDescent="0.3">
      <c r="D38" s="7">
        <f t="shared" ref="D38:N38" si="4">SUM(D31:D37)</f>
        <v>1000000</v>
      </c>
      <c r="E38" s="7">
        <f t="shared" si="4"/>
        <v>2310800</v>
      </c>
      <c r="F38" s="7">
        <f t="shared" si="4"/>
        <v>1500000</v>
      </c>
      <c r="G38" s="7">
        <f t="shared" si="4"/>
        <v>500000</v>
      </c>
      <c r="H38" s="7">
        <f t="shared" si="4"/>
        <v>250000</v>
      </c>
      <c r="I38" s="7">
        <f t="shared" si="4"/>
        <v>250000</v>
      </c>
      <c r="J38" s="7">
        <f t="shared" si="4"/>
        <v>250000</v>
      </c>
      <c r="K38" s="7">
        <f t="shared" si="4"/>
        <v>250000</v>
      </c>
      <c r="L38" s="7">
        <f t="shared" si="4"/>
        <v>250000</v>
      </c>
      <c r="M38" s="7">
        <f t="shared" si="4"/>
        <v>250000</v>
      </c>
      <c r="N38" s="7">
        <f t="shared" si="4"/>
        <v>250000</v>
      </c>
    </row>
    <row r="39" spans="1:17" ht="15.75" thickTop="1" x14ac:dyDescent="0.25">
      <c r="D39" s="8">
        <f>D38-D27</f>
        <v>0</v>
      </c>
      <c r="E39" s="8">
        <f t="shared" ref="E39:N39" si="5">E38-E27</f>
        <v>0</v>
      </c>
      <c r="F39" s="8">
        <f t="shared" si="5"/>
        <v>0</v>
      </c>
      <c r="G39" s="8">
        <f t="shared" si="5"/>
        <v>0</v>
      </c>
      <c r="H39" s="8">
        <f t="shared" si="5"/>
        <v>0</v>
      </c>
      <c r="I39" s="8">
        <f t="shared" si="5"/>
        <v>0</v>
      </c>
      <c r="J39" s="8">
        <f t="shared" si="5"/>
        <v>0</v>
      </c>
      <c r="K39" s="8">
        <f t="shared" si="5"/>
        <v>0</v>
      </c>
      <c r="L39" s="8">
        <f t="shared" si="5"/>
        <v>0</v>
      </c>
      <c r="M39" s="8">
        <f t="shared" si="5"/>
        <v>0</v>
      </c>
      <c r="N39" s="8">
        <f t="shared" si="5"/>
        <v>0</v>
      </c>
      <c r="Q39" s="8"/>
    </row>
    <row r="42" spans="1:17" x14ac:dyDescent="0.25">
      <c r="A42" s="5" t="s">
        <v>72</v>
      </c>
    </row>
    <row r="43" spans="1:17" x14ac:dyDescent="0.25">
      <c r="A43" t="s">
        <v>73</v>
      </c>
    </row>
    <row r="44" spans="1:17" x14ac:dyDescent="0.25">
      <c r="A44" t="s">
        <v>74</v>
      </c>
    </row>
    <row r="45" spans="1:17" x14ac:dyDescent="0.25">
      <c r="A45" t="s">
        <v>76</v>
      </c>
    </row>
    <row r="46" spans="1:17" x14ac:dyDescent="0.25">
      <c r="A46" t="s">
        <v>75</v>
      </c>
    </row>
    <row r="49" spans="1:17" x14ac:dyDescent="0.25">
      <c r="A49" s="72" t="s">
        <v>315</v>
      </c>
      <c r="P49" s="6"/>
      <c r="Q49" s="8"/>
    </row>
    <row r="50" spans="1:17" x14ac:dyDescent="0.25">
      <c r="A50" s="72" t="s">
        <v>317</v>
      </c>
      <c r="Q50" s="8"/>
    </row>
    <row r="51" spans="1:17" x14ac:dyDescent="0.25">
      <c r="A51" s="72" t="s">
        <v>316</v>
      </c>
      <c r="Q51" s="8"/>
    </row>
    <row r="52" spans="1:17" x14ac:dyDescent="0.25">
      <c r="A52" s="72" t="s">
        <v>366</v>
      </c>
      <c r="D52" s="6">
        <f>D38</f>
        <v>1000000</v>
      </c>
      <c r="E52" s="6">
        <f t="shared" ref="E52:N52" si="6">E38</f>
        <v>2310800</v>
      </c>
      <c r="F52" s="6">
        <f t="shared" si="6"/>
        <v>1500000</v>
      </c>
      <c r="G52" s="6">
        <f t="shared" si="6"/>
        <v>500000</v>
      </c>
      <c r="H52" s="6">
        <f t="shared" si="6"/>
        <v>250000</v>
      </c>
      <c r="I52" s="6">
        <f t="shared" si="6"/>
        <v>250000</v>
      </c>
      <c r="J52" s="6">
        <f t="shared" si="6"/>
        <v>250000</v>
      </c>
      <c r="K52" s="6">
        <f t="shared" si="6"/>
        <v>250000</v>
      </c>
      <c r="L52" s="6">
        <f t="shared" si="6"/>
        <v>250000</v>
      </c>
      <c r="M52" s="6">
        <f t="shared" si="6"/>
        <v>250000</v>
      </c>
      <c r="N52" s="6">
        <f t="shared" si="6"/>
        <v>250000</v>
      </c>
      <c r="Q52" s="8"/>
    </row>
    <row r="53" spans="1:17" x14ac:dyDescent="0.25">
      <c r="A53" s="72" t="s">
        <v>367</v>
      </c>
      <c r="Q53" s="8"/>
    </row>
    <row r="54" spans="1:17" x14ac:dyDescent="0.25">
      <c r="A54" s="72" t="s">
        <v>368</v>
      </c>
      <c r="Q54" s="8"/>
    </row>
    <row r="55" spans="1:17" x14ac:dyDescent="0.25">
      <c r="A55" s="72" t="s">
        <v>1</v>
      </c>
      <c r="Q55" s="8"/>
    </row>
    <row r="56" spans="1:17" x14ac:dyDescent="0.25">
      <c r="Q56" s="8"/>
    </row>
    <row r="57" spans="1:17" x14ac:dyDescent="0.25">
      <c r="Q57" s="8"/>
    </row>
    <row r="58" spans="1:17" x14ac:dyDescent="0.25">
      <c r="A58" t="s">
        <v>55</v>
      </c>
      <c r="Q58" s="8"/>
    </row>
    <row r="59" spans="1:17" x14ac:dyDescent="0.25">
      <c r="A59" t="s">
        <v>56</v>
      </c>
      <c r="P59" s="6"/>
      <c r="Q59" s="8"/>
    </row>
    <row r="60" spans="1:17" x14ac:dyDescent="0.25">
      <c r="A60" t="s">
        <v>371</v>
      </c>
    </row>
    <row r="61" spans="1:17" x14ac:dyDescent="0.25">
      <c r="A61" t="s">
        <v>57</v>
      </c>
    </row>
    <row r="62" spans="1:17" x14ac:dyDescent="0.25">
      <c r="A62" t="s">
        <v>244</v>
      </c>
    </row>
    <row r="63" spans="1:17" x14ac:dyDescent="0.25">
      <c r="A63" t="s">
        <v>58</v>
      </c>
    </row>
    <row r="64" spans="1:17" x14ac:dyDescent="0.25">
      <c r="A64" t="s">
        <v>59</v>
      </c>
    </row>
  </sheetData>
  <pageMargins left="0.4" right="0.4" top="0.4" bottom="0.4" header="0" footer="0"/>
  <pageSetup scale="46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5"/>
  <sheetViews>
    <sheetView topLeftCell="A34" workbookViewId="0">
      <selection activeCell="G68" sqref="G68"/>
    </sheetView>
  </sheetViews>
  <sheetFormatPr defaultRowHeight="15" x14ac:dyDescent="0.25"/>
  <cols>
    <col min="1" max="1" width="62.42578125" customWidth="1"/>
    <col min="2" max="2" width="8.28515625" style="1" customWidth="1"/>
    <col min="3" max="3" width="2.85546875" customWidth="1"/>
    <col min="4" max="4" width="11.140625" style="6" customWidth="1"/>
    <col min="5" max="6" width="10.140625" style="6" customWidth="1"/>
    <col min="7" max="7" width="9.140625" style="6"/>
    <col min="8" max="11" width="10.140625" style="6" customWidth="1"/>
    <col min="12" max="12" width="9.140625" style="6"/>
    <col min="13" max="14" width="10.140625" style="6" customWidth="1"/>
    <col min="17" max="17" width="13.28515625" bestFit="1" customWidth="1"/>
  </cols>
  <sheetData>
    <row r="1" spans="1:14" ht="21" x14ac:dyDescent="0.35">
      <c r="A1" s="17" t="s">
        <v>62</v>
      </c>
    </row>
    <row r="2" spans="1:14" ht="21" x14ac:dyDescent="0.35">
      <c r="A2" s="17" t="s">
        <v>69</v>
      </c>
    </row>
    <row r="3" spans="1:14" ht="21" x14ac:dyDescent="0.35">
      <c r="A3" s="17" t="s">
        <v>64</v>
      </c>
      <c r="D3"/>
      <c r="E3"/>
      <c r="F3"/>
      <c r="G3"/>
      <c r="H3"/>
      <c r="I3"/>
      <c r="J3"/>
      <c r="K3"/>
      <c r="L3"/>
      <c r="M3"/>
      <c r="N3"/>
    </row>
    <row r="4" spans="1:14" x14ac:dyDescent="0.25">
      <c r="D4"/>
      <c r="E4"/>
      <c r="F4"/>
      <c r="G4"/>
      <c r="H4"/>
      <c r="I4"/>
      <c r="J4"/>
      <c r="K4"/>
      <c r="L4"/>
      <c r="M4"/>
      <c r="N4"/>
    </row>
    <row r="5" spans="1:14" x14ac:dyDescent="0.25">
      <c r="D5"/>
      <c r="E5"/>
      <c r="F5"/>
      <c r="G5"/>
      <c r="H5"/>
      <c r="I5"/>
      <c r="J5"/>
      <c r="K5"/>
      <c r="L5"/>
      <c r="M5"/>
      <c r="N5"/>
    </row>
    <row r="6" spans="1:14" x14ac:dyDescent="0.25"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45</v>
      </c>
    </row>
    <row r="7" spans="1:14" x14ac:dyDescent="0.25">
      <c r="D7"/>
      <c r="E7"/>
      <c r="F7"/>
      <c r="G7"/>
      <c r="H7"/>
      <c r="I7"/>
      <c r="J7"/>
      <c r="K7"/>
      <c r="L7"/>
      <c r="M7"/>
      <c r="N7"/>
    </row>
    <row r="8" spans="1:14" x14ac:dyDescent="0.25">
      <c r="A8" s="5" t="s">
        <v>0</v>
      </c>
      <c r="D8"/>
      <c r="E8"/>
      <c r="F8"/>
      <c r="G8"/>
      <c r="H8"/>
      <c r="I8"/>
      <c r="J8"/>
      <c r="K8"/>
      <c r="L8"/>
      <c r="M8"/>
      <c r="N8"/>
    </row>
    <row r="9" spans="1:14" x14ac:dyDescent="0.25">
      <c r="A9" t="s">
        <v>80</v>
      </c>
      <c r="B9" s="1" t="s">
        <v>16</v>
      </c>
      <c r="E9" s="6">
        <v>0</v>
      </c>
    </row>
    <row r="10" spans="1:14" x14ac:dyDescent="0.25">
      <c r="A10" t="s">
        <v>81</v>
      </c>
      <c r="B10" s="1" t="s">
        <v>38</v>
      </c>
      <c r="F10" s="6">
        <v>55000</v>
      </c>
    </row>
    <row r="11" spans="1:14" x14ac:dyDescent="0.25">
      <c r="A11" t="s">
        <v>82</v>
      </c>
      <c r="B11" s="1" t="s">
        <v>16</v>
      </c>
      <c r="F11" s="6">
        <v>275000</v>
      </c>
    </row>
    <row r="12" spans="1:14" x14ac:dyDescent="0.25">
      <c r="A12" t="s">
        <v>83</v>
      </c>
      <c r="B12" s="1" t="s">
        <v>16</v>
      </c>
      <c r="G12" s="6">
        <v>235000</v>
      </c>
    </row>
    <row r="13" spans="1:14" x14ac:dyDescent="0.25">
      <c r="A13" t="s">
        <v>84</v>
      </c>
      <c r="B13" s="1" t="s">
        <v>16</v>
      </c>
      <c r="G13" s="6">
        <v>16000</v>
      </c>
    </row>
    <row r="14" spans="1:14" x14ac:dyDescent="0.25">
      <c r="A14" t="s">
        <v>97</v>
      </c>
      <c r="B14" s="1" t="s">
        <v>16</v>
      </c>
      <c r="H14" s="6">
        <v>325000</v>
      </c>
    </row>
    <row r="15" spans="1:14" x14ac:dyDescent="0.25">
      <c r="A15" t="s">
        <v>85</v>
      </c>
      <c r="B15" s="1" t="s">
        <v>16</v>
      </c>
      <c r="J15" s="6">
        <v>110000</v>
      </c>
    </row>
    <row r="16" spans="1:14" x14ac:dyDescent="0.25">
      <c r="A16" t="s">
        <v>86</v>
      </c>
      <c r="B16" s="1" t="s">
        <v>16</v>
      </c>
      <c r="J16" s="6">
        <v>35000</v>
      </c>
    </row>
    <row r="17" spans="1:14" x14ac:dyDescent="0.25">
      <c r="A17" t="s">
        <v>90</v>
      </c>
      <c r="B17" s="1" t="s">
        <v>16</v>
      </c>
      <c r="L17" s="6">
        <v>25000</v>
      </c>
    </row>
    <row r="18" spans="1:14" x14ac:dyDescent="0.25">
      <c r="A18" t="s">
        <v>92</v>
      </c>
      <c r="B18" s="1" t="s">
        <v>16</v>
      </c>
      <c r="L18" s="6">
        <v>100000</v>
      </c>
    </row>
    <row r="19" spans="1:14" x14ac:dyDescent="0.25">
      <c r="A19" t="s">
        <v>93</v>
      </c>
      <c r="B19" s="1" t="s">
        <v>16</v>
      </c>
      <c r="M19" s="6">
        <v>140000</v>
      </c>
    </row>
    <row r="20" spans="1:14" x14ac:dyDescent="0.25">
      <c r="A20" t="s">
        <v>94</v>
      </c>
      <c r="B20" s="1" t="s">
        <v>16</v>
      </c>
      <c r="N20" s="6">
        <v>35000</v>
      </c>
    </row>
    <row r="23" spans="1:14" s="4" customFormat="1" ht="15.75" thickBot="1" x14ac:dyDescent="0.3">
      <c r="A23" s="4" t="s">
        <v>36</v>
      </c>
      <c r="B23" s="2"/>
      <c r="D23" s="9">
        <f t="shared" ref="D23:N23" si="0">SUM(D9:D22)</f>
        <v>0</v>
      </c>
      <c r="E23" s="9">
        <f t="shared" si="0"/>
        <v>0</v>
      </c>
      <c r="F23" s="9">
        <f t="shared" si="0"/>
        <v>330000</v>
      </c>
      <c r="G23" s="9">
        <f t="shared" si="0"/>
        <v>251000</v>
      </c>
      <c r="H23" s="9">
        <f t="shared" si="0"/>
        <v>325000</v>
      </c>
      <c r="I23" s="9">
        <f t="shared" si="0"/>
        <v>0</v>
      </c>
      <c r="J23" s="9">
        <f t="shared" si="0"/>
        <v>145000</v>
      </c>
      <c r="K23" s="9">
        <f t="shared" si="0"/>
        <v>0</v>
      </c>
      <c r="L23" s="9">
        <f t="shared" si="0"/>
        <v>125000</v>
      </c>
      <c r="M23" s="9">
        <f t="shared" si="0"/>
        <v>140000</v>
      </c>
      <c r="N23" s="9">
        <f t="shared" si="0"/>
        <v>35000</v>
      </c>
    </row>
    <row r="24" spans="1:14" ht="15.75" thickTop="1" x14ac:dyDescent="0.25"/>
    <row r="25" spans="1:14" x14ac:dyDescent="0.25">
      <c r="A25" s="5" t="s">
        <v>1</v>
      </c>
    </row>
    <row r="26" spans="1:14" x14ac:dyDescent="0.25">
      <c r="A26" t="s">
        <v>88</v>
      </c>
      <c r="B26" s="1" t="s">
        <v>16</v>
      </c>
      <c r="E26" s="6">
        <v>210000</v>
      </c>
    </row>
    <row r="27" spans="1:14" x14ac:dyDescent="0.25">
      <c r="A27" t="s">
        <v>87</v>
      </c>
      <c r="B27" s="1" t="s">
        <v>16</v>
      </c>
      <c r="D27" s="21">
        <v>0</v>
      </c>
    </row>
    <row r="28" spans="1:14" x14ac:dyDescent="0.25">
      <c r="A28" t="s">
        <v>96</v>
      </c>
      <c r="B28" s="1" t="s">
        <v>16</v>
      </c>
      <c r="F28" s="6">
        <v>195000</v>
      </c>
    </row>
    <row r="29" spans="1:14" x14ac:dyDescent="0.25">
      <c r="A29" t="s">
        <v>95</v>
      </c>
      <c r="B29" s="1" t="s">
        <v>16</v>
      </c>
      <c r="I29" s="6">
        <v>350000</v>
      </c>
    </row>
    <row r="30" spans="1:14" x14ac:dyDescent="0.25">
      <c r="A30" t="s">
        <v>89</v>
      </c>
      <c r="B30" s="1" t="s">
        <v>16</v>
      </c>
      <c r="K30" s="6">
        <v>100000</v>
      </c>
    </row>
    <row r="31" spans="1:14" x14ac:dyDescent="0.25">
      <c r="A31" t="s">
        <v>98</v>
      </c>
    </row>
    <row r="33" spans="1:17" s="4" customFormat="1" ht="15.75" thickBot="1" x14ac:dyDescent="0.3">
      <c r="A33" s="4" t="s">
        <v>34</v>
      </c>
      <c r="B33" s="2"/>
      <c r="D33" s="9">
        <f t="shared" ref="D33:N33" si="1">SUM(D26:D32)</f>
        <v>0</v>
      </c>
      <c r="E33" s="9">
        <f t="shared" si="1"/>
        <v>210000</v>
      </c>
      <c r="F33" s="9">
        <f t="shared" si="1"/>
        <v>195000</v>
      </c>
      <c r="G33" s="9">
        <f t="shared" si="1"/>
        <v>0</v>
      </c>
      <c r="H33" s="9">
        <f t="shared" si="1"/>
        <v>0</v>
      </c>
      <c r="I33" s="9">
        <f t="shared" si="1"/>
        <v>350000</v>
      </c>
      <c r="J33" s="9">
        <f t="shared" si="1"/>
        <v>0</v>
      </c>
      <c r="K33" s="9">
        <f t="shared" si="1"/>
        <v>100000</v>
      </c>
      <c r="L33" s="9">
        <f t="shared" si="1"/>
        <v>0</v>
      </c>
      <c r="M33" s="9">
        <f t="shared" si="1"/>
        <v>0</v>
      </c>
      <c r="N33" s="9">
        <f t="shared" si="1"/>
        <v>0</v>
      </c>
    </row>
    <row r="34" spans="1:17" ht="15.75" thickTop="1" x14ac:dyDescent="0.25"/>
    <row r="35" spans="1:17" s="4" customFormat="1" x14ac:dyDescent="0.25">
      <c r="A35" s="4" t="s">
        <v>35</v>
      </c>
      <c r="B35" s="2"/>
      <c r="D35" s="10">
        <f t="shared" ref="D35:N35" si="2">D33+D23</f>
        <v>0</v>
      </c>
      <c r="E35" s="10">
        <f t="shared" si="2"/>
        <v>210000</v>
      </c>
      <c r="F35" s="10">
        <f t="shared" si="2"/>
        <v>525000</v>
      </c>
      <c r="G35" s="10">
        <f t="shared" si="2"/>
        <v>251000</v>
      </c>
      <c r="H35" s="10">
        <f t="shared" si="2"/>
        <v>325000</v>
      </c>
      <c r="I35" s="10">
        <f t="shared" si="2"/>
        <v>350000</v>
      </c>
      <c r="J35" s="10">
        <f t="shared" si="2"/>
        <v>145000</v>
      </c>
      <c r="K35" s="10">
        <f t="shared" si="2"/>
        <v>100000</v>
      </c>
      <c r="L35" s="10">
        <f t="shared" si="2"/>
        <v>125000</v>
      </c>
      <c r="M35" s="10">
        <f t="shared" si="2"/>
        <v>140000</v>
      </c>
      <c r="N35" s="10">
        <f t="shared" si="2"/>
        <v>35000</v>
      </c>
    </row>
    <row r="38" spans="1:17" x14ac:dyDescent="0.25">
      <c r="Q38" s="8"/>
    </row>
    <row r="39" spans="1:17" x14ac:dyDescent="0.25">
      <c r="A39" t="s">
        <v>16</v>
      </c>
      <c r="D39" s="6">
        <f t="shared" ref="D39:N45" si="3">SUMIF($B$9:$B$32,$A39,D$9:D$32)</f>
        <v>0</v>
      </c>
      <c r="E39" s="6">
        <f t="shared" si="3"/>
        <v>210000</v>
      </c>
      <c r="F39" s="6">
        <f t="shared" si="3"/>
        <v>470000</v>
      </c>
      <c r="G39" s="6">
        <f t="shared" si="3"/>
        <v>251000</v>
      </c>
      <c r="H39" s="6">
        <f t="shared" si="3"/>
        <v>325000</v>
      </c>
      <c r="I39" s="6">
        <f t="shared" si="3"/>
        <v>350000</v>
      </c>
      <c r="J39" s="6">
        <f t="shared" si="3"/>
        <v>145000</v>
      </c>
      <c r="K39" s="6">
        <f t="shared" si="3"/>
        <v>100000</v>
      </c>
      <c r="L39" s="6">
        <f t="shared" si="3"/>
        <v>125000</v>
      </c>
      <c r="M39" s="6">
        <f t="shared" si="3"/>
        <v>140000</v>
      </c>
      <c r="N39" s="6">
        <f t="shared" si="3"/>
        <v>35000</v>
      </c>
    </row>
    <row r="40" spans="1:17" x14ac:dyDescent="0.25">
      <c r="A40" t="s">
        <v>37</v>
      </c>
      <c r="D40" s="6">
        <f t="shared" si="3"/>
        <v>0</v>
      </c>
      <c r="E40" s="6">
        <f t="shared" si="3"/>
        <v>0</v>
      </c>
      <c r="F40" s="6">
        <f t="shared" si="3"/>
        <v>0</v>
      </c>
      <c r="G40" s="6">
        <f t="shared" si="3"/>
        <v>0</v>
      </c>
      <c r="H40" s="6">
        <f t="shared" si="3"/>
        <v>0</v>
      </c>
      <c r="I40" s="6">
        <f t="shared" si="3"/>
        <v>0</v>
      </c>
      <c r="J40" s="6">
        <f t="shared" si="3"/>
        <v>0</v>
      </c>
      <c r="K40" s="6">
        <f t="shared" si="3"/>
        <v>0</v>
      </c>
      <c r="L40" s="6">
        <f t="shared" si="3"/>
        <v>0</v>
      </c>
      <c r="M40" s="6">
        <f t="shared" si="3"/>
        <v>0</v>
      </c>
      <c r="N40" s="6">
        <f t="shared" si="3"/>
        <v>0</v>
      </c>
    </row>
    <row r="41" spans="1:17" x14ac:dyDescent="0.25">
      <c r="A41" t="s">
        <v>38</v>
      </c>
      <c r="D41" s="6">
        <f t="shared" si="3"/>
        <v>0</v>
      </c>
      <c r="E41" s="6">
        <f t="shared" si="3"/>
        <v>0</v>
      </c>
      <c r="F41" s="6">
        <f t="shared" si="3"/>
        <v>55000</v>
      </c>
      <c r="G41" s="6">
        <f t="shared" si="3"/>
        <v>0</v>
      </c>
      <c r="H41" s="6">
        <f t="shared" si="3"/>
        <v>0</v>
      </c>
      <c r="I41" s="6">
        <f t="shared" si="3"/>
        <v>0</v>
      </c>
      <c r="J41" s="6">
        <f t="shared" si="3"/>
        <v>0</v>
      </c>
      <c r="K41" s="6">
        <f t="shared" si="3"/>
        <v>0</v>
      </c>
      <c r="L41" s="6">
        <f t="shared" si="3"/>
        <v>0</v>
      </c>
      <c r="M41" s="6">
        <f t="shared" si="3"/>
        <v>0</v>
      </c>
      <c r="N41" s="6">
        <f t="shared" si="3"/>
        <v>0</v>
      </c>
    </row>
    <row r="42" spans="1:17" x14ac:dyDescent="0.25">
      <c r="A42" t="s">
        <v>19</v>
      </c>
      <c r="D42" s="6">
        <f t="shared" si="3"/>
        <v>0</v>
      </c>
      <c r="E42" s="6">
        <f t="shared" si="3"/>
        <v>0</v>
      </c>
      <c r="F42" s="6">
        <f t="shared" si="3"/>
        <v>0</v>
      </c>
      <c r="G42" s="6">
        <f t="shared" si="3"/>
        <v>0</v>
      </c>
      <c r="H42" s="6">
        <f t="shared" si="3"/>
        <v>0</v>
      </c>
      <c r="I42" s="6">
        <f t="shared" si="3"/>
        <v>0</v>
      </c>
      <c r="J42" s="6">
        <f t="shared" si="3"/>
        <v>0</v>
      </c>
      <c r="K42" s="6">
        <f t="shared" si="3"/>
        <v>0</v>
      </c>
      <c r="L42" s="6">
        <f t="shared" si="3"/>
        <v>0</v>
      </c>
      <c r="M42" s="6">
        <f t="shared" si="3"/>
        <v>0</v>
      </c>
      <c r="N42" s="6">
        <f t="shared" si="3"/>
        <v>0</v>
      </c>
    </row>
    <row r="43" spans="1:17" x14ac:dyDescent="0.25">
      <c r="A43" t="s">
        <v>243</v>
      </c>
      <c r="D43" s="6">
        <f t="shared" si="3"/>
        <v>0</v>
      </c>
      <c r="E43" s="6">
        <f t="shared" si="3"/>
        <v>0</v>
      </c>
      <c r="F43" s="6">
        <f t="shared" si="3"/>
        <v>0</v>
      </c>
      <c r="G43" s="6">
        <f t="shared" si="3"/>
        <v>0</v>
      </c>
      <c r="H43" s="6">
        <f t="shared" si="3"/>
        <v>0</v>
      </c>
      <c r="I43" s="6">
        <f t="shared" si="3"/>
        <v>0</v>
      </c>
      <c r="J43" s="6">
        <f t="shared" si="3"/>
        <v>0</v>
      </c>
      <c r="K43" s="6">
        <f t="shared" si="3"/>
        <v>0</v>
      </c>
      <c r="L43" s="6">
        <f t="shared" si="3"/>
        <v>0</v>
      </c>
      <c r="M43" s="6">
        <f t="shared" si="3"/>
        <v>0</v>
      </c>
      <c r="N43" s="6">
        <f t="shared" si="3"/>
        <v>0</v>
      </c>
    </row>
    <row r="44" spans="1:17" x14ac:dyDescent="0.25">
      <c r="A44" t="s">
        <v>13</v>
      </c>
      <c r="D44" s="6">
        <f t="shared" si="3"/>
        <v>0</v>
      </c>
      <c r="E44" s="6">
        <f t="shared" si="3"/>
        <v>0</v>
      </c>
      <c r="F44" s="6">
        <f t="shared" si="3"/>
        <v>0</v>
      </c>
      <c r="G44" s="6">
        <f t="shared" si="3"/>
        <v>0</v>
      </c>
      <c r="H44" s="6">
        <f t="shared" si="3"/>
        <v>0</v>
      </c>
      <c r="I44" s="6">
        <f t="shared" si="3"/>
        <v>0</v>
      </c>
      <c r="J44" s="6">
        <f t="shared" si="3"/>
        <v>0</v>
      </c>
      <c r="K44" s="6">
        <f t="shared" si="3"/>
        <v>0</v>
      </c>
      <c r="L44" s="6">
        <f t="shared" si="3"/>
        <v>0</v>
      </c>
      <c r="M44" s="6">
        <f t="shared" si="3"/>
        <v>0</v>
      </c>
      <c r="N44" s="6">
        <f t="shared" si="3"/>
        <v>0</v>
      </c>
    </row>
    <row r="45" spans="1:17" x14ac:dyDescent="0.25">
      <c r="A45" t="s">
        <v>50</v>
      </c>
      <c r="D45" s="6">
        <f t="shared" si="3"/>
        <v>0</v>
      </c>
      <c r="E45" s="6">
        <f t="shared" si="3"/>
        <v>0</v>
      </c>
      <c r="F45" s="6">
        <f t="shared" si="3"/>
        <v>0</v>
      </c>
      <c r="G45" s="6">
        <f t="shared" si="3"/>
        <v>0</v>
      </c>
      <c r="H45" s="6">
        <f t="shared" si="3"/>
        <v>0</v>
      </c>
      <c r="I45" s="6">
        <f t="shared" si="3"/>
        <v>0</v>
      </c>
      <c r="J45" s="6">
        <f t="shared" si="3"/>
        <v>0</v>
      </c>
      <c r="K45" s="6">
        <f t="shared" si="3"/>
        <v>0</v>
      </c>
      <c r="L45" s="6">
        <f t="shared" si="3"/>
        <v>0</v>
      </c>
      <c r="M45" s="6">
        <f t="shared" si="3"/>
        <v>0</v>
      </c>
      <c r="N45" s="6">
        <f t="shared" si="3"/>
        <v>0</v>
      </c>
    </row>
    <row r="46" spans="1:17" ht="15.75" thickBot="1" x14ac:dyDescent="0.3">
      <c r="D46" s="7">
        <f t="shared" ref="D46:N46" si="4">SUM(D39:D45)</f>
        <v>0</v>
      </c>
      <c r="E46" s="7">
        <f t="shared" si="4"/>
        <v>210000</v>
      </c>
      <c r="F46" s="7">
        <f t="shared" si="4"/>
        <v>525000</v>
      </c>
      <c r="G46" s="7">
        <f t="shared" si="4"/>
        <v>251000</v>
      </c>
      <c r="H46" s="7">
        <f t="shared" si="4"/>
        <v>325000</v>
      </c>
      <c r="I46" s="7">
        <f t="shared" si="4"/>
        <v>350000</v>
      </c>
      <c r="J46" s="7">
        <f t="shared" si="4"/>
        <v>145000</v>
      </c>
      <c r="K46" s="7">
        <f t="shared" si="4"/>
        <v>100000</v>
      </c>
      <c r="L46" s="7">
        <f t="shared" si="4"/>
        <v>125000</v>
      </c>
      <c r="M46" s="7">
        <f t="shared" si="4"/>
        <v>140000</v>
      </c>
      <c r="N46" s="7">
        <f t="shared" si="4"/>
        <v>35000</v>
      </c>
    </row>
    <row r="47" spans="1:17" ht="15.75" thickTop="1" x14ac:dyDescent="0.25">
      <c r="D47" s="8">
        <f>D46-D35</f>
        <v>0</v>
      </c>
      <c r="E47" s="8">
        <f t="shared" ref="E47:N47" si="5">E46-E35</f>
        <v>0</v>
      </c>
      <c r="F47" s="8">
        <f t="shared" si="5"/>
        <v>0</v>
      </c>
      <c r="G47" s="8">
        <f t="shared" si="5"/>
        <v>0</v>
      </c>
      <c r="H47" s="8">
        <f t="shared" si="5"/>
        <v>0</v>
      </c>
      <c r="I47" s="8">
        <f t="shared" si="5"/>
        <v>0</v>
      </c>
      <c r="J47" s="8">
        <f t="shared" si="5"/>
        <v>0</v>
      </c>
      <c r="K47" s="8">
        <f t="shared" si="5"/>
        <v>0</v>
      </c>
      <c r="L47" s="8">
        <f t="shared" si="5"/>
        <v>0</v>
      </c>
      <c r="M47" s="8">
        <f t="shared" si="5"/>
        <v>0</v>
      </c>
      <c r="N47" s="8">
        <f t="shared" si="5"/>
        <v>0</v>
      </c>
    </row>
    <row r="48" spans="1:17" x14ac:dyDescent="0.25">
      <c r="P48" s="6"/>
      <c r="Q48" s="8"/>
    </row>
    <row r="49" spans="1:17" x14ac:dyDescent="0.25">
      <c r="Q49" s="8"/>
    </row>
    <row r="50" spans="1:17" x14ac:dyDescent="0.25">
      <c r="A50" s="72" t="s">
        <v>315</v>
      </c>
      <c r="Q50" s="8"/>
    </row>
    <row r="51" spans="1:17" x14ac:dyDescent="0.25">
      <c r="A51" s="72" t="s">
        <v>317</v>
      </c>
      <c r="Q51" s="8"/>
    </row>
    <row r="52" spans="1:17" x14ac:dyDescent="0.25">
      <c r="A52" s="72" t="s">
        <v>316</v>
      </c>
      <c r="Q52" s="8"/>
    </row>
    <row r="53" spans="1:17" x14ac:dyDescent="0.25">
      <c r="A53" s="72" t="s">
        <v>366</v>
      </c>
      <c r="D53" s="6">
        <f>D46</f>
        <v>0</v>
      </c>
      <c r="E53" s="6">
        <f t="shared" ref="E53:N53" si="6">E46</f>
        <v>210000</v>
      </c>
      <c r="F53" s="6">
        <f t="shared" si="6"/>
        <v>525000</v>
      </c>
      <c r="G53" s="6">
        <f t="shared" si="6"/>
        <v>251000</v>
      </c>
      <c r="H53" s="6">
        <f t="shared" si="6"/>
        <v>325000</v>
      </c>
      <c r="I53" s="6">
        <f t="shared" si="6"/>
        <v>350000</v>
      </c>
      <c r="J53" s="6">
        <f t="shared" si="6"/>
        <v>145000</v>
      </c>
      <c r="K53" s="6">
        <f t="shared" si="6"/>
        <v>100000</v>
      </c>
      <c r="L53" s="6">
        <f t="shared" si="6"/>
        <v>125000</v>
      </c>
      <c r="M53" s="6">
        <f t="shared" si="6"/>
        <v>140000</v>
      </c>
      <c r="N53" s="6">
        <f t="shared" si="6"/>
        <v>35000</v>
      </c>
      <c r="Q53" s="8"/>
    </row>
    <row r="54" spans="1:17" x14ac:dyDescent="0.25">
      <c r="A54" s="72" t="s">
        <v>367</v>
      </c>
      <c r="Q54" s="8"/>
    </row>
    <row r="55" spans="1:17" x14ac:dyDescent="0.25">
      <c r="A55" s="72" t="s">
        <v>368</v>
      </c>
      <c r="Q55" s="8"/>
    </row>
    <row r="56" spans="1:17" x14ac:dyDescent="0.25">
      <c r="A56" s="72" t="s">
        <v>1</v>
      </c>
      <c r="Q56" s="8"/>
    </row>
    <row r="57" spans="1:17" x14ac:dyDescent="0.25">
      <c r="Q57" s="8"/>
    </row>
    <row r="58" spans="1:17" x14ac:dyDescent="0.25">
      <c r="P58" s="6"/>
      <c r="Q58" s="8"/>
    </row>
    <row r="59" spans="1:17" x14ac:dyDescent="0.25">
      <c r="A59" t="s">
        <v>55</v>
      </c>
    </row>
    <row r="60" spans="1:17" x14ac:dyDescent="0.25">
      <c r="A60" t="s">
        <v>56</v>
      </c>
    </row>
    <row r="61" spans="1:17" x14ac:dyDescent="0.25">
      <c r="A61" t="s">
        <v>371</v>
      </c>
    </row>
    <row r="62" spans="1:17" x14ac:dyDescent="0.25">
      <c r="A62" t="s">
        <v>57</v>
      </c>
    </row>
    <row r="63" spans="1:17" x14ac:dyDescent="0.25">
      <c r="A63" t="s">
        <v>244</v>
      </c>
    </row>
    <row r="64" spans="1:17" x14ac:dyDescent="0.25">
      <c r="A64" t="s">
        <v>58</v>
      </c>
    </row>
    <row r="65" spans="1:1" x14ac:dyDescent="0.25">
      <c r="A65" t="s">
        <v>59</v>
      </c>
    </row>
  </sheetData>
  <pageMargins left="0.4" right="0.4" top="0.4" bottom="0.4" header="0" footer="0"/>
  <pageSetup scale="53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84"/>
  <sheetViews>
    <sheetView topLeftCell="A31" workbookViewId="0">
      <selection activeCell="G68" sqref="G68"/>
    </sheetView>
  </sheetViews>
  <sheetFormatPr defaultRowHeight="15" x14ac:dyDescent="0.25"/>
  <cols>
    <col min="1" max="1" width="26.7109375" bestFit="1" customWidth="1"/>
    <col min="2" max="2" width="62.42578125" customWidth="1"/>
    <col min="3" max="3" width="8.28515625" style="1" customWidth="1"/>
    <col min="4" max="4" width="2.85546875" customWidth="1"/>
    <col min="5" max="5" width="11.140625" style="6" customWidth="1"/>
    <col min="6" max="7" width="10.140625" style="6" customWidth="1"/>
    <col min="8" max="8" width="10.140625" style="6" bestFit="1" customWidth="1"/>
    <col min="9" max="12" width="10.140625" style="6" customWidth="1"/>
    <col min="13" max="13" width="9.140625" style="6"/>
    <col min="14" max="15" width="10.140625" style="6" customWidth="1"/>
    <col min="18" max="18" width="13.28515625" bestFit="1" customWidth="1"/>
  </cols>
  <sheetData>
    <row r="1" spans="1:16" ht="21" x14ac:dyDescent="0.35">
      <c r="B1" s="17" t="s">
        <v>62</v>
      </c>
    </row>
    <row r="2" spans="1:16" ht="21" x14ac:dyDescent="0.35">
      <c r="B2" s="17" t="s">
        <v>70</v>
      </c>
      <c r="H2" s="19"/>
    </row>
    <row r="3" spans="1:16" ht="21" x14ac:dyDescent="0.35">
      <c r="B3" s="17" t="s">
        <v>64</v>
      </c>
      <c r="E3"/>
      <c r="F3"/>
      <c r="G3"/>
      <c r="H3"/>
      <c r="I3"/>
      <c r="J3"/>
      <c r="K3"/>
      <c r="L3"/>
      <c r="M3"/>
      <c r="N3"/>
      <c r="O3"/>
    </row>
    <row r="4" spans="1:16" x14ac:dyDescent="0.25">
      <c r="E4"/>
      <c r="F4"/>
      <c r="G4"/>
      <c r="H4"/>
      <c r="I4"/>
      <c r="J4"/>
      <c r="K4"/>
      <c r="L4"/>
      <c r="M4"/>
      <c r="N4"/>
      <c r="O4"/>
    </row>
    <row r="5" spans="1:16" x14ac:dyDescent="0.25">
      <c r="E5"/>
      <c r="F5"/>
      <c r="G5"/>
      <c r="H5"/>
      <c r="I5"/>
      <c r="J5"/>
      <c r="K5"/>
      <c r="L5"/>
      <c r="M5"/>
      <c r="N5"/>
      <c r="O5"/>
    </row>
    <row r="6" spans="1:16" x14ac:dyDescent="0.25"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10</v>
      </c>
      <c r="N6" s="3" t="s">
        <v>11</v>
      </c>
      <c r="O6" s="3" t="s">
        <v>45</v>
      </c>
    </row>
    <row r="7" spans="1:16" x14ac:dyDescent="0.25">
      <c r="E7"/>
      <c r="F7"/>
      <c r="G7"/>
      <c r="H7"/>
      <c r="I7"/>
      <c r="J7"/>
      <c r="K7"/>
      <c r="L7"/>
      <c r="M7"/>
      <c r="N7"/>
      <c r="O7"/>
    </row>
    <row r="8" spans="1:16" x14ac:dyDescent="0.25">
      <c r="B8" s="5" t="s">
        <v>0</v>
      </c>
      <c r="E8"/>
      <c r="F8"/>
      <c r="G8"/>
      <c r="H8"/>
      <c r="I8"/>
      <c r="J8"/>
      <c r="K8"/>
      <c r="L8"/>
      <c r="M8"/>
      <c r="N8"/>
      <c r="O8"/>
    </row>
    <row r="9" spans="1:16" x14ac:dyDescent="0.25">
      <c r="A9" t="s">
        <v>316</v>
      </c>
      <c r="B9" t="s">
        <v>124</v>
      </c>
      <c r="C9" s="1" t="s">
        <v>16</v>
      </c>
      <c r="F9" s="6">
        <v>145000</v>
      </c>
      <c r="G9" s="6">
        <v>125000</v>
      </c>
      <c r="H9" s="6">
        <v>125000</v>
      </c>
      <c r="I9" s="6">
        <v>125000</v>
      </c>
      <c r="J9" s="6">
        <v>125000</v>
      </c>
      <c r="K9" s="6">
        <v>125000</v>
      </c>
      <c r="L9" s="6">
        <v>125000</v>
      </c>
      <c r="M9" s="6">
        <v>125000</v>
      </c>
      <c r="N9" s="6">
        <v>125000</v>
      </c>
      <c r="O9" s="6">
        <v>125000</v>
      </c>
    </row>
    <row r="10" spans="1:16" x14ac:dyDescent="0.25">
      <c r="A10" t="s">
        <v>316</v>
      </c>
      <c r="B10" t="s">
        <v>125</v>
      </c>
      <c r="C10" s="1" t="s">
        <v>16</v>
      </c>
      <c r="G10" s="6">
        <v>29327</v>
      </c>
      <c r="H10" s="6">
        <v>29327</v>
      </c>
      <c r="K10" s="6">
        <v>30518</v>
      </c>
      <c r="L10" s="6">
        <v>30518</v>
      </c>
    </row>
    <row r="11" spans="1:16" x14ac:dyDescent="0.25">
      <c r="A11" t="s">
        <v>316</v>
      </c>
      <c r="B11" t="s">
        <v>126</v>
      </c>
      <c r="C11" s="1" t="s">
        <v>16</v>
      </c>
      <c r="G11" s="6">
        <v>29327</v>
      </c>
      <c r="H11" s="6">
        <v>29327</v>
      </c>
      <c r="K11" s="6">
        <v>30518</v>
      </c>
      <c r="L11" s="6">
        <v>30518</v>
      </c>
    </row>
    <row r="12" spans="1:16" x14ac:dyDescent="0.25">
      <c r="A12" t="s">
        <v>316</v>
      </c>
      <c r="B12" t="s">
        <v>127</v>
      </c>
      <c r="C12" s="1" t="s">
        <v>16</v>
      </c>
      <c r="F12" s="6">
        <v>33000</v>
      </c>
      <c r="H12" s="6">
        <v>33000</v>
      </c>
      <c r="J12" s="6">
        <v>33000</v>
      </c>
      <c r="L12" s="6">
        <v>33000</v>
      </c>
      <c r="N12" s="6">
        <v>33000</v>
      </c>
    </row>
    <row r="13" spans="1:16" x14ac:dyDescent="0.25">
      <c r="A13" t="s">
        <v>316</v>
      </c>
      <c r="B13" t="s">
        <v>128</v>
      </c>
      <c r="C13" s="1" t="s">
        <v>16</v>
      </c>
      <c r="F13" s="6">
        <v>28000</v>
      </c>
      <c r="G13" s="6">
        <v>28000</v>
      </c>
      <c r="H13" s="6">
        <v>28000</v>
      </c>
      <c r="I13" s="6">
        <v>28000</v>
      </c>
      <c r="J13" s="6">
        <v>28000</v>
      </c>
      <c r="K13" s="6">
        <v>28000</v>
      </c>
      <c r="L13" s="6">
        <v>28000</v>
      </c>
      <c r="M13" s="6">
        <v>28000</v>
      </c>
      <c r="N13" s="6">
        <v>28000</v>
      </c>
      <c r="O13" s="6">
        <v>28000</v>
      </c>
    </row>
    <row r="14" spans="1:16" x14ac:dyDescent="0.25">
      <c r="A14" t="s">
        <v>316</v>
      </c>
      <c r="B14" t="s">
        <v>309</v>
      </c>
      <c r="C14" s="1" t="s">
        <v>16</v>
      </c>
      <c r="F14" s="6">
        <v>60000</v>
      </c>
      <c r="G14" s="6">
        <v>60000</v>
      </c>
      <c r="H14" s="6">
        <v>60000</v>
      </c>
      <c r="I14" s="6">
        <v>60000</v>
      </c>
      <c r="J14" s="6">
        <v>60000</v>
      </c>
      <c r="K14" s="6">
        <v>60000</v>
      </c>
      <c r="L14" s="6">
        <v>60000</v>
      </c>
      <c r="M14" s="6">
        <v>60000</v>
      </c>
      <c r="N14" s="6">
        <v>60000</v>
      </c>
      <c r="O14" s="6">
        <v>60000</v>
      </c>
    </row>
    <row r="15" spans="1:16" x14ac:dyDescent="0.25">
      <c r="A15" t="s">
        <v>366</v>
      </c>
      <c r="B15" t="s">
        <v>120</v>
      </c>
      <c r="C15" s="1" t="s">
        <v>16</v>
      </c>
      <c r="F15" s="21">
        <v>200000</v>
      </c>
      <c r="G15" s="21">
        <v>200000</v>
      </c>
      <c r="H15" s="21">
        <v>200000</v>
      </c>
      <c r="I15" s="21">
        <v>200000</v>
      </c>
      <c r="J15" s="21">
        <v>200000</v>
      </c>
      <c r="K15" s="21">
        <v>200000</v>
      </c>
      <c r="L15" s="21">
        <v>200000</v>
      </c>
      <c r="M15" s="21">
        <v>200000</v>
      </c>
      <c r="N15" s="21">
        <v>200000</v>
      </c>
      <c r="O15" s="21">
        <v>200000</v>
      </c>
      <c r="P15" s="6"/>
    </row>
    <row r="16" spans="1:16" x14ac:dyDescent="0.25">
      <c r="A16" t="s">
        <v>366</v>
      </c>
      <c r="B16" t="s">
        <v>121</v>
      </c>
      <c r="C16" s="1" t="s">
        <v>16</v>
      </c>
      <c r="F16" s="6">
        <v>81949</v>
      </c>
      <c r="H16" s="6">
        <v>86097</v>
      </c>
      <c r="O16" s="6">
        <v>99847</v>
      </c>
    </row>
    <row r="17" spans="1:14" x14ac:dyDescent="0.25">
      <c r="A17" t="s">
        <v>366</v>
      </c>
      <c r="B17" t="s">
        <v>122</v>
      </c>
      <c r="C17" s="1" t="s">
        <v>16</v>
      </c>
      <c r="H17" s="6">
        <v>42025</v>
      </c>
      <c r="I17" s="6">
        <v>38633</v>
      </c>
      <c r="J17" s="6">
        <v>50913</v>
      </c>
    </row>
    <row r="18" spans="1:14" x14ac:dyDescent="0.25">
      <c r="A18" t="s">
        <v>366</v>
      </c>
      <c r="B18" t="s">
        <v>326</v>
      </c>
      <c r="C18" s="1" t="s">
        <v>16</v>
      </c>
      <c r="G18" s="6">
        <v>110000</v>
      </c>
      <c r="H18" s="6">
        <v>110000</v>
      </c>
    </row>
    <row r="19" spans="1:14" x14ac:dyDescent="0.25">
      <c r="A19" t="s">
        <v>366</v>
      </c>
      <c r="B19" t="s">
        <v>327</v>
      </c>
      <c r="C19" s="1" t="s">
        <v>16</v>
      </c>
      <c r="H19" s="6">
        <v>8000</v>
      </c>
    </row>
    <row r="20" spans="1:14" x14ac:dyDescent="0.25">
      <c r="A20" t="s">
        <v>366</v>
      </c>
      <c r="B20" t="s">
        <v>328</v>
      </c>
      <c r="C20" s="1" t="s">
        <v>16</v>
      </c>
      <c r="I20" s="6">
        <v>150000</v>
      </c>
    </row>
    <row r="21" spans="1:14" x14ac:dyDescent="0.25">
      <c r="A21" t="s">
        <v>366</v>
      </c>
      <c r="B21" t="s">
        <v>329</v>
      </c>
      <c r="C21" s="1" t="s">
        <v>16</v>
      </c>
      <c r="J21" s="6">
        <v>50000</v>
      </c>
    </row>
    <row r="22" spans="1:14" x14ac:dyDescent="0.25">
      <c r="A22" t="s">
        <v>366</v>
      </c>
      <c r="B22" t="s">
        <v>330</v>
      </c>
      <c r="C22" s="1" t="s">
        <v>16</v>
      </c>
      <c r="J22" s="6">
        <v>40000</v>
      </c>
    </row>
    <row r="23" spans="1:14" x14ac:dyDescent="0.25">
      <c r="A23" t="s">
        <v>366</v>
      </c>
      <c r="B23" t="s">
        <v>331</v>
      </c>
      <c r="C23" s="1" t="s">
        <v>16</v>
      </c>
      <c r="I23" s="6">
        <v>70000</v>
      </c>
    </row>
    <row r="24" spans="1:14" x14ac:dyDescent="0.25">
      <c r="A24" t="s">
        <v>366</v>
      </c>
      <c r="B24" t="s">
        <v>118</v>
      </c>
      <c r="C24" s="1" t="s">
        <v>16</v>
      </c>
      <c r="F24" s="6">
        <v>35000</v>
      </c>
      <c r="G24" s="6">
        <v>0</v>
      </c>
      <c r="H24" s="6">
        <v>34218</v>
      </c>
      <c r="I24" s="6">
        <v>35074</v>
      </c>
      <c r="J24" s="6">
        <v>35950</v>
      </c>
      <c r="K24" s="6">
        <v>36849</v>
      </c>
      <c r="M24" s="6">
        <v>38715</v>
      </c>
      <c r="N24" s="6">
        <v>39683</v>
      </c>
    </row>
    <row r="25" spans="1:14" x14ac:dyDescent="0.25">
      <c r="A25" t="s">
        <v>366</v>
      </c>
      <c r="B25" t="s">
        <v>119</v>
      </c>
      <c r="C25" s="1" t="s">
        <v>16</v>
      </c>
      <c r="F25" s="6">
        <v>0</v>
      </c>
      <c r="M25" s="6">
        <v>0</v>
      </c>
      <c r="N25" s="6">
        <v>0</v>
      </c>
    </row>
    <row r="26" spans="1:14" x14ac:dyDescent="0.25">
      <c r="A26" t="s">
        <v>366</v>
      </c>
      <c r="B26" t="s">
        <v>112</v>
      </c>
      <c r="C26" s="1" t="s">
        <v>16</v>
      </c>
    </row>
    <row r="27" spans="1:14" x14ac:dyDescent="0.25">
      <c r="A27" t="s">
        <v>316</v>
      </c>
      <c r="B27" t="s">
        <v>113</v>
      </c>
      <c r="C27" s="1" t="s">
        <v>19</v>
      </c>
      <c r="G27" s="6">
        <v>700000</v>
      </c>
      <c r="K27" s="6">
        <v>1300000</v>
      </c>
    </row>
    <row r="28" spans="1:14" x14ac:dyDescent="0.25">
      <c r="A28" t="s">
        <v>316</v>
      </c>
      <c r="B28" t="s">
        <v>114</v>
      </c>
      <c r="C28" s="1" t="s">
        <v>16</v>
      </c>
      <c r="N28" s="6">
        <v>250000</v>
      </c>
    </row>
    <row r="29" spans="1:14" x14ac:dyDescent="0.25">
      <c r="A29" t="s">
        <v>316</v>
      </c>
      <c r="B29" t="s">
        <v>115</v>
      </c>
      <c r="C29" s="1" t="s">
        <v>19</v>
      </c>
      <c r="G29" s="21">
        <v>600000</v>
      </c>
    </row>
    <row r="30" spans="1:14" x14ac:dyDescent="0.25">
      <c r="A30" t="s">
        <v>316</v>
      </c>
      <c r="B30" t="s">
        <v>116</v>
      </c>
      <c r="C30" s="1" t="s">
        <v>16</v>
      </c>
      <c r="M30" s="6">
        <v>50000</v>
      </c>
      <c r="N30" s="6">
        <v>50000</v>
      </c>
    </row>
    <row r="31" spans="1:14" x14ac:dyDescent="0.25">
      <c r="A31" t="s">
        <v>316</v>
      </c>
      <c r="B31" t="s">
        <v>117</v>
      </c>
      <c r="C31" s="1" t="s">
        <v>16</v>
      </c>
      <c r="I31" s="6">
        <v>75000</v>
      </c>
      <c r="J31" s="6">
        <v>75000</v>
      </c>
      <c r="K31" s="6">
        <v>75000</v>
      </c>
      <c r="L31" s="6">
        <v>75000</v>
      </c>
    </row>
    <row r="32" spans="1:14" x14ac:dyDescent="0.25">
      <c r="A32" t="s">
        <v>367</v>
      </c>
      <c r="B32" t="s">
        <v>349</v>
      </c>
      <c r="C32" s="1" t="s">
        <v>16</v>
      </c>
      <c r="F32" s="6">
        <v>20000</v>
      </c>
    </row>
    <row r="33" spans="1:18" x14ac:dyDescent="0.25">
      <c r="A33" t="s">
        <v>367</v>
      </c>
      <c r="B33" t="s">
        <v>129</v>
      </c>
      <c r="C33" s="1" t="s">
        <v>16</v>
      </c>
      <c r="H33" s="6">
        <v>80000</v>
      </c>
      <c r="M33" s="6">
        <v>100000</v>
      </c>
    </row>
    <row r="34" spans="1:18" x14ac:dyDescent="0.25">
      <c r="A34" t="s">
        <v>367</v>
      </c>
      <c r="B34" t="s">
        <v>130</v>
      </c>
      <c r="C34" s="1" t="s">
        <v>16</v>
      </c>
      <c r="E34" s="6">
        <v>8000</v>
      </c>
    </row>
    <row r="35" spans="1:18" x14ac:dyDescent="0.25">
      <c r="A35" t="s">
        <v>367</v>
      </c>
      <c r="B35" t="s">
        <v>131</v>
      </c>
      <c r="C35" s="1" t="s">
        <v>16</v>
      </c>
      <c r="G35" s="6">
        <v>40000</v>
      </c>
    </row>
    <row r="36" spans="1:18" x14ac:dyDescent="0.25">
      <c r="A36" t="s">
        <v>367</v>
      </c>
      <c r="B36" t="s">
        <v>132</v>
      </c>
      <c r="C36" s="1" t="s">
        <v>16</v>
      </c>
      <c r="F36" s="6">
        <v>7500</v>
      </c>
      <c r="G36" s="6">
        <v>7500</v>
      </c>
      <c r="H36" s="6">
        <v>7500</v>
      </c>
      <c r="I36" s="6">
        <v>7500</v>
      </c>
      <c r="J36" s="6">
        <v>5000</v>
      </c>
      <c r="K36" s="6">
        <v>5000</v>
      </c>
      <c r="L36" s="6">
        <v>5000</v>
      </c>
      <c r="P36" s="52"/>
    </row>
    <row r="37" spans="1:18" x14ac:dyDescent="0.25">
      <c r="A37" t="s">
        <v>367</v>
      </c>
      <c r="B37" t="s">
        <v>133</v>
      </c>
      <c r="C37" s="1" t="s">
        <v>16</v>
      </c>
      <c r="H37" s="6">
        <v>85000</v>
      </c>
      <c r="J37" s="6">
        <v>45000</v>
      </c>
      <c r="K37" s="6">
        <v>100000</v>
      </c>
      <c r="M37" s="6">
        <v>52000</v>
      </c>
      <c r="N37" s="6">
        <v>135000</v>
      </c>
      <c r="P37" s="52"/>
    </row>
    <row r="38" spans="1:18" x14ac:dyDescent="0.25">
      <c r="A38" t="s">
        <v>366</v>
      </c>
      <c r="B38" t="s">
        <v>318</v>
      </c>
      <c r="C38" s="1" t="s">
        <v>16</v>
      </c>
      <c r="F38" s="6">
        <v>18000</v>
      </c>
      <c r="G38" s="6">
        <v>18000</v>
      </c>
      <c r="H38" s="6">
        <v>18000</v>
      </c>
      <c r="I38" s="6">
        <v>18000</v>
      </c>
      <c r="J38" s="6">
        <v>18000</v>
      </c>
      <c r="K38" s="6">
        <v>18000</v>
      </c>
      <c r="L38" s="6">
        <v>18000</v>
      </c>
      <c r="M38" s="6">
        <v>18000</v>
      </c>
      <c r="N38" s="6">
        <v>18000</v>
      </c>
      <c r="O38" s="6">
        <v>18000</v>
      </c>
      <c r="R38" s="8"/>
    </row>
    <row r="39" spans="1:18" x14ac:dyDescent="0.25">
      <c r="A39" t="s">
        <v>366</v>
      </c>
      <c r="B39" t="s">
        <v>134</v>
      </c>
      <c r="C39" s="1" t="s">
        <v>16</v>
      </c>
      <c r="H39" s="6">
        <v>19869</v>
      </c>
      <c r="J39" s="6">
        <v>20271</v>
      </c>
    </row>
    <row r="40" spans="1:18" x14ac:dyDescent="0.25">
      <c r="A40" t="s">
        <v>366</v>
      </c>
      <c r="B40" t="s">
        <v>135</v>
      </c>
      <c r="C40" s="1" t="s">
        <v>16</v>
      </c>
    </row>
    <row r="41" spans="1:18" x14ac:dyDescent="0.25">
      <c r="A41" t="s">
        <v>366</v>
      </c>
      <c r="B41" t="s">
        <v>136</v>
      </c>
      <c r="C41" s="1" t="s">
        <v>16</v>
      </c>
      <c r="G41" s="6">
        <v>25000</v>
      </c>
      <c r="H41" s="6">
        <v>25625</v>
      </c>
      <c r="I41" s="6">
        <v>26266</v>
      </c>
    </row>
    <row r="42" spans="1:18" x14ac:dyDescent="0.25">
      <c r="A42" t="s">
        <v>366</v>
      </c>
      <c r="B42" t="s">
        <v>137</v>
      </c>
      <c r="C42" s="1" t="s">
        <v>16</v>
      </c>
      <c r="E42" s="21">
        <v>0</v>
      </c>
    </row>
    <row r="43" spans="1:18" x14ac:dyDescent="0.25">
      <c r="A43" t="s">
        <v>366</v>
      </c>
      <c r="B43" t="s">
        <v>138</v>
      </c>
      <c r="C43" s="1" t="s">
        <v>16</v>
      </c>
      <c r="I43" s="6">
        <v>50000</v>
      </c>
      <c r="K43" s="6">
        <v>50000</v>
      </c>
    </row>
    <row r="45" spans="1:18" s="4" customFormat="1" ht="15.75" thickBot="1" x14ac:dyDescent="0.3">
      <c r="B45" s="4" t="s">
        <v>36</v>
      </c>
      <c r="C45" s="2"/>
      <c r="E45" s="9">
        <f t="shared" ref="E45:O45" si="0">SUM(E9:E44)</f>
        <v>8000</v>
      </c>
      <c r="F45" s="9">
        <f t="shared" si="0"/>
        <v>628449</v>
      </c>
      <c r="G45" s="9">
        <f t="shared" si="0"/>
        <v>1972154</v>
      </c>
      <c r="H45" s="9">
        <f t="shared" si="0"/>
        <v>1020988</v>
      </c>
      <c r="I45" s="9">
        <f t="shared" si="0"/>
        <v>883473</v>
      </c>
      <c r="J45" s="9">
        <f t="shared" si="0"/>
        <v>786134</v>
      </c>
      <c r="K45" s="9">
        <f t="shared" si="0"/>
        <v>2058885</v>
      </c>
      <c r="L45" s="9">
        <f t="shared" si="0"/>
        <v>605036</v>
      </c>
      <c r="M45" s="9">
        <f t="shared" si="0"/>
        <v>671715</v>
      </c>
      <c r="N45" s="9">
        <f t="shared" si="0"/>
        <v>938683</v>
      </c>
      <c r="O45" s="9">
        <f t="shared" si="0"/>
        <v>530847</v>
      </c>
    </row>
    <row r="46" spans="1:18" ht="15.75" thickTop="1" x14ac:dyDescent="0.25"/>
    <row r="47" spans="1:18" x14ac:dyDescent="0.25">
      <c r="B47" s="5" t="s">
        <v>1</v>
      </c>
    </row>
    <row r="48" spans="1:18" x14ac:dyDescent="0.25">
      <c r="A48" t="s">
        <v>1</v>
      </c>
      <c r="B48" t="s">
        <v>139</v>
      </c>
      <c r="C48" s="1" t="s">
        <v>16</v>
      </c>
      <c r="E48" s="6">
        <v>38950</v>
      </c>
      <c r="F48" s="6">
        <v>98000</v>
      </c>
      <c r="G48" s="6">
        <f>22294*2</f>
        <v>44588</v>
      </c>
      <c r="H48" s="6">
        <f>19731*5</f>
        <v>98655</v>
      </c>
      <c r="I48" s="6">
        <f>20859*2</f>
        <v>41718</v>
      </c>
      <c r="J48" s="6">
        <f>21802*2</f>
        <v>43604</v>
      </c>
      <c r="K48" s="6">
        <f>21084+22217</f>
        <v>43301</v>
      </c>
      <c r="L48" s="6">
        <f>22991*2</f>
        <v>45982</v>
      </c>
      <c r="M48" s="6">
        <v>21084</v>
      </c>
      <c r="N48" s="6">
        <f>22991+25513</f>
        <v>48504</v>
      </c>
      <c r="O48" s="6">
        <f>25513*2+22835*2</f>
        <v>96696</v>
      </c>
      <c r="Q48" s="6"/>
      <c r="R48" s="8"/>
    </row>
    <row r="49" spans="1:18" x14ac:dyDescent="0.25">
      <c r="A49" t="s">
        <v>1</v>
      </c>
      <c r="B49" t="s">
        <v>141</v>
      </c>
      <c r="C49" s="1" t="s">
        <v>16</v>
      </c>
      <c r="R49" s="8"/>
    </row>
    <row r="50" spans="1:18" x14ac:dyDescent="0.25">
      <c r="R50" s="8"/>
    </row>
    <row r="51" spans="1:18" s="4" customFormat="1" ht="15.75" thickBot="1" x14ac:dyDescent="0.3">
      <c r="B51" s="4" t="s">
        <v>34</v>
      </c>
      <c r="C51" s="2"/>
      <c r="E51" s="9">
        <f t="shared" ref="E51:O51" si="1">SUM(E48:E50)</f>
        <v>38950</v>
      </c>
      <c r="F51" s="9">
        <f t="shared" si="1"/>
        <v>98000</v>
      </c>
      <c r="G51" s="9">
        <f t="shared" si="1"/>
        <v>44588</v>
      </c>
      <c r="H51" s="9">
        <f t="shared" si="1"/>
        <v>98655</v>
      </c>
      <c r="I51" s="9">
        <f t="shared" si="1"/>
        <v>41718</v>
      </c>
      <c r="J51" s="9">
        <f t="shared" si="1"/>
        <v>43604</v>
      </c>
      <c r="K51" s="9">
        <f t="shared" si="1"/>
        <v>43301</v>
      </c>
      <c r="L51" s="9">
        <f t="shared" si="1"/>
        <v>45982</v>
      </c>
      <c r="M51" s="9">
        <f t="shared" si="1"/>
        <v>21084</v>
      </c>
      <c r="N51" s="9">
        <f t="shared" si="1"/>
        <v>48504</v>
      </c>
      <c r="O51" s="9">
        <f t="shared" si="1"/>
        <v>96696</v>
      </c>
      <c r="R51" s="70"/>
    </row>
    <row r="52" spans="1:18" ht="15.75" thickTop="1" x14ac:dyDescent="0.25">
      <c r="R52" s="8"/>
    </row>
    <row r="53" spans="1:18" s="4" customFormat="1" x14ac:dyDescent="0.25">
      <c r="B53" s="4" t="s">
        <v>35</v>
      </c>
      <c r="C53" s="2"/>
      <c r="E53" s="10">
        <f t="shared" ref="E53:O53" si="2">E51+E45</f>
        <v>46950</v>
      </c>
      <c r="F53" s="10">
        <f t="shared" si="2"/>
        <v>726449</v>
      </c>
      <c r="G53" s="10">
        <f t="shared" si="2"/>
        <v>2016742</v>
      </c>
      <c r="H53" s="10">
        <f t="shared" si="2"/>
        <v>1119643</v>
      </c>
      <c r="I53" s="10">
        <f t="shared" si="2"/>
        <v>925191</v>
      </c>
      <c r="J53" s="10">
        <f t="shared" si="2"/>
        <v>829738</v>
      </c>
      <c r="K53" s="10">
        <f t="shared" si="2"/>
        <v>2102186</v>
      </c>
      <c r="L53" s="10">
        <f t="shared" si="2"/>
        <v>651018</v>
      </c>
      <c r="M53" s="10">
        <f t="shared" si="2"/>
        <v>692799</v>
      </c>
      <c r="N53" s="10">
        <f t="shared" si="2"/>
        <v>987187</v>
      </c>
      <c r="O53" s="10">
        <f t="shared" si="2"/>
        <v>627543</v>
      </c>
      <c r="R53" s="70"/>
    </row>
    <row r="54" spans="1:18" x14ac:dyDescent="0.25">
      <c r="R54" s="8"/>
    </row>
    <row r="55" spans="1:18" x14ac:dyDescent="0.25">
      <c r="R55" s="8"/>
    </row>
    <row r="56" spans="1:18" x14ac:dyDescent="0.25">
      <c r="R56" s="8"/>
    </row>
    <row r="57" spans="1:18" x14ac:dyDescent="0.25">
      <c r="B57" t="s">
        <v>16</v>
      </c>
      <c r="E57" s="6">
        <f t="shared" ref="E57:O63" si="3">SUMIF($C$9:$C$50,$B57,E$9:E$50)</f>
        <v>46950</v>
      </c>
      <c r="F57" s="6">
        <f t="shared" si="3"/>
        <v>726449</v>
      </c>
      <c r="G57" s="6">
        <f t="shared" si="3"/>
        <v>716742</v>
      </c>
      <c r="H57" s="6">
        <f t="shared" si="3"/>
        <v>1119643</v>
      </c>
      <c r="I57" s="6">
        <f t="shared" si="3"/>
        <v>925191</v>
      </c>
      <c r="J57" s="6">
        <f t="shared" si="3"/>
        <v>829738</v>
      </c>
      <c r="K57" s="6">
        <f t="shared" si="3"/>
        <v>802186</v>
      </c>
      <c r="L57" s="6">
        <f t="shared" si="3"/>
        <v>651018</v>
      </c>
      <c r="M57" s="6">
        <f t="shared" si="3"/>
        <v>692799</v>
      </c>
      <c r="N57" s="6">
        <f t="shared" si="3"/>
        <v>987187</v>
      </c>
      <c r="O57" s="6">
        <f t="shared" si="3"/>
        <v>627543</v>
      </c>
      <c r="R57" s="8"/>
    </row>
    <row r="58" spans="1:18" x14ac:dyDescent="0.25">
      <c r="B58" t="s">
        <v>37</v>
      </c>
      <c r="E58" s="6">
        <f t="shared" si="3"/>
        <v>0</v>
      </c>
      <c r="F58" s="6">
        <f t="shared" si="3"/>
        <v>0</v>
      </c>
      <c r="G58" s="6">
        <f t="shared" si="3"/>
        <v>0</v>
      </c>
      <c r="H58" s="6">
        <f t="shared" si="3"/>
        <v>0</v>
      </c>
      <c r="I58" s="6">
        <f t="shared" si="3"/>
        <v>0</v>
      </c>
      <c r="J58" s="6">
        <f t="shared" si="3"/>
        <v>0</v>
      </c>
      <c r="K58" s="6">
        <f t="shared" si="3"/>
        <v>0</v>
      </c>
      <c r="L58" s="6">
        <f t="shared" si="3"/>
        <v>0</v>
      </c>
      <c r="M58" s="6">
        <f t="shared" si="3"/>
        <v>0</v>
      </c>
      <c r="N58" s="6">
        <f t="shared" si="3"/>
        <v>0</v>
      </c>
      <c r="O58" s="6">
        <f t="shared" si="3"/>
        <v>0</v>
      </c>
      <c r="Q58" s="6"/>
      <c r="R58" s="8"/>
    </row>
    <row r="59" spans="1:18" x14ac:dyDescent="0.25">
      <c r="B59" t="s">
        <v>38</v>
      </c>
      <c r="E59" s="6">
        <f t="shared" si="3"/>
        <v>0</v>
      </c>
      <c r="F59" s="6">
        <f t="shared" si="3"/>
        <v>0</v>
      </c>
      <c r="G59" s="6">
        <f t="shared" si="3"/>
        <v>0</v>
      </c>
      <c r="H59" s="6">
        <f t="shared" si="3"/>
        <v>0</v>
      </c>
      <c r="I59" s="6">
        <f t="shared" si="3"/>
        <v>0</v>
      </c>
      <c r="J59" s="6">
        <f t="shared" si="3"/>
        <v>0</v>
      </c>
      <c r="K59" s="6">
        <f t="shared" si="3"/>
        <v>0</v>
      </c>
      <c r="L59" s="6">
        <f t="shared" si="3"/>
        <v>0</v>
      </c>
      <c r="M59" s="6">
        <f t="shared" si="3"/>
        <v>0</v>
      </c>
      <c r="N59" s="6">
        <f t="shared" si="3"/>
        <v>0</v>
      </c>
      <c r="O59" s="6">
        <f t="shared" si="3"/>
        <v>0</v>
      </c>
    </row>
    <row r="60" spans="1:18" x14ac:dyDescent="0.25">
      <c r="B60" t="s">
        <v>19</v>
      </c>
      <c r="E60" s="6">
        <f t="shared" si="3"/>
        <v>0</v>
      </c>
      <c r="F60" s="6">
        <f t="shared" si="3"/>
        <v>0</v>
      </c>
      <c r="G60" s="6">
        <f t="shared" si="3"/>
        <v>1300000</v>
      </c>
      <c r="H60" s="6">
        <f t="shared" si="3"/>
        <v>0</v>
      </c>
      <c r="I60" s="6">
        <f t="shared" si="3"/>
        <v>0</v>
      </c>
      <c r="J60" s="6">
        <f t="shared" si="3"/>
        <v>0</v>
      </c>
      <c r="K60" s="6">
        <f t="shared" si="3"/>
        <v>1300000</v>
      </c>
      <c r="L60" s="6">
        <f t="shared" si="3"/>
        <v>0</v>
      </c>
      <c r="M60" s="6">
        <f t="shared" si="3"/>
        <v>0</v>
      </c>
      <c r="N60" s="6">
        <f t="shared" si="3"/>
        <v>0</v>
      </c>
      <c r="O60" s="6">
        <f t="shared" si="3"/>
        <v>0</v>
      </c>
    </row>
    <row r="61" spans="1:18" x14ac:dyDescent="0.25">
      <c r="B61" t="s">
        <v>243</v>
      </c>
      <c r="E61" s="6">
        <f t="shared" si="3"/>
        <v>0</v>
      </c>
      <c r="F61" s="6">
        <f t="shared" si="3"/>
        <v>0</v>
      </c>
      <c r="G61" s="6">
        <f t="shared" si="3"/>
        <v>0</v>
      </c>
      <c r="H61" s="6">
        <f t="shared" si="3"/>
        <v>0</v>
      </c>
      <c r="I61" s="6">
        <f t="shared" si="3"/>
        <v>0</v>
      </c>
      <c r="J61" s="6">
        <f t="shared" si="3"/>
        <v>0</v>
      </c>
      <c r="K61" s="6">
        <f t="shared" si="3"/>
        <v>0</v>
      </c>
      <c r="L61" s="6">
        <f t="shared" si="3"/>
        <v>0</v>
      </c>
      <c r="M61" s="6">
        <f t="shared" si="3"/>
        <v>0</v>
      </c>
      <c r="N61" s="6">
        <f t="shared" si="3"/>
        <v>0</v>
      </c>
      <c r="O61" s="6">
        <f t="shared" si="3"/>
        <v>0</v>
      </c>
    </row>
    <row r="62" spans="1:18" x14ac:dyDescent="0.25">
      <c r="B62" t="s">
        <v>13</v>
      </c>
      <c r="E62" s="6">
        <f t="shared" si="3"/>
        <v>0</v>
      </c>
      <c r="F62" s="6">
        <f t="shared" si="3"/>
        <v>0</v>
      </c>
      <c r="G62" s="6">
        <f t="shared" si="3"/>
        <v>0</v>
      </c>
      <c r="H62" s="6">
        <f t="shared" si="3"/>
        <v>0</v>
      </c>
      <c r="I62" s="6">
        <f t="shared" si="3"/>
        <v>0</v>
      </c>
      <c r="J62" s="6">
        <f t="shared" si="3"/>
        <v>0</v>
      </c>
      <c r="K62" s="6">
        <f t="shared" si="3"/>
        <v>0</v>
      </c>
      <c r="L62" s="6">
        <f t="shared" si="3"/>
        <v>0</v>
      </c>
      <c r="M62" s="6">
        <f t="shared" si="3"/>
        <v>0</v>
      </c>
      <c r="N62" s="6">
        <f t="shared" si="3"/>
        <v>0</v>
      </c>
      <c r="O62" s="6">
        <f t="shared" si="3"/>
        <v>0</v>
      </c>
    </row>
    <row r="63" spans="1:18" x14ac:dyDescent="0.25">
      <c r="B63" t="s">
        <v>50</v>
      </c>
      <c r="E63" s="6">
        <f t="shared" si="3"/>
        <v>0</v>
      </c>
      <c r="F63" s="6">
        <f t="shared" si="3"/>
        <v>0</v>
      </c>
      <c r="G63" s="6">
        <f t="shared" si="3"/>
        <v>0</v>
      </c>
      <c r="H63" s="6">
        <f t="shared" si="3"/>
        <v>0</v>
      </c>
      <c r="I63" s="6">
        <f t="shared" si="3"/>
        <v>0</v>
      </c>
      <c r="J63" s="6">
        <f t="shared" si="3"/>
        <v>0</v>
      </c>
      <c r="K63" s="6">
        <f t="shared" si="3"/>
        <v>0</v>
      </c>
      <c r="L63" s="6">
        <f t="shared" si="3"/>
        <v>0</v>
      </c>
      <c r="M63" s="6">
        <f t="shared" si="3"/>
        <v>0</v>
      </c>
      <c r="N63" s="6">
        <f t="shared" si="3"/>
        <v>0</v>
      </c>
      <c r="O63" s="6">
        <f t="shared" si="3"/>
        <v>0</v>
      </c>
    </row>
    <row r="64" spans="1:18" ht="15.75" thickBot="1" x14ac:dyDescent="0.3">
      <c r="E64" s="7">
        <f t="shared" ref="E64:O64" si="4">SUM(E57:E63)</f>
        <v>46950</v>
      </c>
      <c r="F64" s="7">
        <f t="shared" si="4"/>
        <v>726449</v>
      </c>
      <c r="G64" s="7">
        <f t="shared" si="4"/>
        <v>2016742</v>
      </c>
      <c r="H64" s="7">
        <f t="shared" si="4"/>
        <v>1119643</v>
      </c>
      <c r="I64" s="7">
        <f t="shared" si="4"/>
        <v>925191</v>
      </c>
      <c r="J64" s="7">
        <f t="shared" si="4"/>
        <v>829738</v>
      </c>
      <c r="K64" s="7">
        <f t="shared" si="4"/>
        <v>2102186</v>
      </c>
      <c r="L64" s="7">
        <f t="shared" si="4"/>
        <v>651018</v>
      </c>
      <c r="M64" s="7">
        <f t="shared" si="4"/>
        <v>692799</v>
      </c>
      <c r="N64" s="7">
        <f t="shared" si="4"/>
        <v>987187</v>
      </c>
      <c r="O64" s="7">
        <f t="shared" si="4"/>
        <v>627543</v>
      </c>
    </row>
    <row r="65" spans="2:15" ht="15.75" thickTop="1" x14ac:dyDescent="0.25">
      <c r="E65" s="8">
        <f>E64-E53</f>
        <v>0</v>
      </c>
      <c r="F65" s="8">
        <f t="shared" ref="F65:O65" si="5">F64-F53</f>
        <v>0</v>
      </c>
      <c r="G65" s="8">
        <f t="shared" si="5"/>
        <v>0</v>
      </c>
      <c r="H65" s="8">
        <f t="shared" si="5"/>
        <v>0</v>
      </c>
      <c r="I65" s="8">
        <f t="shared" si="5"/>
        <v>0</v>
      </c>
      <c r="J65" s="8">
        <f t="shared" si="5"/>
        <v>0</v>
      </c>
      <c r="K65" s="8">
        <f t="shared" si="5"/>
        <v>0</v>
      </c>
      <c r="L65" s="8">
        <f t="shared" si="5"/>
        <v>0</v>
      </c>
      <c r="M65" s="8">
        <f t="shared" si="5"/>
        <v>0</v>
      </c>
      <c r="N65" s="8">
        <f t="shared" si="5"/>
        <v>0</v>
      </c>
      <c r="O65" s="8">
        <f t="shared" si="5"/>
        <v>0</v>
      </c>
    </row>
    <row r="68" spans="2:15" x14ac:dyDescent="0.25">
      <c r="B68" s="72" t="s">
        <v>315</v>
      </c>
      <c r="E68" s="6">
        <f>SUMIF($A$9:$A$51,$B68,E$9:E$51)</f>
        <v>0</v>
      </c>
      <c r="F68" s="6">
        <f t="shared" ref="F68:O68" si="6">SUMIF($A$9:$A$51,$B68,F$9:F$51)</f>
        <v>0</v>
      </c>
      <c r="G68" s="6">
        <f t="shared" si="6"/>
        <v>0</v>
      </c>
      <c r="H68" s="6">
        <f t="shared" si="6"/>
        <v>0</v>
      </c>
      <c r="I68" s="6">
        <f t="shared" si="6"/>
        <v>0</v>
      </c>
      <c r="J68" s="6">
        <f t="shared" si="6"/>
        <v>0</v>
      </c>
      <c r="K68" s="6">
        <f t="shared" si="6"/>
        <v>0</v>
      </c>
      <c r="L68" s="6">
        <f t="shared" si="6"/>
        <v>0</v>
      </c>
      <c r="M68" s="6">
        <f t="shared" si="6"/>
        <v>0</v>
      </c>
      <c r="N68" s="6">
        <f t="shared" si="6"/>
        <v>0</v>
      </c>
      <c r="O68" s="6">
        <f t="shared" si="6"/>
        <v>0</v>
      </c>
    </row>
    <row r="69" spans="2:15" x14ac:dyDescent="0.25">
      <c r="B69" s="72" t="s">
        <v>317</v>
      </c>
      <c r="E69" s="6">
        <f t="shared" ref="E69:O74" si="7">SUMIF($A$9:$A$51,$B69,E$9:E$51)</f>
        <v>0</v>
      </c>
      <c r="F69" s="6">
        <f t="shared" si="7"/>
        <v>0</v>
      </c>
      <c r="G69" s="6">
        <f t="shared" si="7"/>
        <v>0</v>
      </c>
      <c r="H69" s="6">
        <f t="shared" si="7"/>
        <v>0</v>
      </c>
      <c r="I69" s="6">
        <f t="shared" si="7"/>
        <v>0</v>
      </c>
      <c r="J69" s="6">
        <f t="shared" si="7"/>
        <v>0</v>
      </c>
      <c r="K69" s="6">
        <f t="shared" si="7"/>
        <v>0</v>
      </c>
      <c r="L69" s="6">
        <f t="shared" si="7"/>
        <v>0</v>
      </c>
      <c r="M69" s="6">
        <f t="shared" si="7"/>
        <v>0</v>
      </c>
      <c r="N69" s="6">
        <f t="shared" si="7"/>
        <v>0</v>
      </c>
      <c r="O69" s="6">
        <f t="shared" si="7"/>
        <v>0</v>
      </c>
    </row>
    <row r="70" spans="2:15" x14ac:dyDescent="0.25">
      <c r="B70" s="72" t="s">
        <v>316</v>
      </c>
      <c r="E70" s="6">
        <f t="shared" si="7"/>
        <v>0</v>
      </c>
      <c r="F70" s="6">
        <f t="shared" si="7"/>
        <v>266000</v>
      </c>
      <c r="G70" s="6">
        <f t="shared" si="7"/>
        <v>1571654</v>
      </c>
      <c r="H70" s="6">
        <f t="shared" si="7"/>
        <v>304654</v>
      </c>
      <c r="I70" s="6">
        <f t="shared" si="7"/>
        <v>288000</v>
      </c>
      <c r="J70" s="6">
        <f t="shared" si="7"/>
        <v>321000</v>
      </c>
      <c r="K70" s="6">
        <f t="shared" si="7"/>
        <v>1649036</v>
      </c>
      <c r="L70" s="6">
        <f t="shared" si="7"/>
        <v>382036</v>
      </c>
      <c r="M70" s="6">
        <f t="shared" si="7"/>
        <v>263000</v>
      </c>
      <c r="N70" s="6">
        <f t="shared" si="7"/>
        <v>546000</v>
      </c>
      <c r="O70" s="6">
        <f t="shared" si="7"/>
        <v>213000</v>
      </c>
    </row>
    <row r="71" spans="2:15" x14ac:dyDescent="0.25">
      <c r="B71" s="72" t="s">
        <v>366</v>
      </c>
      <c r="E71" s="6">
        <f t="shared" si="7"/>
        <v>0</v>
      </c>
      <c r="F71" s="6">
        <f t="shared" si="7"/>
        <v>334949</v>
      </c>
      <c r="G71" s="6">
        <f t="shared" si="7"/>
        <v>353000</v>
      </c>
      <c r="H71" s="6">
        <f t="shared" si="7"/>
        <v>543834</v>
      </c>
      <c r="I71" s="6">
        <f t="shared" si="7"/>
        <v>587973</v>
      </c>
      <c r="J71" s="6">
        <f t="shared" si="7"/>
        <v>415134</v>
      </c>
      <c r="K71" s="6">
        <f t="shared" si="7"/>
        <v>304849</v>
      </c>
      <c r="L71" s="6">
        <f t="shared" si="7"/>
        <v>218000</v>
      </c>
      <c r="M71" s="6">
        <f t="shared" si="7"/>
        <v>256715</v>
      </c>
      <c r="N71" s="6">
        <f t="shared" si="7"/>
        <v>257683</v>
      </c>
      <c r="O71" s="6">
        <f t="shared" si="7"/>
        <v>317847</v>
      </c>
    </row>
    <row r="72" spans="2:15" x14ac:dyDescent="0.25">
      <c r="B72" s="72" t="s">
        <v>367</v>
      </c>
      <c r="E72" s="6">
        <f t="shared" si="7"/>
        <v>8000</v>
      </c>
      <c r="F72" s="6">
        <f t="shared" si="7"/>
        <v>27500</v>
      </c>
      <c r="G72" s="6">
        <f t="shared" si="7"/>
        <v>47500</v>
      </c>
      <c r="H72" s="6">
        <f t="shared" si="7"/>
        <v>172500</v>
      </c>
      <c r="I72" s="6">
        <f t="shared" si="7"/>
        <v>7500</v>
      </c>
      <c r="J72" s="6">
        <f t="shared" si="7"/>
        <v>50000</v>
      </c>
      <c r="K72" s="6">
        <f t="shared" si="7"/>
        <v>105000</v>
      </c>
      <c r="L72" s="6">
        <f t="shared" si="7"/>
        <v>5000</v>
      </c>
      <c r="M72" s="6">
        <f t="shared" si="7"/>
        <v>152000</v>
      </c>
      <c r="N72" s="6">
        <f t="shared" si="7"/>
        <v>135000</v>
      </c>
      <c r="O72" s="6">
        <f t="shared" si="7"/>
        <v>0</v>
      </c>
    </row>
    <row r="73" spans="2:15" x14ac:dyDescent="0.25">
      <c r="B73" s="72" t="s">
        <v>368</v>
      </c>
      <c r="E73" s="6">
        <f t="shared" si="7"/>
        <v>0</v>
      </c>
      <c r="F73" s="6">
        <f t="shared" si="7"/>
        <v>0</v>
      </c>
      <c r="G73" s="6">
        <f t="shared" si="7"/>
        <v>0</v>
      </c>
      <c r="H73" s="6">
        <f t="shared" si="7"/>
        <v>0</v>
      </c>
      <c r="I73" s="6">
        <f t="shared" si="7"/>
        <v>0</v>
      </c>
      <c r="J73" s="6">
        <f t="shared" si="7"/>
        <v>0</v>
      </c>
      <c r="K73" s="6">
        <f t="shared" si="7"/>
        <v>0</v>
      </c>
      <c r="L73" s="6">
        <f t="shared" si="7"/>
        <v>0</v>
      </c>
      <c r="M73" s="6">
        <f t="shared" si="7"/>
        <v>0</v>
      </c>
      <c r="N73" s="6">
        <f t="shared" si="7"/>
        <v>0</v>
      </c>
      <c r="O73" s="6">
        <f t="shared" si="7"/>
        <v>0</v>
      </c>
    </row>
    <row r="74" spans="2:15" x14ac:dyDescent="0.25">
      <c r="B74" s="72" t="s">
        <v>1</v>
      </c>
      <c r="E74" s="6">
        <f t="shared" si="7"/>
        <v>38950</v>
      </c>
      <c r="F74" s="6">
        <f t="shared" si="7"/>
        <v>98000</v>
      </c>
      <c r="G74" s="6">
        <f t="shared" si="7"/>
        <v>44588</v>
      </c>
      <c r="H74" s="6">
        <f t="shared" si="7"/>
        <v>98655</v>
      </c>
      <c r="I74" s="6">
        <f t="shared" si="7"/>
        <v>41718</v>
      </c>
      <c r="J74" s="6">
        <f t="shared" si="7"/>
        <v>43604</v>
      </c>
      <c r="K74" s="6">
        <f t="shared" si="7"/>
        <v>43301</v>
      </c>
      <c r="L74" s="6">
        <f t="shared" si="7"/>
        <v>45982</v>
      </c>
      <c r="M74" s="6">
        <f t="shared" si="7"/>
        <v>21084</v>
      </c>
      <c r="N74" s="6">
        <f t="shared" si="7"/>
        <v>48504</v>
      </c>
      <c r="O74" s="6">
        <f t="shared" si="7"/>
        <v>96696</v>
      </c>
    </row>
    <row r="75" spans="2:15" ht="15.75" thickBot="1" x14ac:dyDescent="0.3">
      <c r="E75" s="7">
        <f>SUM(E68:E74)</f>
        <v>46950</v>
      </c>
      <c r="F75" s="7">
        <f t="shared" ref="F75:O75" si="8">SUM(F68:F74)</f>
        <v>726449</v>
      </c>
      <c r="G75" s="7">
        <f t="shared" si="8"/>
        <v>2016742</v>
      </c>
      <c r="H75" s="7">
        <f t="shared" si="8"/>
        <v>1119643</v>
      </c>
      <c r="I75" s="7">
        <f t="shared" si="8"/>
        <v>925191</v>
      </c>
      <c r="J75" s="7">
        <f t="shared" si="8"/>
        <v>829738</v>
      </c>
      <c r="K75" s="7">
        <f t="shared" si="8"/>
        <v>2102186</v>
      </c>
      <c r="L75" s="7">
        <f t="shared" si="8"/>
        <v>651018</v>
      </c>
      <c r="M75" s="7">
        <f t="shared" si="8"/>
        <v>692799</v>
      </c>
      <c r="N75" s="7">
        <f t="shared" si="8"/>
        <v>987187</v>
      </c>
      <c r="O75" s="7">
        <f t="shared" si="8"/>
        <v>627543</v>
      </c>
    </row>
    <row r="76" spans="2:15" ht="15.75" thickTop="1" x14ac:dyDescent="0.25">
      <c r="E76" s="71">
        <f>E75-E64</f>
        <v>0</v>
      </c>
      <c r="F76" s="71">
        <f t="shared" ref="F76:O76" si="9">F75-F64</f>
        <v>0</v>
      </c>
      <c r="G76" s="71">
        <f t="shared" si="9"/>
        <v>0</v>
      </c>
      <c r="H76" s="71">
        <f t="shared" si="9"/>
        <v>0</v>
      </c>
      <c r="I76" s="71">
        <f t="shared" si="9"/>
        <v>0</v>
      </c>
      <c r="J76" s="71">
        <f t="shared" si="9"/>
        <v>0</v>
      </c>
      <c r="K76" s="71">
        <f t="shared" si="9"/>
        <v>0</v>
      </c>
      <c r="L76" s="71">
        <f t="shared" si="9"/>
        <v>0</v>
      </c>
      <c r="M76" s="71">
        <f t="shared" si="9"/>
        <v>0</v>
      </c>
      <c r="N76" s="71">
        <f t="shared" si="9"/>
        <v>0</v>
      </c>
      <c r="O76" s="71">
        <f t="shared" si="9"/>
        <v>0</v>
      </c>
    </row>
    <row r="78" spans="2:15" x14ac:dyDescent="0.25">
      <c r="B78" t="s">
        <v>55</v>
      </c>
    </row>
    <row r="79" spans="2:15" x14ac:dyDescent="0.25">
      <c r="B79" t="s">
        <v>56</v>
      </c>
    </row>
    <row r="80" spans="2:15" x14ac:dyDescent="0.25">
      <c r="B80" t="s">
        <v>371</v>
      </c>
    </row>
    <row r="81" spans="2:2" x14ac:dyDescent="0.25">
      <c r="B81" t="s">
        <v>57</v>
      </c>
    </row>
    <row r="82" spans="2:2" x14ac:dyDescent="0.25">
      <c r="B82" t="s">
        <v>244</v>
      </c>
    </row>
    <row r="83" spans="2:2" x14ac:dyDescent="0.25">
      <c r="B83" t="s">
        <v>58</v>
      </c>
    </row>
    <row r="84" spans="2:2" x14ac:dyDescent="0.25">
      <c r="B84" t="s">
        <v>59</v>
      </c>
    </row>
  </sheetData>
  <pageMargins left="0.4" right="0.4" top="0.4" bottom="0.4" header="0" footer="0"/>
  <pageSetup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N40"/>
  <sheetViews>
    <sheetView topLeftCell="A13" zoomScaleNormal="100" workbookViewId="0">
      <selection activeCell="A41" sqref="A41"/>
    </sheetView>
  </sheetViews>
  <sheetFormatPr defaultRowHeight="15" x14ac:dyDescent="0.25"/>
  <cols>
    <col min="1" max="1" width="62.42578125" customWidth="1"/>
    <col min="2" max="2" width="8.28515625" style="109" customWidth="1"/>
    <col min="3" max="3" width="2.85546875" customWidth="1"/>
    <col min="4" max="4" width="11.140625" style="6" customWidth="1"/>
    <col min="5" max="6" width="10.140625" style="6" customWidth="1"/>
    <col min="7" max="7" width="10.85546875" style="6" bestFit="1" customWidth="1"/>
    <col min="8" max="11" width="10.140625" style="6" customWidth="1"/>
    <col min="12" max="12" width="9.28515625" style="6" bestFit="1" customWidth="1"/>
    <col min="13" max="14" width="10.140625" style="6" customWidth="1"/>
  </cols>
  <sheetData>
    <row r="1" spans="1:14" ht="21" x14ac:dyDescent="0.35">
      <c r="A1" s="17" t="s">
        <v>65</v>
      </c>
    </row>
    <row r="2" spans="1:14" ht="21" x14ac:dyDescent="0.35">
      <c r="A2" s="17" t="s">
        <v>63</v>
      </c>
      <c r="G2" s="19"/>
    </row>
    <row r="3" spans="1:14" ht="21" x14ac:dyDescent="0.35">
      <c r="A3" s="17" t="s">
        <v>620</v>
      </c>
      <c r="D3"/>
      <c r="E3"/>
      <c r="F3"/>
      <c r="G3"/>
      <c r="H3"/>
      <c r="I3"/>
      <c r="J3"/>
      <c r="K3"/>
      <c r="L3"/>
      <c r="M3"/>
      <c r="N3"/>
    </row>
    <row r="4" spans="1:14" x14ac:dyDescent="0.25">
      <c r="D4"/>
      <c r="E4"/>
      <c r="F4"/>
      <c r="G4"/>
      <c r="H4"/>
      <c r="I4"/>
      <c r="J4"/>
      <c r="K4"/>
      <c r="L4"/>
      <c r="M4"/>
      <c r="N4"/>
    </row>
    <row r="5" spans="1:14" x14ac:dyDescent="0.25">
      <c r="D5"/>
      <c r="E5"/>
      <c r="F5"/>
      <c r="G5"/>
      <c r="H5"/>
      <c r="I5"/>
      <c r="J5"/>
      <c r="K5"/>
      <c r="L5"/>
      <c r="M5"/>
      <c r="N5"/>
    </row>
    <row r="6" spans="1:14" x14ac:dyDescent="0.25"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45</v>
      </c>
    </row>
    <row r="7" spans="1:14" x14ac:dyDescent="0.25">
      <c r="D7"/>
      <c r="E7"/>
      <c r="F7"/>
      <c r="G7"/>
      <c r="H7"/>
      <c r="I7"/>
      <c r="J7"/>
      <c r="K7"/>
      <c r="L7"/>
      <c r="M7"/>
      <c r="N7"/>
    </row>
    <row r="8" spans="1:14" x14ac:dyDescent="0.25">
      <c r="A8" s="5" t="s">
        <v>60</v>
      </c>
      <c r="D8"/>
      <c r="E8"/>
      <c r="F8"/>
      <c r="G8"/>
      <c r="H8"/>
      <c r="I8"/>
      <c r="J8"/>
      <c r="K8"/>
      <c r="L8"/>
      <c r="M8"/>
      <c r="N8"/>
    </row>
    <row r="10" spans="1:14" ht="15.75" x14ac:dyDescent="0.25">
      <c r="A10" s="101" t="s">
        <v>418</v>
      </c>
      <c r="B10" s="110"/>
      <c r="C10" s="102"/>
      <c r="D10" s="6">
        <v>30000</v>
      </c>
      <c r="E10" s="6">
        <v>30000</v>
      </c>
      <c r="F10" s="6">
        <v>30000</v>
      </c>
      <c r="G10" s="6">
        <v>30000</v>
      </c>
      <c r="H10" s="6">
        <v>30000</v>
      </c>
      <c r="I10" s="6">
        <v>30000</v>
      </c>
      <c r="J10" s="6">
        <v>30000</v>
      </c>
      <c r="K10" s="6">
        <v>30000</v>
      </c>
      <c r="L10" s="6">
        <v>30000</v>
      </c>
      <c r="M10" s="6">
        <v>30000</v>
      </c>
      <c r="N10" s="6">
        <v>30000</v>
      </c>
    </row>
    <row r="11" spans="1:14" ht="15.75" x14ac:dyDescent="0.25">
      <c r="A11" s="101" t="s">
        <v>419</v>
      </c>
      <c r="B11" s="110"/>
      <c r="C11" s="102"/>
      <c r="E11" s="6">
        <v>20000</v>
      </c>
    </row>
    <row r="12" spans="1:14" ht="15.75" x14ac:dyDescent="0.25">
      <c r="A12" s="101" t="s">
        <v>420</v>
      </c>
      <c r="B12" s="110"/>
      <c r="C12" s="102"/>
      <c r="F12" s="6">
        <v>200000</v>
      </c>
    </row>
    <row r="13" spans="1:14" ht="15.75" x14ac:dyDescent="0.25">
      <c r="A13" s="101" t="s">
        <v>422</v>
      </c>
      <c r="B13" s="110"/>
      <c r="C13" s="102"/>
      <c r="D13" s="6">
        <v>30000</v>
      </c>
      <c r="E13" s="6">
        <v>30000</v>
      </c>
      <c r="F13" s="6">
        <v>30000</v>
      </c>
      <c r="G13" s="6">
        <v>30000</v>
      </c>
      <c r="H13" s="6">
        <v>30000</v>
      </c>
      <c r="I13" s="6">
        <v>30000</v>
      </c>
      <c r="J13" s="6">
        <v>30000</v>
      </c>
      <c r="K13" s="6">
        <v>30000</v>
      </c>
      <c r="L13" s="6">
        <v>30000</v>
      </c>
      <c r="M13" s="6">
        <v>30000</v>
      </c>
      <c r="N13" s="6">
        <v>30000</v>
      </c>
    </row>
    <row r="14" spans="1:14" ht="15.75" x14ac:dyDescent="0.25">
      <c r="A14" s="104" t="s">
        <v>424</v>
      </c>
      <c r="B14" s="110"/>
      <c r="C14" s="102"/>
      <c r="E14" s="6">
        <v>25000</v>
      </c>
    </row>
    <row r="15" spans="1:14" ht="15.75" x14ac:dyDescent="0.25">
      <c r="A15" s="104" t="s">
        <v>425</v>
      </c>
      <c r="B15" s="110"/>
      <c r="C15" s="102"/>
      <c r="F15" s="6">
        <v>200000</v>
      </c>
    </row>
    <row r="16" spans="1:14" ht="15.75" x14ac:dyDescent="0.25">
      <c r="A16" s="104" t="s">
        <v>426</v>
      </c>
      <c r="B16" s="110"/>
      <c r="C16" s="102"/>
      <c r="D16" s="6">
        <v>50000</v>
      </c>
    </row>
    <row r="17" spans="1:14" ht="15.75" x14ac:dyDescent="0.25">
      <c r="A17" s="104" t="s">
        <v>427</v>
      </c>
      <c r="B17" s="110"/>
      <c r="C17" s="102"/>
      <c r="D17" s="6">
        <v>300000</v>
      </c>
      <c r="E17" s="6">
        <v>300000</v>
      </c>
      <c r="F17" s="6">
        <v>300000</v>
      </c>
      <c r="G17" s="6">
        <v>300000</v>
      </c>
      <c r="H17" s="6">
        <v>300000</v>
      </c>
    </row>
    <row r="18" spans="1:14" ht="15.75" x14ac:dyDescent="0.25">
      <c r="A18" s="104" t="s">
        <v>428</v>
      </c>
      <c r="B18" s="110"/>
      <c r="C18" s="102"/>
      <c r="D18" s="6">
        <v>170000</v>
      </c>
    </row>
    <row r="19" spans="1:14" ht="15.75" x14ac:dyDescent="0.25">
      <c r="A19" s="104" t="s">
        <v>429</v>
      </c>
      <c r="B19" s="110"/>
      <c r="C19" s="102"/>
      <c r="D19" s="6">
        <v>25000</v>
      </c>
    </row>
    <row r="20" spans="1:14" ht="15.75" x14ac:dyDescent="0.25">
      <c r="A20" s="104" t="s">
        <v>430</v>
      </c>
      <c r="B20" s="110"/>
      <c r="C20" s="102"/>
      <c r="D20" s="6">
        <v>20000</v>
      </c>
    </row>
    <row r="21" spans="1:14" ht="15.75" x14ac:dyDescent="0.25">
      <c r="A21" s="104"/>
      <c r="B21" s="110"/>
      <c r="C21" s="102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spans="1:14" s="4" customFormat="1" ht="15.75" thickBot="1" x14ac:dyDescent="0.3">
      <c r="A22" s="105" t="s">
        <v>36</v>
      </c>
      <c r="B22" s="111"/>
      <c r="C22" s="105"/>
      <c r="D22" s="106">
        <f>SUM(D9:D21)</f>
        <v>625000</v>
      </c>
      <c r="E22" s="106">
        <f t="shared" ref="E22:N22" si="0">SUM(E9:E21)</f>
        <v>405000</v>
      </c>
      <c r="F22" s="106">
        <f t="shared" si="0"/>
        <v>760000</v>
      </c>
      <c r="G22" s="106">
        <f t="shared" si="0"/>
        <v>360000</v>
      </c>
      <c r="H22" s="106">
        <f t="shared" si="0"/>
        <v>360000</v>
      </c>
      <c r="I22" s="106">
        <f t="shared" si="0"/>
        <v>60000</v>
      </c>
      <c r="J22" s="106">
        <f t="shared" si="0"/>
        <v>60000</v>
      </c>
      <c r="K22" s="106">
        <f t="shared" si="0"/>
        <v>60000</v>
      </c>
      <c r="L22" s="106">
        <f t="shared" si="0"/>
        <v>60000</v>
      </c>
      <c r="M22" s="106">
        <f t="shared" si="0"/>
        <v>60000</v>
      </c>
      <c r="N22" s="106">
        <f t="shared" si="0"/>
        <v>60000</v>
      </c>
    </row>
    <row r="23" spans="1:14" ht="15.75" thickTop="1" x14ac:dyDescent="0.25">
      <c r="A23" s="102"/>
      <c r="B23" s="110"/>
      <c r="C23" s="10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1:14" x14ac:dyDescent="0.25">
      <c r="A24" s="107" t="s">
        <v>61</v>
      </c>
      <c r="B24" s="110"/>
      <c r="C24" s="102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1:14" x14ac:dyDescent="0.25">
      <c r="A25" s="102"/>
      <c r="B25" s="110"/>
      <c r="C25" s="102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</row>
    <row r="26" spans="1:14" ht="15.75" x14ac:dyDescent="0.25">
      <c r="A26" s="101" t="s">
        <v>414</v>
      </c>
      <c r="B26" s="110"/>
      <c r="C26" s="102"/>
      <c r="E26" s="6">
        <v>50000</v>
      </c>
    </row>
    <row r="27" spans="1:14" ht="15.75" x14ac:dyDescent="0.25">
      <c r="A27" s="108" t="s">
        <v>417</v>
      </c>
      <c r="B27" s="110"/>
      <c r="C27" s="102"/>
      <c r="D27" s="6">
        <v>250000</v>
      </c>
      <c r="E27" s="6">
        <v>250000</v>
      </c>
      <c r="F27" s="6">
        <v>250000</v>
      </c>
      <c r="G27" s="6">
        <v>250000</v>
      </c>
      <c r="H27" s="6">
        <v>250000</v>
      </c>
    </row>
    <row r="28" spans="1:14" ht="15.75" x14ac:dyDescent="0.25">
      <c r="A28" s="101" t="s">
        <v>421</v>
      </c>
      <c r="B28" s="110"/>
      <c r="C28" s="102"/>
      <c r="D28" s="6">
        <v>250000</v>
      </c>
      <c r="E28" s="6">
        <v>250000</v>
      </c>
      <c r="F28" s="6">
        <v>250000</v>
      </c>
      <c r="G28" s="6">
        <v>250000</v>
      </c>
      <c r="H28" s="6">
        <v>250000</v>
      </c>
    </row>
    <row r="29" spans="1:14" ht="15.75" x14ac:dyDescent="0.25">
      <c r="A29" s="104" t="s">
        <v>423</v>
      </c>
      <c r="B29" s="110"/>
      <c r="C29" s="102"/>
      <c r="D29" s="6">
        <v>200000</v>
      </c>
    </row>
    <row r="30" spans="1:14" x14ac:dyDescent="0.25">
      <c r="A30" s="102"/>
      <c r="B30" s="110"/>
      <c r="C30" s="102"/>
    </row>
    <row r="31" spans="1:14" s="4" customFormat="1" ht="15.75" thickBot="1" x14ac:dyDescent="0.3">
      <c r="A31" s="4" t="s">
        <v>34</v>
      </c>
      <c r="B31" s="112"/>
      <c r="D31" s="9">
        <f t="shared" ref="D31:N31" si="1">SUM(D25:D30)</f>
        <v>700000</v>
      </c>
      <c r="E31" s="9">
        <f t="shared" si="1"/>
        <v>550000</v>
      </c>
      <c r="F31" s="9">
        <f t="shared" si="1"/>
        <v>500000</v>
      </c>
      <c r="G31" s="9">
        <f t="shared" si="1"/>
        <v>500000</v>
      </c>
      <c r="H31" s="9">
        <f t="shared" si="1"/>
        <v>500000</v>
      </c>
      <c r="I31" s="9">
        <f t="shared" si="1"/>
        <v>0</v>
      </c>
      <c r="J31" s="9">
        <f t="shared" si="1"/>
        <v>0</v>
      </c>
      <c r="K31" s="9">
        <f t="shared" si="1"/>
        <v>0</v>
      </c>
      <c r="L31" s="9">
        <f t="shared" si="1"/>
        <v>0</v>
      </c>
      <c r="M31" s="9">
        <f t="shared" si="1"/>
        <v>0</v>
      </c>
      <c r="N31" s="9">
        <f t="shared" si="1"/>
        <v>0</v>
      </c>
    </row>
    <row r="32" spans="1:14" ht="15.75" thickTop="1" x14ac:dyDescent="0.25"/>
    <row r="33" spans="1:14" s="4" customFormat="1" x14ac:dyDescent="0.25">
      <c r="A33" s="4" t="s">
        <v>35</v>
      </c>
      <c r="B33" s="112"/>
      <c r="D33" s="10">
        <f t="shared" ref="D33:N33" si="2">D31+D22</f>
        <v>1325000</v>
      </c>
      <c r="E33" s="10">
        <f t="shared" si="2"/>
        <v>955000</v>
      </c>
      <c r="F33" s="10">
        <f t="shared" si="2"/>
        <v>1260000</v>
      </c>
      <c r="G33" s="10">
        <f t="shared" si="2"/>
        <v>860000</v>
      </c>
      <c r="H33" s="10">
        <f t="shared" si="2"/>
        <v>860000</v>
      </c>
      <c r="I33" s="10">
        <f t="shared" si="2"/>
        <v>60000</v>
      </c>
      <c r="J33" s="10">
        <f t="shared" si="2"/>
        <v>60000</v>
      </c>
      <c r="K33" s="10">
        <f t="shared" si="2"/>
        <v>60000</v>
      </c>
      <c r="L33" s="10">
        <f t="shared" si="2"/>
        <v>60000</v>
      </c>
      <c r="M33" s="10">
        <f t="shared" si="2"/>
        <v>60000</v>
      </c>
      <c r="N33" s="10">
        <f t="shared" si="2"/>
        <v>60000</v>
      </c>
    </row>
    <row r="36" spans="1:14" x14ac:dyDescent="0.25">
      <c r="A36" s="5" t="s">
        <v>738</v>
      </c>
    </row>
    <row r="37" spans="1:14" ht="15.75" x14ac:dyDescent="0.25">
      <c r="A37" s="101" t="s">
        <v>415</v>
      </c>
      <c r="B37" s="110"/>
      <c r="C37" s="102"/>
      <c r="D37" s="6">
        <v>157800</v>
      </c>
      <c r="E37" s="6">
        <v>157800</v>
      </c>
      <c r="F37" s="6">
        <v>157800</v>
      </c>
      <c r="G37" s="6">
        <v>157800</v>
      </c>
      <c r="H37" s="6">
        <v>157800</v>
      </c>
      <c r="I37" s="6">
        <v>157800</v>
      </c>
      <c r="J37" s="6">
        <v>157800</v>
      </c>
      <c r="K37" s="6">
        <v>157800</v>
      </c>
      <c r="L37" s="6">
        <v>157800</v>
      </c>
      <c r="M37" s="6">
        <v>157800</v>
      </c>
      <c r="N37" s="6">
        <v>157800</v>
      </c>
    </row>
    <row r="38" spans="1:14" ht="15.75" x14ac:dyDescent="0.25">
      <c r="A38" s="101" t="s">
        <v>416</v>
      </c>
      <c r="B38" s="110"/>
      <c r="C38" s="102"/>
      <c r="E38" s="6">
        <v>150000</v>
      </c>
      <c r="F38" s="6">
        <v>150000</v>
      </c>
      <c r="G38" s="6">
        <v>150000</v>
      </c>
      <c r="H38" s="6">
        <v>150000</v>
      </c>
      <c r="I38" s="6">
        <v>150000</v>
      </c>
      <c r="J38" s="6">
        <v>150000</v>
      </c>
      <c r="K38" s="6">
        <v>150000</v>
      </c>
      <c r="L38" s="6">
        <v>150000</v>
      </c>
      <c r="M38" s="6">
        <v>150000</v>
      </c>
      <c r="N38" s="6">
        <v>150000</v>
      </c>
    </row>
    <row r="39" spans="1:14" ht="15.75" thickBot="1" x14ac:dyDescent="0.3">
      <c r="D39" s="7">
        <f>SUM(D37:D38)</f>
        <v>157800</v>
      </c>
      <c r="E39" s="7">
        <f t="shared" ref="E39:N39" si="3">SUM(E37:E38)</f>
        <v>307800</v>
      </c>
      <c r="F39" s="7">
        <f t="shared" si="3"/>
        <v>307800</v>
      </c>
      <c r="G39" s="7">
        <f t="shared" si="3"/>
        <v>307800</v>
      </c>
      <c r="H39" s="7">
        <f t="shared" si="3"/>
        <v>307800</v>
      </c>
      <c r="I39" s="7">
        <f t="shared" si="3"/>
        <v>307800</v>
      </c>
      <c r="J39" s="7">
        <f t="shared" si="3"/>
        <v>307800</v>
      </c>
      <c r="K39" s="7">
        <f t="shared" si="3"/>
        <v>307800</v>
      </c>
      <c r="L39" s="7">
        <f t="shared" si="3"/>
        <v>307800</v>
      </c>
      <c r="M39" s="7">
        <f t="shared" si="3"/>
        <v>307800</v>
      </c>
      <c r="N39" s="7">
        <f t="shared" si="3"/>
        <v>307800</v>
      </c>
    </row>
    <row r="40" spans="1:14" ht="15.75" thickTop="1" x14ac:dyDescent="0.25"/>
  </sheetData>
  <pageMargins left="0.4" right="0.4" top="0.4" bottom="0.4" header="0" footer="0"/>
  <pageSetup scale="69" orientation="landscape" r:id="rId1"/>
  <headerFoot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83"/>
  <sheetViews>
    <sheetView showGridLines="0" workbookViewId="0">
      <selection activeCell="C22" sqref="C22"/>
    </sheetView>
  </sheetViews>
  <sheetFormatPr defaultRowHeight="15" outlineLevelCol="1" x14ac:dyDescent="0.25"/>
  <cols>
    <col min="1" max="1" width="6.7109375" style="1" bestFit="1" customWidth="1"/>
    <col min="2" max="2" width="22.42578125" bestFit="1" customWidth="1"/>
    <col min="3" max="3" width="90.85546875" bestFit="1" customWidth="1"/>
    <col min="4" max="4" width="8.140625" bestFit="1" customWidth="1"/>
    <col min="5" max="5" width="12.5703125" bestFit="1" customWidth="1"/>
    <col min="6" max="7" width="12.5703125" style="1" customWidth="1"/>
    <col min="8" max="8" width="26.7109375" bestFit="1" customWidth="1"/>
    <col min="12" max="12" width="90.85546875" hidden="1" customWidth="1" outlineLevel="1"/>
    <col min="13" max="13" width="11.5703125" hidden="1" customWidth="1" outlineLevel="1"/>
    <col min="14" max="14" width="17.28515625" hidden="1" customWidth="1" outlineLevel="1"/>
    <col min="15" max="15" width="9.140625" collapsed="1"/>
  </cols>
  <sheetData>
    <row r="1" spans="1:14" ht="15.75" thickBot="1" x14ac:dyDescent="0.3"/>
    <row r="2" spans="1:14" x14ac:dyDescent="0.25">
      <c r="A2" s="3" t="s">
        <v>510</v>
      </c>
      <c r="B2" s="3" t="s">
        <v>206</v>
      </c>
      <c r="C2" s="3" t="s">
        <v>437</v>
      </c>
      <c r="D2" s="3" t="s">
        <v>271</v>
      </c>
      <c r="E2" s="3" t="s">
        <v>3</v>
      </c>
      <c r="F2" s="150" t="s">
        <v>598</v>
      </c>
      <c r="G2" s="151" t="s">
        <v>599</v>
      </c>
      <c r="H2" s="3" t="s">
        <v>409</v>
      </c>
    </row>
    <row r="3" spans="1:14" x14ac:dyDescent="0.25">
      <c r="A3" s="1" t="s">
        <v>210</v>
      </c>
      <c r="B3" t="s">
        <v>442</v>
      </c>
      <c r="C3" t="s">
        <v>204</v>
      </c>
      <c r="D3" t="s">
        <v>16</v>
      </c>
      <c r="E3" s="139">
        <v>100179</v>
      </c>
      <c r="F3" s="158">
        <f>E3-15000</f>
        <v>85179</v>
      </c>
      <c r="G3" s="159">
        <f>E3-F3</f>
        <v>15000</v>
      </c>
      <c r="H3" t="s">
        <v>315</v>
      </c>
      <c r="L3" t="s">
        <v>521</v>
      </c>
      <c r="M3" s="6">
        <f>145000/5*3</f>
        <v>87000</v>
      </c>
      <c r="N3" t="s">
        <v>594</v>
      </c>
    </row>
    <row r="4" spans="1:14" x14ac:dyDescent="0.25">
      <c r="A4" s="1">
        <v>14</v>
      </c>
      <c r="B4" t="s">
        <v>440</v>
      </c>
      <c r="C4" t="s">
        <v>145</v>
      </c>
      <c r="D4" t="s">
        <v>16</v>
      </c>
      <c r="E4" s="139">
        <v>25000</v>
      </c>
      <c r="F4" s="158"/>
      <c r="G4" s="159">
        <f>E4</f>
        <v>25000</v>
      </c>
      <c r="H4" t="s">
        <v>317</v>
      </c>
      <c r="L4" t="s">
        <v>288</v>
      </c>
      <c r="M4" s="6">
        <v>195600</v>
      </c>
    </row>
    <row r="5" spans="1:14" x14ac:dyDescent="0.25">
      <c r="A5" s="1">
        <v>31</v>
      </c>
      <c r="B5" t="s">
        <v>248</v>
      </c>
      <c r="C5" t="s">
        <v>155</v>
      </c>
      <c r="D5" t="s">
        <v>16</v>
      </c>
      <c r="E5" s="139">
        <v>7500</v>
      </c>
      <c r="F5" s="158"/>
      <c r="G5" s="159">
        <f>E5</f>
        <v>7500</v>
      </c>
      <c r="H5" t="s">
        <v>316</v>
      </c>
      <c r="L5" t="s">
        <v>165</v>
      </c>
      <c r="M5" s="6">
        <v>3500</v>
      </c>
    </row>
    <row r="6" spans="1:14" x14ac:dyDescent="0.25">
      <c r="A6" s="1">
        <v>32</v>
      </c>
      <c r="B6" t="s">
        <v>249</v>
      </c>
      <c r="C6" t="s">
        <v>521</v>
      </c>
      <c r="D6" t="s">
        <v>16</v>
      </c>
      <c r="E6" s="139">
        <v>145000</v>
      </c>
      <c r="F6" s="158">
        <f>E6/5*2</f>
        <v>58000</v>
      </c>
      <c r="G6" s="159">
        <f>E6-F6</f>
        <v>87000</v>
      </c>
      <c r="H6" t="s">
        <v>316</v>
      </c>
      <c r="L6" t="s">
        <v>193</v>
      </c>
      <c r="M6" s="6">
        <v>10000</v>
      </c>
    </row>
    <row r="7" spans="1:14" x14ac:dyDescent="0.25">
      <c r="A7" s="1">
        <v>32</v>
      </c>
      <c r="B7" t="s">
        <v>249</v>
      </c>
      <c r="C7" t="s">
        <v>465</v>
      </c>
      <c r="D7" t="s">
        <v>16</v>
      </c>
      <c r="E7" s="139">
        <v>60000</v>
      </c>
      <c r="F7" s="158">
        <f>E7/6*2+10000</f>
        <v>30000</v>
      </c>
      <c r="G7" s="159">
        <f>E7-F7</f>
        <v>30000</v>
      </c>
      <c r="H7" t="s">
        <v>316</v>
      </c>
      <c r="L7" t="s">
        <v>183</v>
      </c>
      <c r="M7" s="6">
        <v>8300</v>
      </c>
      <c r="N7" t="s">
        <v>593</v>
      </c>
    </row>
    <row r="8" spans="1:14" x14ac:dyDescent="0.25">
      <c r="A8" s="1">
        <v>32</v>
      </c>
      <c r="B8" t="s">
        <v>249</v>
      </c>
      <c r="C8" t="s">
        <v>522</v>
      </c>
      <c r="D8" t="s">
        <v>16</v>
      </c>
      <c r="E8" s="139">
        <v>33000</v>
      </c>
      <c r="F8" s="158">
        <f>E8*0</f>
        <v>0</v>
      </c>
      <c r="G8" s="159">
        <f>E8</f>
        <v>33000</v>
      </c>
      <c r="H8" t="s">
        <v>316</v>
      </c>
      <c r="L8" t="s">
        <v>168</v>
      </c>
      <c r="M8" s="6">
        <v>8000</v>
      </c>
    </row>
    <row r="9" spans="1:14" x14ac:dyDescent="0.25">
      <c r="A9" s="1">
        <v>32</v>
      </c>
      <c r="B9" t="s">
        <v>249</v>
      </c>
      <c r="C9" t="s">
        <v>523</v>
      </c>
      <c r="D9" t="s">
        <v>16</v>
      </c>
      <c r="E9" s="139">
        <v>28000</v>
      </c>
      <c r="F9" s="158"/>
      <c r="G9" s="159">
        <f>E9</f>
        <v>28000</v>
      </c>
      <c r="H9" t="s">
        <v>316</v>
      </c>
      <c r="L9" t="s">
        <v>487</v>
      </c>
      <c r="M9" s="6">
        <v>7000</v>
      </c>
      <c r="N9" t="s">
        <v>593</v>
      </c>
    </row>
    <row r="10" spans="1:14" x14ac:dyDescent="0.25">
      <c r="A10" s="1">
        <v>32</v>
      </c>
      <c r="B10" t="s">
        <v>249</v>
      </c>
      <c r="C10" t="s">
        <v>173</v>
      </c>
      <c r="D10" t="s">
        <v>16</v>
      </c>
      <c r="E10" s="139">
        <v>138000</v>
      </c>
      <c r="F10" s="158">
        <f>E10</f>
        <v>138000</v>
      </c>
      <c r="G10" s="159"/>
      <c r="H10" t="s">
        <v>316</v>
      </c>
      <c r="L10" t="s">
        <v>564</v>
      </c>
      <c r="M10" s="6">
        <v>10000</v>
      </c>
    </row>
    <row r="11" spans="1:14" x14ac:dyDescent="0.25">
      <c r="A11" s="1">
        <v>32</v>
      </c>
      <c r="B11" t="s">
        <v>249</v>
      </c>
      <c r="C11" t="s">
        <v>175</v>
      </c>
      <c r="D11" t="s">
        <v>16</v>
      </c>
      <c r="E11" s="139">
        <v>10000</v>
      </c>
      <c r="F11" s="158">
        <f>E11</f>
        <v>10000</v>
      </c>
      <c r="G11" s="159"/>
      <c r="H11" t="s">
        <v>316</v>
      </c>
      <c r="L11" t="s">
        <v>308</v>
      </c>
      <c r="M11" s="6">
        <v>6419</v>
      </c>
    </row>
    <row r="12" spans="1:14" x14ac:dyDescent="0.25">
      <c r="A12" s="1">
        <v>32</v>
      </c>
      <c r="B12" t="s">
        <v>249</v>
      </c>
      <c r="C12" t="s">
        <v>168</v>
      </c>
      <c r="D12" t="s">
        <v>16</v>
      </c>
      <c r="E12" s="139">
        <v>8000</v>
      </c>
      <c r="F12" s="158"/>
      <c r="G12" s="159">
        <f>E12</f>
        <v>8000</v>
      </c>
      <c r="H12" t="s">
        <v>316</v>
      </c>
      <c r="L12" t="s">
        <v>361</v>
      </c>
      <c r="M12" s="6">
        <v>5000</v>
      </c>
    </row>
    <row r="13" spans="1:14" x14ac:dyDescent="0.25">
      <c r="A13" s="1">
        <v>32</v>
      </c>
      <c r="B13" t="s">
        <v>249</v>
      </c>
      <c r="C13" t="s">
        <v>165</v>
      </c>
      <c r="D13" t="s">
        <v>16</v>
      </c>
      <c r="E13" s="139">
        <v>3500</v>
      </c>
      <c r="F13" s="158">
        <f>E13</f>
        <v>3500</v>
      </c>
      <c r="G13" s="159"/>
      <c r="H13" t="s">
        <v>316</v>
      </c>
      <c r="L13" t="s">
        <v>167</v>
      </c>
      <c r="M13" s="6">
        <v>900</v>
      </c>
    </row>
    <row r="14" spans="1:14" x14ac:dyDescent="0.25">
      <c r="A14" s="1">
        <v>32</v>
      </c>
      <c r="B14" t="s">
        <v>249</v>
      </c>
      <c r="C14" t="s">
        <v>167</v>
      </c>
      <c r="D14" t="s">
        <v>16</v>
      </c>
      <c r="E14" s="139">
        <v>900</v>
      </c>
      <c r="F14" s="158">
        <f>E14</f>
        <v>900</v>
      </c>
      <c r="G14" s="159"/>
      <c r="H14" t="s">
        <v>316</v>
      </c>
      <c r="L14" t="s">
        <v>169</v>
      </c>
      <c r="M14" s="6">
        <v>500</v>
      </c>
    </row>
    <row r="15" spans="1:14" x14ac:dyDescent="0.25">
      <c r="A15" s="1">
        <v>32</v>
      </c>
      <c r="B15" t="s">
        <v>249</v>
      </c>
      <c r="C15" t="s">
        <v>169</v>
      </c>
      <c r="D15" t="s">
        <v>16</v>
      </c>
      <c r="E15" s="139">
        <v>500</v>
      </c>
      <c r="F15" s="158">
        <f>E15</f>
        <v>500</v>
      </c>
      <c r="G15" s="159"/>
      <c r="H15" t="s">
        <v>316</v>
      </c>
      <c r="L15" t="s">
        <v>596</v>
      </c>
      <c r="M15" s="6">
        <v>0</v>
      </c>
    </row>
    <row r="16" spans="1:14" x14ac:dyDescent="0.25">
      <c r="A16" s="1">
        <v>35</v>
      </c>
      <c r="B16" t="s">
        <v>439</v>
      </c>
      <c r="C16" t="s">
        <v>319</v>
      </c>
      <c r="D16" t="s">
        <v>16</v>
      </c>
      <c r="E16" s="139">
        <v>100000</v>
      </c>
      <c r="F16" s="158"/>
      <c r="G16" s="159">
        <f>E16</f>
        <v>100000</v>
      </c>
      <c r="H16" t="s">
        <v>366</v>
      </c>
      <c r="L16" t="s">
        <v>522</v>
      </c>
      <c r="M16" s="6">
        <v>33000</v>
      </c>
    </row>
    <row r="17" spans="1:14" x14ac:dyDescent="0.25">
      <c r="A17" s="1">
        <v>35</v>
      </c>
      <c r="B17" t="s">
        <v>439</v>
      </c>
      <c r="C17" t="s">
        <v>318</v>
      </c>
      <c r="D17" t="s">
        <v>16</v>
      </c>
      <c r="E17" s="139">
        <v>18000</v>
      </c>
      <c r="F17" s="158">
        <v>0</v>
      </c>
      <c r="G17" s="159">
        <f>E17</f>
        <v>18000</v>
      </c>
      <c r="H17" t="s">
        <v>366</v>
      </c>
      <c r="L17" t="s">
        <v>22</v>
      </c>
      <c r="M17" s="6">
        <v>10000</v>
      </c>
    </row>
    <row r="18" spans="1:14" x14ac:dyDescent="0.25">
      <c r="A18" s="1">
        <v>36</v>
      </c>
      <c r="B18" t="s">
        <v>250</v>
      </c>
      <c r="C18" t="s">
        <v>288</v>
      </c>
      <c r="D18" t="s">
        <v>16</v>
      </c>
      <c r="E18" s="139">
        <v>195600</v>
      </c>
      <c r="F18" s="158">
        <v>0</v>
      </c>
      <c r="G18" s="159">
        <f>E18</f>
        <v>195600</v>
      </c>
      <c r="H18" t="s">
        <v>366</v>
      </c>
      <c r="L18" t="s">
        <v>177</v>
      </c>
      <c r="M18" s="6">
        <v>40000</v>
      </c>
    </row>
    <row r="19" spans="1:14" x14ac:dyDescent="0.25">
      <c r="A19" s="1">
        <v>36</v>
      </c>
      <c r="B19" t="s">
        <v>250</v>
      </c>
      <c r="C19" t="s">
        <v>323</v>
      </c>
      <c r="D19" t="s">
        <v>16</v>
      </c>
      <c r="E19" s="139">
        <v>30000</v>
      </c>
      <c r="F19" s="158">
        <f>E19</f>
        <v>30000</v>
      </c>
      <c r="G19" s="159"/>
      <c r="H19" t="s">
        <v>366</v>
      </c>
      <c r="L19" t="s">
        <v>318</v>
      </c>
      <c r="M19" s="6">
        <v>18000</v>
      </c>
      <c r="N19" t="s">
        <v>591</v>
      </c>
    </row>
    <row r="20" spans="1:14" x14ac:dyDescent="0.25">
      <c r="A20" s="1">
        <v>36</v>
      </c>
      <c r="B20" t="s">
        <v>250</v>
      </c>
      <c r="C20" t="s">
        <v>178</v>
      </c>
      <c r="D20" t="s">
        <v>16</v>
      </c>
      <c r="E20" s="139">
        <v>50000</v>
      </c>
      <c r="F20" s="158">
        <f>E20</f>
        <v>50000</v>
      </c>
      <c r="G20" s="159"/>
      <c r="H20" t="s">
        <v>366</v>
      </c>
      <c r="L20" t="s">
        <v>446</v>
      </c>
      <c r="M20" s="6">
        <v>25000</v>
      </c>
    </row>
    <row r="21" spans="1:14" x14ac:dyDescent="0.25">
      <c r="A21" s="1">
        <v>36</v>
      </c>
      <c r="B21" t="s">
        <v>250</v>
      </c>
      <c r="C21" t="s">
        <v>177</v>
      </c>
      <c r="D21" t="s">
        <v>16</v>
      </c>
      <c r="E21" s="139">
        <v>40000</v>
      </c>
      <c r="F21" s="158">
        <f>E21</f>
        <v>40000</v>
      </c>
      <c r="G21" s="159"/>
      <c r="H21" t="s">
        <v>366</v>
      </c>
      <c r="L21" t="s">
        <v>562</v>
      </c>
      <c r="M21" s="6">
        <v>25000</v>
      </c>
      <c r="N21" t="s">
        <v>591</v>
      </c>
    </row>
    <row r="22" spans="1:14" x14ac:dyDescent="0.25">
      <c r="A22" s="1">
        <v>37</v>
      </c>
      <c r="B22" t="s">
        <v>464</v>
      </c>
      <c r="C22" t="s">
        <v>466</v>
      </c>
      <c r="D22" t="s">
        <v>16</v>
      </c>
      <c r="E22" s="139">
        <v>200000</v>
      </c>
      <c r="F22" s="158">
        <f>E22</f>
        <v>200000</v>
      </c>
      <c r="G22" s="159"/>
      <c r="H22" t="s">
        <v>366</v>
      </c>
      <c r="L22" t="s">
        <v>492</v>
      </c>
      <c r="M22" s="6">
        <v>40000</v>
      </c>
    </row>
    <row r="23" spans="1:14" x14ac:dyDescent="0.25">
      <c r="A23" s="1">
        <v>37</v>
      </c>
      <c r="B23" t="s">
        <v>464</v>
      </c>
      <c r="C23" t="s">
        <v>467</v>
      </c>
      <c r="D23" t="s">
        <v>16</v>
      </c>
      <c r="E23" s="139">
        <v>81949</v>
      </c>
      <c r="F23" s="158"/>
      <c r="G23" s="159">
        <f>E23</f>
        <v>81949</v>
      </c>
      <c r="H23" t="s">
        <v>366</v>
      </c>
      <c r="L23" t="s">
        <v>323</v>
      </c>
      <c r="M23" s="6">
        <v>30000</v>
      </c>
    </row>
    <row r="24" spans="1:14" x14ac:dyDescent="0.25">
      <c r="A24" s="1">
        <v>38</v>
      </c>
      <c r="B24" t="s">
        <v>47</v>
      </c>
      <c r="C24" t="s">
        <v>555</v>
      </c>
      <c r="D24" t="s">
        <v>16</v>
      </c>
      <c r="E24" s="139">
        <v>375000</v>
      </c>
      <c r="F24" s="158"/>
      <c r="G24" s="159">
        <f>E24</f>
        <v>375000</v>
      </c>
      <c r="H24" t="s">
        <v>366</v>
      </c>
      <c r="L24" t="s">
        <v>525</v>
      </c>
      <c r="M24" s="6">
        <v>45000</v>
      </c>
      <c r="N24" t="s">
        <v>591</v>
      </c>
    </row>
    <row r="25" spans="1:14" x14ac:dyDescent="0.25">
      <c r="A25" s="1">
        <v>38</v>
      </c>
      <c r="B25" t="s">
        <v>47</v>
      </c>
      <c r="C25" t="s">
        <v>455</v>
      </c>
      <c r="D25" t="s">
        <v>16</v>
      </c>
      <c r="E25" s="139">
        <v>150000</v>
      </c>
      <c r="F25" s="158"/>
      <c r="G25" s="159">
        <f>E25</f>
        <v>150000</v>
      </c>
      <c r="H25" t="s">
        <v>366</v>
      </c>
      <c r="L25" t="s">
        <v>472</v>
      </c>
      <c r="M25" s="6">
        <v>35000</v>
      </c>
      <c r="N25" t="s">
        <v>591</v>
      </c>
    </row>
    <row r="26" spans="1:14" x14ac:dyDescent="0.25">
      <c r="A26" s="1">
        <v>38</v>
      </c>
      <c r="B26" t="s">
        <v>47</v>
      </c>
      <c r="C26" t="s">
        <v>454</v>
      </c>
      <c r="D26" t="s">
        <v>16</v>
      </c>
      <c r="E26" s="139">
        <v>50000</v>
      </c>
      <c r="F26" s="158"/>
      <c r="G26" s="159">
        <f t="shared" ref="G26" si="0">E26</f>
        <v>50000</v>
      </c>
      <c r="H26" t="s">
        <v>366</v>
      </c>
      <c r="L26" t="s">
        <v>355</v>
      </c>
      <c r="M26" s="6">
        <v>25000</v>
      </c>
    </row>
    <row r="27" spans="1:14" x14ac:dyDescent="0.25">
      <c r="A27" s="1">
        <v>38</v>
      </c>
      <c r="B27" t="s">
        <v>47</v>
      </c>
      <c r="C27" t="s">
        <v>224</v>
      </c>
      <c r="D27" t="s">
        <v>16</v>
      </c>
      <c r="E27" s="139">
        <v>45000</v>
      </c>
      <c r="F27" s="158"/>
      <c r="G27" s="159">
        <f>E27</f>
        <v>45000</v>
      </c>
      <c r="H27" t="s">
        <v>366</v>
      </c>
      <c r="L27" t="s">
        <v>225</v>
      </c>
      <c r="M27" s="6">
        <v>25000</v>
      </c>
    </row>
    <row r="28" spans="1:14" x14ac:dyDescent="0.25">
      <c r="A28" s="1">
        <v>38</v>
      </c>
      <c r="B28" t="s">
        <v>47</v>
      </c>
      <c r="C28" t="s">
        <v>492</v>
      </c>
      <c r="D28" t="s">
        <v>16</v>
      </c>
      <c r="E28" s="139">
        <v>40000</v>
      </c>
      <c r="F28" s="158">
        <f t="shared" ref="F28" si="1">E28</f>
        <v>40000</v>
      </c>
      <c r="G28" s="159"/>
      <c r="H28" t="s">
        <v>366</v>
      </c>
      <c r="L28" t="s">
        <v>491</v>
      </c>
      <c r="M28" s="6">
        <v>25000</v>
      </c>
    </row>
    <row r="29" spans="1:14" x14ac:dyDescent="0.25">
      <c r="A29" s="1">
        <v>38</v>
      </c>
      <c r="B29" t="s">
        <v>47</v>
      </c>
      <c r="C29" t="s">
        <v>472</v>
      </c>
      <c r="D29" t="s">
        <v>16</v>
      </c>
      <c r="E29" s="139">
        <v>35000</v>
      </c>
      <c r="F29" s="158">
        <f>E29*0.5</f>
        <v>17500</v>
      </c>
      <c r="G29" s="159">
        <f>E29-F29</f>
        <v>17500</v>
      </c>
      <c r="H29" t="s">
        <v>366</v>
      </c>
      <c r="L29" t="s">
        <v>356</v>
      </c>
      <c r="M29" s="6">
        <v>20000</v>
      </c>
    </row>
    <row r="30" spans="1:14" x14ac:dyDescent="0.25">
      <c r="A30" s="1">
        <v>38</v>
      </c>
      <c r="B30" t="s">
        <v>47</v>
      </c>
      <c r="C30" t="s">
        <v>450</v>
      </c>
      <c r="D30" t="s">
        <v>16</v>
      </c>
      <c r="E30" s="139">
        <v>35000</v>
      </c>
      <c r="F30" s="158"/>
      <c r="G30" s="159">
        <f>E30</f>
        <v>35000</v>
      </c>
      <c r="H30" t="s">
        <v>366</v>
      </c>
      <c r="L30" t="s">
        <v>563</v>
      </c>
      <c r="M30" s="6">
        <v>20000</v>
      </c>
    </row>
    <row r="31" spans="1:14" x14ac:dyDescent="0.25">
      <c r="A31" s="1">
        <v>38</v>
      </c>
      <c r="B31" t="s">
        <v>47</v>
      </c>
      <c r="C31" t="s">
        <v>447</v>
      </c>
      <c r="D31" t="s">
        <v>16</v>
      </c>
      <c r="E31" s="139">
        <v>30000</v>
      </c>
      <c r="F31" s="158"/>
      <c r="G31" s="159">
        <f>E31</f>
        <v>30000</v>
      </c>
      <c r="H31" t="s">
        <v>366</v>
      </c>
      <c r="L31" t="s">
        <v>488</v>
      </c>
      <c r="M31" s="6">
        <v>19662</v>
      </c>
      <c r="N31" t="s">
        <v>591</v>
      </c>
    </row>
    <row r="32" spans="1:14" x14ac:dyDescent="0.25">
      <c r="A32" s="1">
        <v>38</v>
      </c>
      <c r="B32" t="s">
        <v>47</v>
      </c>
      <c r="C32" t="s">
        <v>446</v>
      </c>
      <c r="D32" t="s">
        <v>16</v>
      </c>
      <c r="E32" s="139">
        <v>25000</v>
      </c>
      <c r="F32" s="158">
        <v>0</v>
      </c>
      <c r="G32" s="159">
        <f>E32</f>
        <v>25000</v>
      </c>
      <c r="H32" t="s">
        <v>366</v>
      </c>
      <c r="L32" t="s">
        <v>357</v>
      </c>
      <c r="M32" s="6">
        <v>15000</v>
      </c>
      <c r="N32" t="s">
        <v>593</v>
      </c>
    </row>
    <row r="33" spans="1:14" x14ac:dyDescent="0.25">
      <c r="A33" s="1">
        <v>38</v>
      </c>
      <c r="B33" t="s">
        <v>47</v>
      </c>
      <c r="C33" t="s">
        <v>225</v>
      </c>
      <c r="D33" t="s">
        <v>16</v>
      </c>
      <c r="E33" s="139">
        <v>25000</v>
      </c>
      <c r="F33" s="158">
        <f>E33</f>
        <v>25000</v>
      </c>
      <c r="G33" s="159"/>
      <c r="H33" t="s">
        <v>366</v>
      </c>
      <c r="L33" t="s">
        <v>554</v>
      </c>
      <c r="M33" s="6">
        <v>12800</v>
      </c>
    </row>
    <row r="34" spans="1:14" x14ac:dyDescent="0.25">
      <c r="A34" s="1">
        <v>38</v>
      </c>
      <c r="B34" t="s">
        <v>47</v>
      </c>
      <c r="C34" t="s">
        <v>341</v>
      </c>
      <c r="D34" t="s">
        <v>16</v>
      </c>
      <c r="E34" s="139">
        <v>10000</v>
      </c>
      <c r="F34" s="158">
        <f>E34</f>
        <v>10000</v>
      </c>
      <c r="G34" s="159"/>
      <c r="H34" t="s">
        <v>366</v>
      </c>
      <c r="L34" t="s">
        <v>341</v>
      </c>
      <c r="M34" s="6">
        <v>10000</v>
      </c>
      <c r="N34" t="s">
        <v>591</v>
      </c>
    </row>
    <row r="35" spans="1:14" x14ac:dyDescent="0.25">
      <c r="A35" s="1">
        <v>38</v>
      </c>
      <c r="B35" t="s">
        <v>47</v>
      </c>
      <c r="C35" t="s">
        <v>448</v>
      </c>
      <c r="D35" t="s">
        <v>16</v>
      </c>
      <c r="E35" s="139">
        <v>8000</v>
      </c>
      <c r="F35" s="158"/>
      <c r="G35" s="159">
        <f>E35</f>
        <v>8000</v>
      </c>
      <c r="H35" t="s">
        <v>366</v>
      </c>
      <c r="L35" t="s">
        <v>175</v>
      </c>
      <c r="M35" s="6">
        <v>10000</v>
      </c>
    </row>
    <row r="36" spans="1:14" x14ac:dyDescent="0.25">
      <c r="A36" s="1">
        <v>38</v>
      </c>
      <c r="B36" t="s">
        <v>47</v>
      </c>
      <c r="C36" t="s">
        <v>348</v>
      </c>
      <c r="D36" t="s">
        <v>16</v>
      </c>
      <c r="E36" s="139">
        <v>5000</v>
      </c>
      <c r="F36" s="158"/>
      <c r="G36" s="159">
        <f>E36</f>
        <v>5000</v>
      </c>
      <c r="H36" t="s">
        <v>366</v>
      </c>
      <c r="L36" t="s">
        <v>191</v>
      </c>
      <c r="M36" s="6">
        <v>10000</v>
      </c>
    </row>
    <row r="37" spans="1:14" x14ac:dyDescent="0.25">
      <c r="A37" s="1">
        <v>42</v>
      </c>
      <c r="B37" t="s">
        <v>513</v>
      </c>
      <c r="C37" t="s">
        <v>183</v>
      </c>
      <c r="D37" t="s">
        <v>16</v>
      </c>
      <c r="E37" s="139">
        <v>8300</v>
      </c>
      <c r="F37" s="158"/>
      <c r="G37" s="159">
        <f>E37</f>
        <v>8300</v>
      </c>
      <c r="H37" t="s">
        <v>367</v>
      </c>
      <c r="L37" t="s">
        <v>560</v>
      </c>
      <c r="M37" s="6">
        <v>50000</v>
      </c>
    </row>
    <row r="38" spans="1:14" x14ac:dyDescent="0.25">
      <c r="A38" s="1">
        <v>42</v>
      </c>
      <c r="B38" t="s">
        <v>513</v>
      </c>
      <c r="C38" t="s">
        <v>487</v>
      </c>
      <c r="D38" t="s">
        <v>16</v>
      </c>
      <c r="E38" s="139">
        <v>7000</v>
      </c>
      <c r="F38" s="158"/>
      <c r="G38" s="159">
        <f>E38</f>
        <v>7000</v>
      </c>
      <c r="H38" t="s">
        <v>367</v>
      </c>
      <c r="L38" t="s">
        <v>561</v>
      </c>
      <c r="M38" s="6">
        <v>50000</v>
      </c>
    </row>
    <row r="39" spans="1:14" x14ac:dyDescent="0.25">
      <c r="A39" s="1">
        <v>43</v>
      </c>
      <c r="B39" t="s">
        <v>441</v>
      </c>
      <c r="C39" t="s">
        <v>478</v>
      </c>
      <c r="D39" t="s">
        <v>16</v>
      </c>
      <c r="E39" s="139">
        <v>20000</v>
      </c>
      <c r="F39" s="158"/>
      <c r="G39" s="159">
        <f>E39</f>
        <v>20000</v>
      </c>
      <c r="H39" t="s">
        <v>367</v>
      </c>
      <c r="L39" t="s">
        <v>20</v>
      </c>
      <c r="M39" s="6">
        <v>105000</v>
      </c>
      <c r="N39" t="s">
        <v>591</v>
      </c>
    </row>
    <row r="40" spans="1:14" x14ac:dyDescent="0.25">
      <c r="A40" s="1">
        <v>43</v>
      </c>
      <c r="B40" t="s">
        <v>441</v>
      </c>
      <c r="C40" t="s">
        <v>488</v>
      </c>
      <c r="D40" t="s">
        <v>16</v>
      </c>
      <c r="E40" s="139">
        <v>19662</v>
      </c>
      <c r="F40" s="158">
        <f>E40</f>
        <v>19662</v>
      </c>
      <c r="G40" s="159"/>
      <c r="H40" t="s">
        <v>367</v>
      </c>
      <c r="L40" t="s">
        <v>319</v>
      </c>
      <c r="M40" s="21">
        <v>0</v>
      </c>
    </row>
    <row r="41" spans="1:14" x14ac:dyDescent="0.25">
      <c r="A41" s="1">
        <v>43</v>
      </c>
      <c r="B41" t="s">
        <v>441</v>
      </c>
      <c r="C41" t="s">
        <v>308</v>
      </c>
      <c r="D41" t="s">
        <v>16</v>
      </c>
      <c r="E41" s="139">
        <v>6419</v>
      </c>
      <c r="F41" s="158">
        <f>E41</f>
        <v>6419</v>
      </c>
      <c r="G41" s="159"/>
      <c r="H41" t="s">
        <v>367</v>
      </c>
      <c r="L41" t="s">
        <v>224</v>
      </c>
      <c r="M41" s="6">
        <v>45000</v>
      </c>
      <c r="N41" t="s">
        <v>591</v>
      </c>
    </row>
    <row r="42" spans="1:14" x14ac:dyDescent="0.25">
      <c r="A42" s="1">
        <v>45</v>
      </c>
      <c r="B42" t="s">
        <v>46</v>
      </c>
      <c r="C42" t="s">
        <v>489</v>
      </c>
      <c r="D42" t="s">
        <v>16</v>
      </c>
      <c r="E42" s="139">
        <v>892000</v>
      </c>
      <c r="F42" s="158"/>
      <c r="G42" s="159">
        <f>E42</f>
        <v>892000</v>
      </c>
      <c r="H42" t="s">
        <v>367</v>
      </c>
      <c r="L42" t="s">
        <v>597</v>
      </c>
      <c r="M42" s="6">
        <v>120000</v>
      </c>
    </row>
    <row r="43" spans="1:14" x14ac:dyDescent="0.25">
      <c r="A43" s="1">
        <v>45</v>
      </c>
      <c r="B43" t="s">
        <v>46</v>
      </c>
      <c r="C43" t="s">
        <v>20</v>
      </c>
      <c r="D43" t="s">
        <v>16</v>
      </c>
      <c r="E43" s="139">
        <v>105000</v>
      </c>
      <c r="F43" s="158">
        <f>E43</f>
        <v>105000</v>
      </c>
      <c r="G43" s="159"/>
      <c r="H43" t="s">
        <v>367</v>
      </c>
      <c r="L43" t="s">
        <v>556</v>
      </c>
      <c r="M43" s="6">
        <v>120000</v>
      </c>
    </row>
    <row r="44" spans="1:14" x14ac:dyDescent="0.25">
      <c r="A44" s="1">
        <v>45</v>
      </c>
      <c r="B44" t="s">
        <v>46</v>
      </c>
      <c r="C44" t="s">
        <v>355</v>
      </c>
      <c r="D44" t="s">
        <v>16</v>
      </c>
      <c r="E44" s="139">
        <v>25000</v>
      </c>
      <c r="F44" s="158">
        <f>E44</f>
        <v>25000</v>
      </c>
      <c r="G44" s="159"/>
      <c r="H44" t="s">
        <v>367</v>
      </c>
      <c r="L44" t="s">
        <v>570</v>
      </c>
      <c r="M44" s="6">
        <v>113580.00000000001</v>
      </c>
    </row>
    <row r="45" spans="1:14" x14ac:dyDescent="0.25">
      <c r="A45" s="1">
        <v>45</v>
      </c>
      <c r="B45" t="s">
        <v>46</v>
      </c>
      <c r="C45" t="s">
        <v>356</v>
      </c>
      <c r="D45" t="s">
        <v>16</v>
      </c>
      <c r="E45" s="139">
        <v>20000</v>
      </c>
      <c r="F45" s="158">
        <f>E45</f>
        <v>20000</v>
      </c>
      <c r="G45" s="159"/>
      <c r="H45" t="s">
        <v>367</v>
      </c>
      <c r="L45" t="s">
        <v>204</v>
      </c>
      <c r="M45" s="6">
        <v>100179</v>
      </c>
    </row>
    <row r="46" spans="1:14" x14ac:dyDescent="0.25">
      <c r="A46" s="1">
        <v>45</v>
      </c>
      <c r="B46" t="s">
        <v>46</v>
      </c>
      <c r="C46" t="s">
        <v>23</v>
      </c>
      <c r="D46" t="s">
        <v>16</v>
      </c>
      <c r="E46" s="139">
        <v>15000</v>
      </c>
      <c r="F46" s="158"/>
      <c r="G46" s="159">
        <f>E46</f>
        <v>15000</v>
      </c>
      <c r="H46" t="s">
        <v>367</v>
      </c>
      <c r="L46" t="s">
        <v>559</v>
      </c>
      <c r="M46" s="6">
        <v>97631</v>
      </c>
    </row>
    <row r="47" spans="1:14" x14ac:dyDescent="0.25">
      <c r="A47" s="1">
        <v>45</v>
      </c>
      <c r="B47" t="s">
        <v>46</v>
      </c>
      <c r="C47" t="s">
        <v>22</v>
      </c>
      <c r="D47" t="s">
        <v>16</v>
      </c>
      <c r="E47" s="139">
        <v>10000</v>
      </c>
      <c r="F47" s="158">
        <f t="shared" ref="F47" si="2">E47</f>
        <v>10000</v>
      </c>
      <c r="G47" s="159"/>
      <c r="H47" t="s">
        <v>367</v>
      </c>
      <c r="L47" t="s">
        <v>178</v>
      </c>
      <c r="M47" s="6">
        <v>50000</v>
      </c>
    </row>
    <row r="48" spans="1:14" x14ac:dyDescent="0.25">
      <c r="A48" s="1">
        <v>55</v>
      </c>
      <c r="B48" t="s">
        <v>85</v>
      </c>
      <c r="C48" t="s">
        <v>357</v>
      </c>
      <c r="D48" t="s">
        <v>16</v>
      </c>
      <c r="E48" s="139">
        <v>15000</v>
      </c>
      <c r="F48" s="158"/>
      <c r="G48" s="159">
        <f>E48</f>
        <v>15000</v>
      </c>
      <c r="H48" t="s">
        <v>367</v>
      </c>
      <c r="L48" t="s">
        <v>465</v>
      </c>
      <c r="M48" s="6">
        <f>60000/5*3</f>
        <v>36000</v>
      </c>
      <c r="N48" t="s">
        <v>594</v>
      </c>
    </row>
    <row r="49" spans="1:14" x14ac:dyDescent="0.25">
      <c r="A49" s="1">
        <v>55</v>
      </c>
      <c r="B49" t="s">
        <v>85</v>
      </c>
      <c r="C49" t="s">
        <v>554</v>
      </c>
      <c r="D49" t="s">
        <v>16</v>
      </c>
      <c r="E49" s="139">
        <v>12800</v>
      </c>
      <c r="F49" s="158">
        <f>E49</f>
        <v>12800</v>
      </c>
      <c r="G49" s="159"/>
      <c r="H49" t="s">
        <v>367</v>
      </c>
      <c r="L49" t="s">
        <v>107</v>
      </c>
      <c r="M49" s="6">
        <v>50000</v>
      </c>
    </row>
    <row r="50" spans="1:14" x14ac:dyDescent="0.25">
      <c r="A50" s="1">
        <v>61</v>
      </c>
      <c r="B50" t="s">
        <v>1</v>
      </c>
      <c r="C50" t="s">
        <v>88</v>
      </c>
      <c r="D50" t="s">
        <v>16</v>
      </c>
      <c r="E50" s="139">
        <v>210000</v>
      </c>
      <c r="F50" s="158"/>
      <c r="G50" s="159">
        <f>E50</f>
        <v>210000</v>
      </c>
      <c r="H50" t="s">
        <v>1</v>
      </c>
      <c r="L50" t="s">
        <v>145</v>
      </c>
      <c r="M50" s="6">
        <v>0</v>
      </c>
    </row>
    <row r="51" spans="1:14" x14ac:dyDescent="0.25">
      <c r="A51" s="1">
        <v>61</v>
      </c>
      <c r="B51" t="s">
        <v>1</v>
      </c>
      <c r="C51" t="s">
        <v>17</v>
      </c>
      <c r="D51" t="s">
        <v>16</v>
      </c>
      <c r="E51" s="139">
        <v>200000</v>
      </c>
      <c r="F51" s="158"/>
      <c r="G51" s="159">
        <f>E51</f>
        <v>200000</v>
      </c>
      <c r="H51" t="s">
        <v>1</v>
      </c>
      <c r="L51" t="s">
        <v>489</v>
      </c>
      <c r="M51" s="6">
        <v>0</v>
      </c>
      <c r="N51" t="s">
        <v>592</v>
      </c>
    </row>
    <row r="52" spans="1:14" x14ac:dyDescent="0.25">
      <c r="A52" s="1">
        <v>61</v>
      </c>
      <c r="B52" t="s">
        <v>1</v>
      </c>
      <c r="C52" t="s">
        <v>570</v>
      </c>
      <c r="D52" t="s">
        <v>16</v>
      </c>
      <c r="E52" s="139">
        <f>200000*(1-0.4321)</f>
        <v>113580.00000000001</v>
      </c>
      <c r="F52" s="158">
        <f>E52</f>
        <v>113580.00000000001</v>
      </c>
      <c r="G52" s="159"/>
      <c r="H52" t="s">
        <v>1</v>
      </c>
      <c r="I52" s="52" t="s">
        <v>600</v>
      </c>
      <c r="L52" t="s">
        <v>478</v>
      </c>
      <c r="M52" s="6">
        <v>0</v>
      </c>
    </row>
    <row r="53" spans="1:14" x14ac:dyDescent="0.25">
      <c r="A53" s="1">
        <v>61</v>
      </c>
      <c r="B53" t="s">
        <v>1</v>
      </c>
      <c r="C53" t="s">
        <v>557</v>
      </c>
      <c r="D53" t="s">
        <v>16</v>
      </c>
      <c r="E53" s="139">
        <v>125000</v>
      </c>
      <c r="F53" s="158">
        <v>0</v>
      </c>
      <c r="G53" s="159">
        <f>E53-F53</f>
        <v>125000</v>
      </c>
      <c r="H53" t="s">
        <v>1</v>
      </c>
      <c r="I53" s="52" t="s">
        <v>602</v>
      </c>
      <c r="L53" t="s">
        <v>23</v>
      </c>
      <c r="M53" s="6">
        <v>0</v>
      </c>
    </row>
    <row r="54" spans="1:14" x14ac:dyDescent="0.25">
      <c r="A54" s="1">
        <v>61</v>
      </c>
      <c r="B54" t="s">
        <v>1</v>
      </c>
      <c r="C54" t="s">
        <v>556</v>
      </c>
      <c r="D54" t="s">
        <v>16</v>
      </c>
      <c r="E54" s="139">
        <v>120000</v>
      </c>
      <c r="F54" s="158">
        <f>E54</f>
        <v>120000</v>
      </c>
      <c r="G54" s="159"/>
      <c r="H54" t="s">
        <v>1</v>
      </c>
      <c r="L54" t="s">
        <v>555</v>
      </c>
      <c r="M54" s="6">
        <v>0</v>
      </c>
      <c r="N54" t="s">
        <v>37</v>
      </c>
    </row>
    <row r="55" spans="1:14" x14ac:dyDescent="0.25">
      <c r="A55" s="1">
        <v>61</v>
      </c>
      <c r="B55" t="s">
        <v>1</v>
      </c>
      <c r="C55" t="s">
        <v>558</v>
      </c>
      <c r="D55" t="s">
        <v>16</v>
      </c>
      <c r="E55" s="139">
        <v>110000</v>
      </c>
      <c r="F55" s="158"/>
      <c r="G55" s="159">
        <f>E55</f>
        <v>110000</v>
      </c>
      <c r="H55" t="s">
        <v>1</v>
      </c>
      <c r="L55" t="s">
        <v>455</v>
      </c>
      <c r="M55" s="6">
        <v>0</v>
      </c>
    </row>
    <row r="56" spans="1:14" x14ac:dyDescent="0.25">
      <c r="A56" s="1">
        <v>61</v>
      </c>
      <c r="B56" t="s">
        <v>1</v>
      </c>
      <c r="C56" t="s">
        <v>559</v>
      </c>
      <c r="D56" t="s">
        <v>16</v>
      </c>
      <c r="E56" s="139">
        <v>97631</v>
      </c>
      <c r="F56" s="158">
        <f>E56-32000</f>
        <v>65631</v>
      </c>
      <c r="G56" s="159">
        <f>E56-F56</f>
        <v>32000</v>
      </c>
      <c r="H56" t="s">
        <v>1</v>
      </c>
      <c r="I56" s="52" t="s">
        <v>603</v>
      </c>
      <c r="L56" t="s">
        <v>467</v>
      </c>
      <c r="M56" s="6">
        <v>0</v>
      </c>
    </row>
    <row r="57" spans="1:14" x14ac:dyDescent="0.25">
      <c r="A57" s="1">
        <v>61</v>
      </c>
      <c r="B57" t="s">
        <v>1</v>
      </c>
      <c r="C57" t="s">
        <v>560</v>
      </c>
      <c r="D57" t="s">
        <v>16</v>
      </c>
      <c r="E57" s="139">
        <v>50000</v>
      </c>
      <c r="F57" s="158">
        <f>E57</f>
        <v>50000</v>
      </c>
      <c r="G57" s="159"/>
      <c r="H57" t="s">
        <v>1</v>
      </c>
      <c r="L57" t="s">
        <v>454</v>
      </c>
      <c r="M57" s="6">
        <v>0</v>
      </c>
    </row>
    <row r="58" spans="1:14" x14ac:dyDescent="0.25">
      <c r="A58" s="1">
        <v>61</v>
      </c>
      <c r="B58" t="s">
        <v>1</v>
      </c>
      <c r="C58" t="s">
        <v>561</v>
      </c>
      <c r="D58" t="s">
        <v>16</v>
      </c>
      <c r="E58" s="139">
        <v>50000</v>
      </c>
      <c r="F58" s="158">
        <f t="shared" ref="F58" si="3">E58</f>
        <v>50000</v>
      </c>
      <c r="G58" s="159"/>
      <c r="H58" t="s">
        <v>1</v>
      </c>
      <c r="L58" t="s">
        <v>447</v>
      </c>
      <c r="M58" s="6">
        <v>0</v>
      </c>
    </row>
    <row r="59" spans="1:14" x14ac:dyDescent="0.25">
      <c r="A59" s="1">
        <v>61</v>
      </c>
      <c r="B59" t="s">
        <v>1</v>
      </c>
      <c r="C59" t="s">
        <v>491</v>
      </c>
      <c r="D59" t="s">
        <v>16</v>
      </c>
      <c r="E59" s="139">
        <v>25000</v>
      </c>
      <c r="F59" s="158">
        <v>0</v>
      </c>
      <c r="G59" s="159">
        <f>E59</f>
        <v>25000</v>
      </c>
      <c r="H59" t="s">
        <v>1</v>
      </c>
      <c r="L59" t="s">
        <v>448</v>
      </c>
      <c r="M59" s="6">
        <v>0</v>
      </c>
    </row>
    <row r="60" spans="1:14" x14ac:dyDescent="0.25">
      <c r="A60" s="1">
        <v>61</v>
      </c>
      <c r="B60" t="s">
        <v>1</v>
      </c>
      <c r="C60" t="s">
        <v>562</v>
      </c>
      <c r="D60" t="s">
        <v>16</v>
      </c>
      <c r="E60" s="139">
        <v>25000</v>
      </c>
      <c r="F60" s="158">
        <v>25000</v>
      </c>
      <c r="G60" s="159">
        <f>E60-F60</f>
        <v>0</v>
      </c>
      <c r="H60" t="s">
        <v>1</v>
      </c>
      <c r="I60" s="52" t="s">
        <v>602</v>
      </c>
      <c r="L60" t="s">
        <v>348</v>
      </c>
      <c r="M60" s="6">
        <v>0</v>
      </c>
    </row>
    <row r="61" spans="1:14" x14ac:dyDescent="0.25">
      <c r="A61" s="1">
        <v>61</v>
      </c>
      <c r="B61" t="s">
        <v>1</v>
      </c>
      <c r="C61" t="s">
        <v>563</v>
      </c>
      <c r="D61" t="s">
        <v>16</v>
      </c>
      <c r="E61" s="139">
        <v>20000</v>
      </c>
      <c r="F61" s="158"/>
      <c r="G61" s="159">
        <f t="shared" ref="G61:G66" si="4">E61</f>
        <v>20000</v>
      </c>
      <c r="H61" t="s">
        <v>1</v>
      </c>
      <c r="L61" t="s">
        <v>523</v>
      </c>
      <c r="M61" s="6">
        <v>0</v>
      </c>
    </row>
    <row r="62" spans="1:14" x14ac:dyDescent="0.25">
      <c r="A62" s="1">
        <v>61</v>
      </c>
      <c r="B62" t="s">
        <v>1</v>
      </c>
      <c r="C62" t="s">
        <v>191</v>
      </c>
      <c r="D62" t="s">
        <v>16</v>
      </c>
      <c r="E62" s="139">
        <v>10000</v>
      </c>
      <c r="F62" s="158">
        <v>0</v>
      </c>
      <c r="G62" s="159">
        <f t="shared" si="4"/>
        <v>10000</v>
      </c>
      <c r="H62" t="s">
        <v>1</v>
      </c>
      <c r="L62" t="s">
        <v>155</v>
      </c>
      <c r="M62" s="6">
        <v>0</v>
      </c>
      <c r="N62" t="s">
        <v>595</v>
      </c>
    </row>
    <row r="63" spans="1:14" x14ac:dyDescent="0.25">
      <c r="A63" s="1">
        <v>61</v>
      </c>
      <c r="B63" t="s">
        <v>1</v>
      </c>
      <c r="C63" t="s">
        <v>193</v>
      </c>
      <c r="D63" t="s">
        <v>16</v>
      </c>
      <c r="E63" s="139">
        <v>10000</v>
      </c>
      <c r="F63" s="158">
        <v>0</v>
      </c>
      <c r="G63" s="159">
        <f t="shared" si="4"/>
        <v>10000</v>
      </c>
      <c r="H63" t="s">
        <v>1</v>
      </c>
      <c r="L63" t="s">
        <v>88</v>
      </c>
      <c r="M63" s="6">
        <v>0</v>
      </c>
      <c r="N63" t="s">
        <v>591</v>
      </c>
    </row>
    <row r="64" spans="1:14" x14ac:dyDescent="0.25">
      <c r="A64" s="1">
        <v>61</v>
      </c>
      <c r="B64" t="s">
        <v>1</v>
      </c>
      <c r="C64" t="s">
        <v>564</v>
      </c>
      <c r="D64" t="s">
        <v>16</v>
      </c>
      <c r="E64" s="139">
        <v>10000</v>
      </c>
      <c r="F64" s="158"/>
      <c r="G64" s="159">
        <f t="shared" si="4"/>
        <v>10000</v>
      </c>
      <c r="H64" t="s">
        <v>1</v>
      </c>
      <c r="L64" t="s">
        <v>17</v>
      </c>
      <c r="M64" s="6">
        <v>0</v>
      </c>
      <c r="N64" t="s">
        <v>37</v>
      </c>
    </row>
    <row r="65" spans="1:14" x14ac:dyDescent="0.25">
      <c r="A65" s="1">
        <v>61</v>
      </c>
      <c r="B65" t="s">
        <v>1</v>
      </c>
      <c r="C65" t="s">
        <v>361</v>
      </c>
      <c r="D65" t="s">
        <v>16</v>
      </c>
      <c r="E65" s="139">
        <v>5000</v>
      </c>
      <c r="F65" s="158">
        <v>0</v>
      </c>
      <c r="G65" s="159">
        <f t="shared" si="4"/>
        <v>5000</v>
      </c>
      <c r="H65" t="s">
        <v>1</v>
      </c>
      <c r="L65" t="s">
        <v>558</v>
      </c>
      <c r="M65" s="6">
        <v>0</v>
      </c>
    </row>
    <row r="66" spans="1:14" x14ac:dyDescent="0.25">
      <c r="A66" s="1">
        <v>67</v>
      </c>
      <c r="B66" s="114" t="s">
        <v>524</v>
      </c>
      <c r="C66" t="s">
        <v>573</v>
      </c>
      <c r="D66" t="s">
        <v>16</v>
      </c>
      <c r="E66" s="139">
        <v>100000</v>
      </c>
      <c r="F66" s="152"/>
      <c r="G66" s="153">
        <f t="shared" si="4"/>
        <v>100000</v>
      </c>
      <c r="H66" t="s">
        <v>317</v>
      </c>
      <c r="L66" t="s">
        <v>466</v>
      </c>
      <c r="M66" s="6">
        <v>200000</v>
      </c>
    </row>
    <row r="67" spans="1:14" x14ac:dyDescent="0.25">
      <c r="A67" s="1">
        <v>67</v>
      </c>
      <c r="B67" t="s">
        <v>524</v>
      </c>
      <c r="C67" t="s">
        <v>107</v>
      </c>
      <c r="D67" t="s">
        <v>16</v>
      </c>
      <c r="E67" s="139">
        <v>50000</v>
      </c>
      <c r="F67" s="158">
        <f>E67</f>
        <v>50000</v>
      </c>
      <c r="G67" s="159"/>
      <c r="H67" t="s">
        <v>315</v>
      </c>
      <c r="L67" t="s">
        <v>173</v>
      </c>
      <c r="M67" s="6">
        <v>138000</v>
      </c>
    </row>
    <row r="68" spans="1:14" x14ac:dyDescent="0.25">
      <c r="A68" s="1">
        <v>67</v>
      </c>
      <c r="B68" t="s">
        <v>524</v>
      </c>
      <c r="C68" t="s">
        <v>525</v>
      </c>
      <c r="D68" t="s">
        <v>16</v>
      </c>
      <c r="E68" s="139">
        <v>45000</v>
      </c>
      <c r="F68" s="158">
        <v>0</v>
      </c>
      <c r="G68" s="159">
        <f>E68</f>
        <v>45000</v>
      </c>
      <c r="H68" t="s">
        <v>315</v>
      </c>
      <c r="L68" t="s">
        <v>557</v>
      </c>
      <c r="M68" s="6">
        <v>125000</v>
      </c>
    </row>
    <row r="69" spans="1:14" x14ac:dyDescent="0.25">
      <c r="A69" s="1">
        <v>67</v>
      </c>
      <c r="B69" s="114" t="s">
        <v>524</v>
      </c>
      <c r="C69" t="s">
        <v>574</v>
      </c>
      <c r="D69" t="s">
        <v>16</v>
      </c>
      <c r="E69" s="139">
        <v>120000</v>
      </c>
      <c r="F69" s="158">
        <v>0</v>
      </c>
      <c r="G69" s="159">
        <f>E69</f>
        <v>120000</v>
      </c>
      <c r="H69" t="s">
        <v>366</v>
      </c>
      <c r="L69" t="s">
        <v>450</v>
      </c>
      <c r="M69" s="6">
        <v>35000</v>
      </c>
      <c r="N69" t="s">
        <v>591</v>
      </c>
    </row>
    <row r="70" spans="1:14" x14ac:dyDescent="0.25">
      <c r="E70" s="139"/>
      <c r="F70" s="158"/>
      <c r="G70" s="159"/>
      <c r="M70" s="6"/>
    </row>
    <row r="71" spans="1:14" ht="15.75" thickBot="1" x14ac:dyDescent="0.3">
      <c r="E71" s="142">
        <f>SUM(E3:E70)</f>
        <v>4760520</v>
      </c>
      <c r="F71" s="154">
        <f>SUM(F3:F70)</f>
        <v>1411671</v>
      </c>
      <c r="G71" s="155">
        <f>SUM(G3:G70)</f>
        <v>3348849</v>
      </c>
      <c r="M71" s="142">
        <f>SUM(M3:M65)</f>
        <v>1773071</v>
      </c>
    </row>
    <row r="72" spans="1:14" ht="16.5" thickTop="1" thickBot="1" x14ac:dyDescent="0.3">
      <c r="C72" t="s">
        <v>584</v>
      </c>
      <c r="E72" s="143">
        <f>'CIP Details'!L331</f>
        <v>1111793</v>
      </c>
      <c r="F72" s="156"/>
      <c r="G72" s="157"/>
      <c r="M72" s="6">
        <v>892000</v>
      </c>
    </row>
    <row r="73" spans="1:14" x14ac:dyDescent="0.25">
      <c r="E73" s="140"/>
      <c r="F73" s="148"/>
      <c r="M73" s="140">
        <f>M71+M72</f>
        <v>2665071</v>
      </c>
    </row>
    <row r="74" spans="1:14" x14ac:dyDescent="0.25">
      <c r="A74" s="1" t="s">
        <v>508</v>
      </c>
      <c r="B74" t="s">
        <v>509</v>
      </c>
      <c r="C74" t="s">
        <v>590</v>
      </c>
      <c r="D74" t="s">
        <v>16</v>
      </c>
      <c r="E74" s="139">
        <v>2000</v>
      </c>
      <c r="F74" s="146"/>
      <c r="G74" s="146"/>
      <c r="H74" t="s">
        <v>315</v>
      </c>
    </row>
    <row r="75" spans="1:14" x14ac:dyDescent="0.25">
      <c r="E75" s="140"/>
      <c r="F75" s="148"/>
      <c r="G75" s="148"/>
    </row>
    <row r="76" spans="1:14" x14ac:dyDescent="0.25">
      <c r="C76" s="23" t="s">
        <v>585</v>
      </c>
    </row>
    <row r="77" spans="1:14" x14ac:dyDescent="0.25">
      <c r="C77" s="24" t="s">
        <v>586</v>
      </c>
      <c r="E77" s="144" t="e">
        <f>-'CIP Details'!#REF!</f>
        <v>#REF!</v>
      </c>
      <c r="F77" s="149"/>
      <c r="G77" s="149"/>
    </row>
    <row r="78" spans="1:14" x14ac:dyDescent="0.25">
      <c r="C78" s="24" t="s">
        <v>587</v>
      </c>
      <c r="E78" s="144" t="e">
        <f>-'CIP Details'!#REF!</f>
        <v>#REF!</v>
      </c>
      <c r="F78" s="149"/>
      <c r="G78" s="149"/>
    </row>
    <row r="80" spans="1:14" x14ac:dyDescent="0.25">
      <c r="C80" t="s">
        <v>589</v>
      </c>
      <c r="E80" s="144">
        <v>-315000</v>
      </c>
      <c r="F80" s="149"/>
      <c r="G80" s="149"/>
    </row>
    <row r="82" spans="3:7" ht="15.75" thickBot="1" x14ac:dyDescent="0.3">
      <c r="C82" t="s">
        <v>588</v>
      </c>
      <c r="E82" s="142" t="e">
        <f>E71+SUM(E74:E81)</f>
        <v>#REF!</v>
      </c>
      <c r="F82" s="147"/>
      <c r="G82" s="147"/>
    </row>
    <row r="83" spans="3:7" ht="15.75" thickTop="1" x14ac:dyDescent="0.25"/>
  </sheetData>
  <sortState ref="L3:N69">
    <sortCondition descending="1" ref="M3:M69"/>
  </sortState>
  <pageMargins left="0.4" right="0.4" top="0.4" bottom="0.4" header="0" footer="0"/>
  <pageSetup scale="5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  <pageSetUpPr fitToPage="1"/>
  </sheetPr>
  <dimension ref="A1:M59"/>
  <sheetViews>
    <sheetView zoomScale="110" zoomScaleNormal="110" workbookViewId="0">
      <pane xSplit="6" ySplit="2" topLeftCell="G3" activePane="bottomRight" state="frozen"/>
      <selection activeCell="C1" sqref="C1"/>
      <selection pane="topRight" activeCell="G1" sqref="G1"/>
      <selection pane="bottomLeft" activeCell="C3" sqref="C3"/>
      <selection pane="bottomRight" activeCell="I24" sqref="I24"/>
    </sheetView>
  </sheetViews>
  <sheetFormatPr defaultColWidth="9.140625" defaultRowHeight="15" outlineLevelCol="1" x14ac:dyDescent="0.25"/>
  <cols>
    <col min="1" max="1" width="9.140625" style="114" customWidth="1" outlineLevel="1"/>
    <col min="2" max="2" width="35.5703125" style="11" customWidth="1" outlineLevel="1"/>
    <col min="3" max="3" width="8.7109375" style="114" customWidth="1"/>
    <col min="4" max="4" width="22.42578125" style="11" bestFit="1" customWidth="1"/>
    <col min="5" max="5" width="2.7109375" style="114" customWidth="1"/>
    <col min="6" max="6" width="92.85546875" style="114" customWidth="1"/>
    <col min="7" max="7" width="13.7109375" style="11" bestFit="1" customWidth="1"/>
    <col min="8" max="9" width="16" style="11" customWidth="1"/>
    <col min="10" max="10" width="2.7109375" style="114" customWidth="1"/>
    <col min="11" max="11" width="12.42578125" style="114" customWidth="1"/>
    <col min="12" max="12" width="12.5703125" style="114" customWidth="1"/>
    <col min="13" max="13" width="48.5703125" style="114" bestFit="1" customWidth="1"/>
    <col min="14" max="16384" width="9.140625" style="114"/>
  </cols>
  <sheetData>
    <row r="1" spans="1:12" customFormat="1" ht="18.75" x14ac:dyDescent="0.3">
      <c r="B1" s="3" t="s">
        <v>436</v>
      </c>
      <c r="C1" s="127" t="s">
        <v>510</v>
      </c>
      <c r="D1" s="127" t="s">
        <v>206</v>
      </c>
      <c r="E1" s="126"/>
      <c r="F1" s="127" t="s">
        <v>437</v>
      </c>
      <c r="G1" s="127" t="s">
        <v>271</v>
      </c>
      <c r="H1" s="135" t="s">
        <v>539</v>
      </c>
      <c r="I1" s="135" t="s">
        <v>545</v>
      </c>
      <c r="J1" s="126"/>
      <c r="K1" s="127" t="s">
        <v>4</v>
      </c>
      <c r="L1" s="127" t="s">
        <v>740</v>
      </c>
    </row>
    <row r="2" spans="1:12" x14ac:dyDescent="0.25">
      <c r="B2" s="1"/>
      <c r="C2" s="1"/>
      <c r="E2"/>
      <c r="F2"/>
      <c r="G2" s="1"/>
      <c r="H2" s="1"/>
      <c r="I2" s="1"/>
      <c r="J2"/>
    </row>
    <row r="3" spans="1:12" x14ac:dyDescent="0.25">
      <c r="A3" s="114" t="str">
        <f>B3&amp;D3&amp;F3&amp;G3</f>
        <v>Community DevelopmentEconomic DevelopmentBoulevard to Train Station - Town portion of $500,000 CRCOG grant for BrownfieldsGF</v>
      </c>
      <c r="B3" s="1" t="s">
        <v>317</v>
      </c>
      <c r="C3" s="1">
        <v>17</v>
      </c>
      <c r="D3" s="11" t="s">
        <v>443</v>
      </c>
      <c r="E3"/>
      <c r="F3" t="s">
        <v>656</v>
      </c>
      <c r="G3" s="1" t="s">
        <v>16</v>
      </c>
      <c r="H3" s="1" t="s">
        <v>540</v>
      </c>
      <c r="I3" s="1"/>
      <c r="J3"/>
      <c r="K3" s="115">
        <f>SUMIF('CIP Details'!A:A,$A3,'CIP Details'!N:N)</f>
        <v>0</v>
      </c>
      <c r="L3" s="11" t="s">
        <v>591</v>
      </c>
    </row>
    <row r="4" spans="1:12" x14ac:dyDescent="0.25">
      <c r="A4" s="114" t="str">
        <f t="shared" ref="A4" si="0">B4&amp;D4&amp;F4&amp;G4</f>
        <v>Public SafetyFire DepartmentPump simulatorGF</v>
      </c>
      <c r="B4" s="1" t="s">
        <v>316</v>
      </c>
      <c r="C4" s="1">
        <v>31</v>
      </c>
      <c r="D4" s="11" t="s">
        <v>248</v>
      </c>
      <c r="E4"/>
      <c r="F4" t="s">
        <v>151</v>
      </c>
      <c r="G4" s="1" t="s">
        <v>16</v>
      </c>
      <c r="H4" s="1" t="s">
        <v>540</v>
      </c>
      <c r="I4" s="1"/>
      <c r="J4"/>
      <c r="K4" s="115">
        <f>SUMIF('CIP Details'!A:A,$A4,'CIP Details'!N:N)</f>
        <v>0</v>
      </c>
      <c r="L4" s="11" t="s">
        <v>591</v>
      </c>
    </row>
    <row r="5" spans="1:12" x14ac:dyDescent="0.25">
      <c r="A5" s="114" t="str">
        <f t="shared" ref="A5:A8" si="1">B5&amp;D5&amp;F5&amp;G5</f>
        <v>Public SafetyPolice DepartmentVehicle - Patrol Units ($30k/car + $6.5k/car equipment) - assumes 4 cars/yearGF</v>
      </c>
      <c r="B5" s="1" t="s">
        <v>316</v>
      </c>
      <c r="C5" s="11">
        <v>32</v>
      </c>
      <c r="D5" s="11" t="s">
        <v>249</v>
      </c>
      <c r="F5" t="s">
        <v>627</v>
      </c>
      <c r="G5" s="1" t="s">
        <v>16</v>
      </c>
      <c r="H5" s="1" t="s">
        <v>531</v>
      </c>
      <c r="I5" s="1" t="s">
        <v>633</v>
      </c>
      <c r="K5" s="115">
        <f>SUMIF('CIP Details'!A:A,$A5,'CIP Details'!N:N)</f>
        <v>73000</v>
      </c>
      <c r="L5" s="11"/>
    </row>
    <row r="6" spans="1:12" x14ac:dyDescent="0.25">
      <c r="A6" s="114" t="str">
        <f t="shared" si="1"/>
        <v>Public SafetyPolice DepartmentVehicle - Supervisor SUV ($32k/car + $6.5k/car equipment)GF</v>
      </c>
      <c r="B6" s="1" t="s">
        <v>316</v>
      </c>
      <c r="C6" s="11">
        <v>32</v>
      </c>
      <c r="D6" s="11" t="s">
        <v>249</v>
      </c>
      <c r="F6" t="s">
        <v>736</v>
      </c>
      <c r="G6" s="1" t="s">
        <v>16</v>
      </c>
      <c r="H6" s="1" t="s">
        <v>531</v>
      </c>
      <c r="I6" s="31" t="s">
        <v>546</v>
      </c>
      <c r="K6" s="115">
        <f>SUMIF('CIP Details'!A:A,$A6,'CIP Details'!N:N)</f>
        <v>0</v>
      </c>
      <c r="L6" s="11"/>
    </row>
    <row r="7" spans="1:12" x14ac:dyDescent="0.25">
      <c r="A7" s="114" t="str">
        <f t="shared" si="1"/>
        <v>Public SafetyPolice DepartmentVehicle - Unmarked/AdminGF</v>
      </c>
      <c r="B7" s="1" t="s">
        <v>316</v>
      </c>
      <c r="C7" s="11">
        <v>32</v>
      </c>
      <c r="D7" s="11" t="s">
        <v>249</v>
      </c>
      <c r="F7" t="s">
        <v>523</v>
      </c>
      <c r="G7" s="1" t="s">
        <v>16</v>
      </c>
      <c r="H7" s="1" t="s">
        <v>531</v>
      </c>
      <c r="I7" s="1"/>
      <c r="K7" s="115">
        <f>SUMIF('CIP Details'!A:A,$A7,'CIP Details'!N:N)</f>
        <v>0</v>
      </c>
      <c r="L7" s="11"/>
    </row>
    <row r="8" spans="1:12" x14ac:dyDescent="0.25">
      <c r="A8" s="114" t="str">
        <f t="shared" si="1"/>
        <v>Public SafetyPolice DepartmentPolice Station Remodel (existing) - Various (interview rooms, locker rooms, ADA bathroom, etc.)GF</v>
      </c>
      <c r="B8" s="1" t="s">
        <v>316</v>
      </c>
      <c r="C8" s="1">
        <v>32</v>
      </c>
      <c r="D8" s="11" t="s">
        <v>249</v>
      </c>
      <c r="E8" s="26"/>
      <c r="F8" s="26" t="s">
        <v>544</v>
      </c>
      <c r="G8" s="31" t="s">
        <v>16</v>
      </c>
      <c r="H8" s="1" t="s">
        <v>540</v>
      </c>
      <c r="I8" s="1"/>
      <c r="J8" s="26"/>
      <c r="K8" s="115">
        <f>SUMIF('CIP Details'!A:A,$A8,'CIP Details'!N:N)</f>
        <v>0</v>
      </c>
      <c r="L8" s="11"/>
    </row>
    <row r="9" spans="1:12" x14ac:dyDescent="0.25">
      <c r="A9" s="114" t="str">
        <f>B9&amp;D9&amp;F9&amp;G9</f>
        <v>Public SafetyAnimal ControlAnimal Control VanGF</v>
      </c>
      <c r="B9" s="1" t="s">
        <v>316</v>
      </c>
      <c r="C9" s="1">
        <v>30</v>
      </c>
      <c r="D9" s="11" t="s">
        <v>692</v>
      </c>
      <c r="E9"/>
      <c r="F9" t="s">
        <v>693</v>
      </c>
      <c r="G9" s="1" t="s">
        <v>16</v>
      </c>
      <c r="H9" s="1" t="s">
        <v>540</v>
      </c>
      <c r="I9" s="1"/>
      <c r="J9"/>
      <c r="K9" s="115">
        <f>SUMIF('CIP Details'!A:A,$A9,'CIP Details'!N:N)</f>
        <v>0</v>
      </c>
      <c r="L9" s="11"/>
    </row>
    <row r="10" spans="1:12" x14ac:dyDescent="0.25">
      <c r="A10" s="114" t="str">
        <f t="shared" ref="A10:A12" si="2">B10&amp;D10&amp;F10&amp;G10</f>
        <v>Physical ServicesMunicipal GarageGantry CraneGF</v>
      </c>
      <c r="B10" s="1" t="s">
        <v>366</v>
      </c>
      <c r="C10" s="31">
        <v>35</v>
      </c>
      <c r="D10" s="11" t="s">
        <v>439</v>
      </c>
      <c r="E10" s="26"/>
      <c r="F10" s="26" t="s">
        <v>319</v>
      </c>
      <c r="G10" s="31" t="s">
        <v>16</v>
      </c>
      <c r="H10" s="1" t="s">
        <v>540</v>
      </c>
      <c r="I10" s="1" t="s">
        <v>645</v>
      </c>
      <c r="J10" s="26"/>
      <c r="K10" s="115">
        <f>SUMIF('CIP Details'!A:A,$A10,'CIP Details'!N:N)</f>
        <v>0</v>
      </c>
      <c r="L10" s="11"/>
    </row>
    <row r="11" spans="1:12" x14ac:dyDescent="0.25">
      <c r="A11" s="114" t="str">
        <f t="shared" si="2"/>
        <v>Physical ServicesMunicipal Garage4 Post 40 Ton Portable LiftGF</v>
      </c>
      <c r="B11" s="1" t="s">
        <v>366</v>
      </c>
      <c r="C11" s="31">
        <v>35</v>
      </c>
      <c r="D11" s="11" t="s">
        <v>439</v>
      </c>
      <c r="E11" s="26"/>
      <c r="F11" s="26" t="s">
        <v>636</v>
      </c>
      <c r="G11" s="31" t="s">
        <v>16</v>
      </c>
      <c r="H11" s="1" t="s">
        <v>540</v>
      </c>
      <c r="I11" s="1" t="s">
        <v>645</v>
      </c>
      <c r="J11" s="26"/>
      <c r="K11" s="115">
        <f>SUMIF('CIP Details'!A:A,$A11,'CIP Details'!N:N)</f>
        <v>0</v>
      </c>
      <c r="L11" s="11"/>
    </row>
    <row r="12" spans="1:12" x14ac:dyDescent="0.25">
      <c r="A12" s="114" t="str">
        <f t="shared" si="2"/>
        <v>Physical ServicesMunicipal GarageTown Manager's CarGF</v>
      </c>
      <c r="B12" s="1" t="s">
        <v>366</v>
      </c>
      <c r="C12" s="11">
        <v>35</v>
      </c>
      <c r="D12" s="11" t="s">
        <v>439</v>
      </c>
      <c r="F12" t="s">
        <v>694</v>
      </c>
      <c r="G12" s="1" t="s">
        <v>16</v>
      </c>
      <c r="H12" s="1" t="s">
        <v>540</v>
      </c>
      <c r="I12" s="1" t="s">
        <v>639</v>
      </c>
      <c r="K12" s="115">
        <f>SUMIF('CIP Details'!A:A,$A12,'CIP Details'!N:N)</f>
        <v>0</v>
      </c>
      <c r="L12" s="11" t="s">
        <v>591</v>
      </c>
    </row>
    <row r="13" spans="1:12" x14ac:dyDescent="0.25">
      <c r="A13" s="114" t="str">
        <f>B13&amp;D13&amp;F13&amp;G13</f>
        <v>Physical ServicesPublic WorksKensington Road BridgeGF</v>
      </c>
      <c r="B13" s="1" t="s">
        <v>366</v>
      </c>
      <c r="C13" s="11">
        <v>36</v>
      </c>
      <c r="D13" s="11" t="s">
        <v>250</v>
      </c>
      <c r="F13" t="s">
        <v>625</v>
      </c>
      <c r="G13" s="1" t="s">
        <v>16</v>
      </c>
      <c r="H13" s="1" t="s">
        <v>540</v>
      </c>
      <c r="I13" s="1"/>
      <c r="K13" s="115">
        <f>SUMIF('CIP Details'!A:A,$A13,'CIP Details'!N:N)</f>
        <v>0</v>
      </c>
      <c r="L13" s="11"/>
    </row>
    <row r="14" spans="1:12" x14ac:dyDescent="0.25">
      <c r="A14" s="114" t="str">
        <f>B14&amp;D14&amp;F14&amp;G14</f>
        <v>Physical ServicesPublic WorksEdgewood Road Bridge (engineering in FY20; construction in FY21)GF</v>
      </c>
      <c r="B14" s="1" t="s">
        <v>366</v>
      </c>
      <c r="C14" s="11">
        <v>36</v>
      </c>
      <c r="D14" s="11" t="s">
        <v>250</v>
      </c>
      <c r="F14" t="s">
        <v>757</v>
      </c>
      <c r="G14" s="1" t="s">
        <v>16</v>
      </c>
      <c r="H14" s="1" t="s">
        <v>540</v>
      </c>
      <c r="I14" s="1"/>
      <c r="K14" s="115">
        <f>SUMIF('CIP Details'!A:A,$A14,'CIP Details'!N:N)</f>
        <v>0</v>
      </c>
      <c r="L14" s="11"/>
    </row>
    <row r="15" spans="1:12" x14ac:dyDescent="0.25">
      <c r="A15" s="114" t="str">
        <f t="shared" ref="A15:A19" si="3">B15&amp;D15&amp;F15&amp;G15</f>
        <v>Physical ServicesPublic WorksBridge Preservation Work (Worthington Ridge,  Berlin Street, Wildermere Road and Heritage Drive)GF</v>
      </c>
      <c r="B15" s="1" t="s">
        <v>366</v>
      </c>
      <c r="C15" s="11">
        <v>36</v>
      </c>
      <c r="D15" s="11" t="s">
        <v>250</v>
      </c>
      <c r="F15" t="s">
        <v>288</v>
      </c>
      <c r="G15" s="1" t="s">
        <v>16</v>
      </c>
      <c r="H15" s="1" t="s">
        <v>540</v>
      </c>
      <c r="I15" s="1"/>
      <c r="K15" s="115">
        <f>SUMIF('CIP Details'!A:A,$A15,'CIP Details'!N:N)</f>
        <v>0</v>
      </c>
      <c r="L15" s="11"/>
    </row>
    <row r="16" spans="1:12" x14ac:dyDescent="0.25">
      <c r="A16" s="114" t="str">
        <f t="shared" si="3"/>
        <v>Physical ServicesPublic WorksWorthington Ridge Playground Parking LotGF</v>
      </c>
      <c r="B16" s="1" t="s">
        <v>366</v>
      </c>
      <c r="C16" s="1">
        <v>36</v>
      </c>
      <c r="D16" s="11" t="s">
        <v>250</v>
      </c>
      <c r="E16"/>
      <c r="F16" t="s">
        <v>496</v>
      </c>
      <c r="G16" s="1" t="s">
        <v>16</v>
      </c>
      <c r="H16" s="1" t="s">
        <v>540</v>
      </c>
      <c r="I16" s="1" t="s">
        <v>639</v>
      </c>
      <c r="J16"/>
      <c r="K16" s="115">
        <f>SUMIF('CIP Details'!A:A,$A16,'CIP Details'!N:N)</f>
        <v>0</v>
      </c>
      <c r="L16" s="11"/>
    </row>
    <row r="17" spans="1:13" x14ac:dyDescent="0.25">
      <c r="A17" s="114" t="str">
        <f t="shared" si="3"/>
        <v>Physical ServicesPublic WorksDenehy Field Parking LotGF</v>
      </c>
      <c r="B17" s="1" t="s">
        <v>366</v>
      </c>
      <c r="C17" s="1">
        <v>36</v>
      </c>
      <c r="D17" s="11" t="s">
        <v>250</v>
      </c>
      <c r="E17"/>
      <c r="F17" t="s">
        <v>649</v>
      </c>
      <c r="G17" s="1" t="s">
        <v>16</v>
      </c>
      <c r="H17" s="1" t="s">
        <v>540</v>
      </c>
      <c r="I17" s="1" t="s">
        <v>639</v>
      </c>
      <c r="J17"/>
      <c r="K17" s="115">
        <f>SUMIF('CIP Details'!A:A,$A17,'CIP Details'!N:N)</f>
        <v>0</v>
      </c>
      <c r="L17" s="11"/>
    </row>
    <row r="18" spans="1:13" x14ac:dyDescent="0.25">
      <c r="A18" s="114" t="str">
        <f t="shared" si="3"/>
        <v>Physical ServicesPublic WorksSage Park Parking LotGF</v>
      </c>
      <c r="B18" s="1" t="s">
        <v>366</v>
      </c>
      <c r="C18" s="1">
        <v>36</v>
      </c>
      <c r="D18" s="11" t="s">
        <v>250</v>
      </c>
      <c r="E18"/>
      <c r="F18" t="s">
        <v>650</v>
      </c>
      <c r="G18" s="1" t="s">
        <v>16</v>
      </c>
      <c r="H18" s="1" t="s">
        <v>540</v>
      </c>
      <c r="I18" s="1" t="s">
        <v>639</v>
      </c>
      <c r="J18"/>
      <c r="K18" s="115">
        <f>SUMIF('CIP Details'!A:A,$A18,'CIP Details'!N:N)</f>
        <v>0</v>
      </c>
      <c r="L18" s="11"/>
    </row>
    <row r="19" spans="1:13" x14ac:dyDescent="0.25">
      <c r="A19" s="114" t="str">
        <f t="shared" si="3"/>
        <v>Physical ServicesPublic WorksTimberlin Golf Course Parking LotGF</v>
      </c>
      <c r="B19" s="1" t="s">
        <v>366</v>
      </c>
      <c r="C19" s="1">
        <v>36</v>
      </c>
      <c r="D19" s="11" t="s">
        <v>250</v>
      </c>
      <c r="E19"/>
      <c r="F19" t="s">
        <v>651</v>
      </c>
      <c r="G19" s="1" t="s">
        <v>16</v>
      </c>
      <c r="H19" s="1" t="s">
        <v>540</v>
      </c>
      <c r="I19" s="1" t="s">
        <v>639</v>
      </c>
      <c r="J19"/>
      <c r="K19" s="115">
        <f>SUMIF('CIP Details'!A:A,$A19,'CIP Details'!N:N)</f>
        <v>0</v>
      </c>
      <c r="L19" s="11" t="s">
        <v>591</v>
      </c>
      <c r="M19" s="114" t="s">
        <v>744</v>
      </c>
    </row>
    <row r="20" spans="1:13" x14ac:dyDescent="0.25">
      <c r="A20" s="114" t="str">
        <f t="shared" ref="A20:A22" si="4">B20&amp;D20&amp;F20&amp;G20</f>
        <v>Physical ServicesHighwayWood ChipperGF</v>
      </c>
      <c r="B20" s="1" t="s">
        <v>366</v>
      </c>
      <c r="C20" s="11">
        <v>37</v>
      </c>
      <c r="D20" s="11" t="s">
        <v>464</v>
      </c>
      <c r="F20" s="114" t="s">
        <v>529</v>
      </c>
      <c r="G20" s="11" t="s">
        <v>16</v>
      </c>
      <c r="H20" s="1" t="s">
        <v>540</v>
      </c>
      <c r="I20" s="1" t="s">
        <v>639</v>
      </c>
      <c r="K20" s="115">
        <f>SUMIF('CIP Details'!A:A,$A20,'CIP Details'!N:N)</f>
        <v>0</v>
      </c>
      <c r="L20" s="11" t="s">
        <v>591</v>
      </c>
    </row>
    <row r="21" spans="1:13" x14ac:dyDescent="0.25">
      <c r="A21" s="114" t="str">
        <f t="shared" si="4"/>
        <v>Physical ServicesHighwayFlatbed Truck with power lift tailgateGF</v>
      </c>
      <c r="B21" s="1" t="s">
        <v>366</v>
      </c>
      <c r="C21" s="11">
        <v>37</v>
      </c>
      <c r="D21" s="11" t="s">
        <v>464</v>
      </c>
      <c r="F21" s="114" t="s">
        <v>653</v>
      </c>
      <c r="G21" s="11" t="s">
        <v>16</v>
      </c>
      <c r="H21" s="1" t="s">
        <v>540</v>
      </c>
      <c r="I21" s="1" t="s">
        <v>645</v>
      </c>
      <c r="K21" s="115">
        <f>SUMIF('CIP Details'!A:A,$A21,'CIP Details'!N:N)</f>
        <v>45000</v>
      </c>
      <c r="L21" s="11"/>
    </row>
    <row r="22" spans="1:13" x14ac:dyDescent="0.25">
      <c r="A22" s="114" t="str">
        <f t="shared" si="4"/>
        <v>Physical ServicesHighwayAsphalt UploaderGF</v>
      </c>
      <c r="B22" s="1" t="s">
        <v>366</v>
      </c>
      <c r="C22" s="11">
        <v>37</v>
      </c>
      <c r="D22" s="11" t="s">
        <v>464</v>
      </c>
      <c r="F22" t="s">
        <v>469</v>
      </c>
      <c r="G22" s="1" t="s">
        <v>16</v>
      </c>
      <c r="H22" s="1" t="s">
        <v>540</v>
      </c>
      <c r="I22" s="1" t="s">
        <v>639</v>
      </c>
      <c r="K22" s="115">
        <f>SUMIF('CIP Details'!A:A,$A22,'CIP Details'!N:N)</f>
        <v>0</v>
      </c>
      <c r="L22" s="11"/>
    </row>
    <row r="23" spans="1:13" x14ac:dyDescent="0.25">
      <c r="A23" s="114" t="str">
        <f t="shared" ref="A23:A27" si="5">B23&amp;D23&amp;F23&amp;G23</f>
        <v>Physical ServicesPublic BuildingsGutters, Roof Trace and Masonry Repairs (Town Hall)GF</v>
      </c>
      <c r="B23" s="1" t="s">
        <v>366</v>
      </c>
      <c r="C23" s="11">
        <v>38</v>
      </c>
      <c r="D23" s="11" t="s">
        <v>47</v>
      </c>
      <c r="F23" s="24" t="s">
        <v>658</v>
      </c>
      <c r="G23" s="1" t="s">
        <v>16</v>
      </c>
      <c r="H23" s="1" t="s">
        <v>540</v>
      </c>
      <c r="I23" s="1"/>
      <c r="K23" s="115">
        <f>SUMIF('CIP Details'!A:A,$A23,'CIP Details'!N:N)</f>
        <v>0</v>
      </c>
      <c r="L23" s="11"/>
    </row>
    <row r="24" spans="1:13" x14ac:dyDescent="0.25">
      <c r="A24" s="114" t="str">
        <f t="shared" si="5"/>
        <v>Physical ServicesPublic BuildingsVarious interior repairs at Sr Ctr (kitchen, level raised flooring, greenhouse)GF</v>
      </c>
      <c r="B24" s="1" t="s">
        <v>366</v>
      </c>
      <c r="C24" s="11">
        <v>38</v>
      </c>
      <c r="D24" s="11" t="s">
        <v>47</v>
      </c>
      <c r="F24" s="24" t="s">
        <v>745</v>
      </c>
      <c r="G24" s="1" t="s">
        <v>16</v>
      </c>
      <c r="H24" s="1" t="s">
        <v>540</v>
      </c>
      <c r="I24" s="1"/>
      <c r="K24" s="115">
        <f>SUMIF('CIP Details'!A:A,$A24,'CIP Details'!N:N)</f>
        <v>0</v>
      </c>
      <c r="L24" s="11"/>
    </row>
    <row r="25" spans="1:13" x14ac:dyDescent="0.25">
      <c r="A25" s="114" t="str">
        <f t="shared" si="5"/>
        <v>Physical ServicesPublic BuildingsHVAC-2 (Senior Center)GF</v>
      </c>
      <c r="B25" s="1" t="s">
        <v>366</v>
      </c>
      <c r="C25" s="11">
        <v>38</v>
      </c>
      <c r="D25" s="11" t="s">
        <v>47</v>
      </c>
      <c r="F25" s="24" t="s">
        <v>450</v>
      </c>
      <c r="G25" s="1" t="s">
        <v>16</v>
      </c>
      <c r="H25" s="1" t="s">
        <v>540</v>
      </c>
      <c r="I25" s="1"/>
      <c r="K25" s="115">
        <f>SUMIF('CIP Details'!A:A,$A25,'CIP Details'!N:N)</f>
        <v>50000</v>
      </c>
      <c r="L25" s="11"/>
    </row>
    <row r="26" spans="1:13" x14ac:dyDescent="0.25">
      <c r="A26" s="114" t="str">
        <f>B26&amp;D26&amp;F26&amp;G26</f>
        <v>Physical ServicesPublic BuildingsIAQ (Community Center)GF</v>
      </c>
      <c r="B26" s="1" t="s">
        <v>366</v>
      </c>
      <c r="C26" s="11">
        <v>38</v>
      </c>
      <c r="D26" s="11" t="s">
        <v>47</v>
      </c>
      <c r="F26" s="24" t="s">
        <v>657</v>
      </c>
      <c r="G26" s="1" t="s">
        <v>16</v>
      </c>
      <c r="H26" s="1" t="s">
        <v>540</v>
      </c>
      <c r="I26" s="1"/>
      <c r="K26" s="115">
        <f>SUMIF('CIP Details'!A:A,$A26,'CIP Details'!N:N)</f>
        <v>0</v>
      </c>
      <c r="L26" s="11"/>
    </row>
    <row r="27" spans="1:13" x14ac:dyDescent="0.25">
      <c r="A27" s="114" t="str">
        <f t="shared" si="5"/>
        <v>Physical ServicesPublic BuildingsHandicap Door (Community Center)GF</v>
      </c>
      <c r="B27" s="1" t="s">
        <v>366</v>
      </c>
      <c r="C27" s="11">
        <v>38</v>
      </c>
      <c r="D27" s="11" t="s">
        <v>47</v>
      </c>
      <c r="F27" s="25" t="s">
        <v>447</v>
      </c>
      <c r="G27" s="1" t="s">
        <v>16</v>
      </c>
      <c r="H27" s="1" t="s">
        <v>540</v>
      </c>
      <c r="I27" s="1"/>
      <c r="K27" s="115">
        <f>SUMIF('CIP Details'!A:A,$A27,'CIP Details'!N:N)</f>
        <v>50000</v>
      </c>
      <c r="L27" s="11"/>
    </row>
    <row r="28" spans="1:13" x14ac:dyDescent="0.25">
      <c r="A28" s="114" t="str">
        <f t="shared" ref="A28" si="6">B28&amp;D28&amp;F28&amp;G28</f>
        <v>Physical ServicesPublic BuildingsExterior repairs to Art League BuildingGF</v>
      </c>
      <c r="B28" s="1" t="s">
        <v>366</v>
      </c>
      <c r="C28" s="11">
        <v>38</v>
      </c>
      <c r="D28" s="11" t="s">
        <v>47</v>
      </c>
      <c r="F28" s="26" t="s">
        <v>659</v>
      </c>
      <c r="G28" s="31" t="s">
        <v>16</v>
      </c>
      <c r="H28" s="1" t="s">
        <v>540</v>
      </c>
      <c r="I28" s="1"/>
      <c r="K28" s="115">
        <f>SUMIF('CIP Details'!A:A,$A28,'CIP Details'!N:N)</f>
        <v>0</v>
      </c>
      <c r="L28" s="11"/>
      <c r="M28" s="114" t="s">
        <v>747</v>
      </c>
    </row>
    <row r="29" spans="1:13" x14ac:dyDescent="0.25">
      <c r="A29" s="114" t="str">
        <f>B29&amp;D29&amp;F29&amp;G29</f>
        <v>Physical ServicesPublic BuildingsDeming Road House (Mobile Home caretakers house)GF</v>
      </c>
      <c r="B29" s="1" t="s">
        <v>366</v>
      </c>
      <c r="C29" s="11">
        <v>38</v>
      </c>
      <c r="D29" s="11" t="s">
        <v>47</v>
      </c>
      <c r="F29" s="26" t="s">
        <v>445</v>
      </c>
      <c r="G29" s="31" t="s">
        <v>16</v>
      </c>
      <c r="H29" s="1" t="s">
        <v>540</v>
      </c>
      <c r="I29" s="1"/>
      <c r="K29" s="115">
        <f>SUMIF('CIP Details'!A:A,$A29,'CIP Details'!N:N)</f>
        <v>0</v>
      </c>
      <c r="L29" s="11"/>
    </row>
    <row r="30" spans="1:13" x14ac:dyDescent="0.25">
      <c r="A30" s="114" t="str">
        <f>B30&amp;D30&amp;F30&amp;G30</f>
        <v>Physical ServicesPublic BuildingsRoof Replacement (Garage)GF</v>
      </c>
      <c r="B30" s="1" t="s">
        <v>366</v>
      </c>
      <c r="C30" s="11">
        <v>38</v>
      </c>
      <c r="D30" s="11" t="s">
        <v>47</v>
      </c>
      <c r="F30" s="24" t="s">
        <v>461</v>
      </c>
      <c r="G30" s="1" t="s">
        <v>16</v>
      </c>
      <c r="H30" s="1" t="s">
        <v>540</v>
      </c>
      <c r="I30" s="1"/>
      <c r="K30" s="115">
        <f>SUMIF('CIP Details'!A:A,$A30,'CIP Details'!N:N)</f>
        <v>0</v>
      </c>
      <c r="L30" s="11"/>
    </row>
    <row r="31" spans="1:13" x14ac:dyDescent="0.25">
      <c r="A31" s="114" t="str">
        <f t="shared" ref="A31:A34" si="7">B31&amp;D31&amp;F31&amp;G31</f>
        <v>Parks, Recreation &amp; LibrariesGolf CourseLightening Detection SystemGF</v>
      </c>
      <c r="B31" s="1" t="s">
        <v>367</v>
      </c>
      <c r="C31" s="11">
        <v>43</v>
      </c>
      <c r="D31" s="11" t="s">
        <v>441</v>
      </c>
      <c r="F31" t="s">
        <v>679</v>
      </c>
      <c r="G31" s="1" t="s">
        <v>16</v>
      </c>
      <c r="H31" s="1" t="s">
        <v>540</v>
      </c>
      <c r="I31" s="1"/>
      <c r="K31" s="115">
        <f>SUMIF('CIP Details'!A:A,$A31,'CIP Details'!N:N)</f>
        <v>0</v>
      </c>
      <c r="L31" s="11"/>
    </row>
    <row r="32" spans="1:13" x14ac:dyDescent="0.25">
      <c r="A32" s="114" t="str">
        <f t="shared" si="7"/>
        <v>Parks, Recreation &amp; LibrariesGolf CourseUsed pickup truckGF</v>
      </c>
      <c r="B32" s="1" t="s">
        <v>367</v>
      </c>
      <c r="C32" s="11">
        <v>43</v>
      </c>
      <c r="D32" s="11" t="s">
        <v>441</v>
      </c>
      <c r="F32" t="s">
        <v>478</v>
      </c>
      <c r="G32" s="1" t="s">
        <v>16</v>
      </c>
      <c r="H32" s="1" t="s">
        <v>540</v>
      </c>
      <c r="I32" s="1"/>
      <c r="K32" s="115">
        <f>SUMIF('CIP Details'!A:A,$A32,'CIP Details'!N:N)</f>
        <v>0</v>
      </c>
      <c r="L32" s="11"/>
    </row>
    <row r="33" spans="1:13" x14ac:dyDescent="0.25">
      <c r="A33" s="114" t="str">
        <f t="shared" si="7"/>
        <v>Parks, Recreation &amp; LibrariesGolf CourseGolf Equip Lease - SandPro, Utility Vehicle, Arifier &amp; Greens MowerGF</v>
      </c>
      <c r="B33" s="1" t="s">
        <v>367</v>
      </c>
      <c r="C33" s="1">
        <v>43</v>
      </c>
      <c r="D33" s="11" t="s">
        <v>441</v>
      </c>
      <c r="E33"/>
      <c r="F33" t="s">
        <v>488</v>
      </c>
      <c r="G33" s="1" t="s">
        <v>16</v>
      </c>
      <c r="H33" s="1" t="s">
        <v>531</v>
      </c>
      <c r="I33" s="1"/>
      <c r="J33"/>
      <c r="K33" s="115">
        <f>SUMIF('CIP Details'!A:A,$A33,'CIP Details'!N:N)</f>
        <v>0</v>
      </c>
      <c r="L33" s="11"/>
      <c r="M33" s="114" t="s">
        <v>746</v>
      </c>
    </row>
    <row r="34" spans="1:13" x14ac:dyDescent="0.25">
      <c r="A34" s="114" t="str">
        <f t="shared" si="7"/>
        <v>Parks, Recreation &amp; LibrariesGolf CourseGolf Equip Lease - Triplex mowers, greens/teesGF</v>
      </c>
      <c r="B34" s="1" t="s">
        <v>367</v>
      </c>
      <c r="C34" s="1">
        <v>43</v>
      </c>
      <c r="D34" s="11" t="s">
        <v>441</v>
      </c>
      <c r="E34"/>
      <c r="F34" t="s">
        <v>308</v>
      </c>
      <c r="G34" s="1" t="s">
        <v>16</v>
      </c>
      <c r="H34" s="1" t="s">
        <v>531</v>
      </c>
      <c r="I34" s="1"/>
      <c r="J34"/>
      <c r="K34" s="115">
        <f>SUMIF('CIP Details'!A:A,$A34,'CIP Details'!N:N)</f>
        <v>6419</v>
      </c>
      <c r="L34" s="11"/>
      <c r="M34" s="114" t="s">
        <v>746</v>
      </c>
    </row>
    <row r="35" spans="1:13" x14ac:dyDescent="0.25">
      <c r="A35" s="114" t="str">
        <f>B35&amp;D35&amp;F35&amp;G35</f>
        <v>Parks, Recreation &amp; LibrariesLibraryArchitectural Study 1st Floor ExpansionGF</v>
      </c>
      <c r="B35" s="1" t="s">
        <v>367</v>
      </c>
      <c r="C35" s="1">
        <v>44</v>
      </c>
      <c r="D35" s="11" t="s">
        <v>438</v>
      </c>
      <c r="E35"/>
      <c r="F35" t="s">
        <v>188</v>
      </c>
      <c r="G35" s="1" t="s">
        <v>16</v>
      </c>
      <c r="H35" s="1" t="s">
        <v>540</v>
      </c>
      <c r="I35" s="1"/>
      <c r="J35"/>
      <c r="K35" s="115">
        <f>SUMIF('CIP Details'!A:A,$A35,'CIP Details'!N:N)</f>
        <v>0</v>
      </c>
      <c r="L35" s="11" t="s">
        <v>591</v>
      </c>
      <c r="M35" s="114" t="s">
        <v>743</v>
      </c>
    </row>
    <row r="36" spans="1:13" x14ac:dyDescent="0.25">
      <c r="A36" s="114" t="str">
        <f t="shared" ref="A36:A42" si="8">B36&amp;D36&amp;F36&amp;G36</f>
        <v>Parks, Recreation &amp; LibrariesPublic GroundsZero degree mowerGF</v>
      </c>
      <c r="B36" s="1" t="s">
        <v>367</v>
      </c>
      <c r="C36" s="11">
        <v>45</v>
      </c>
      <c r="D36" s="11" t="s">
        <v>46</v>
      </c>
      <c r="F36" t="s">
        <v>23</v>
      </c>
      <c r="G36" s="1" t="s">
        <v>16</v>
      </c>
      <c r="H36" s="1" t="s">
        <v>540</v>
      </c>
      <c r="I36" s="1"/>
      <c r="K36" s="115">
        <f>SUMIF('CIP Details'!A:A,$A36,'CIP Details'!N:N)</f>
        <v>0</v>
      </c>
      <c r="L36" s="11"/>
    </row>
    <row r="37" spans="1:13" x14ac:dyDescent="0.25">
      <c r="A37" s="114" t="str">
        <f t="shared" si="8"/>
        <v>Parks, Recreation &amp; LibrariesPublic GroundsTrailer (20 ft.) replacementGF</v>
      </c>
      <c r="B37" s="1" t="s">
        <v>367</v>
      </c>
      <c r="C37" s="11">
        <v>45</v>
      </c>
      <c r="D37" s="11" t="s">
        <v>46</v>
      </c>
      <c r="F37" t="s">
        <v>22</v>
      </c>
      <c r="G37" s="1" t="s">
        <v>16</v>
      </c>
      <c r="H37" s="1" t="s">
        <v>540</v>
      </c>
      <c r="I37" s="1"/>
      <c r="K37" s="115">
        <f>SUMIF('CIP Details'!A:A,$A37,'CIP Details'!N:N)</f>
        <v>0</v>
      </c>
      <c r="L37" s="11"/>
    </row>
    <row r="38" spans="1:13" x14ac:dyDescent="0.25">
      <c r="A38" s="114" t="str">
        <f t="shared" si="8"/>
        <v>Parks, Recreation &amp; LibrariesPublic GroundsSage 1 Field ImprovementsGF</v>
      </c>
      <c r="B38" s="1" t="s">
        <v>367</v>
      </c>
      <c r="C38" s="11">
        <v>45</v>
      </c>
      <c r="D38" s="11" t="s">
        <v>46</v>
      </c>
      <c r="F38" t="s">
        <v>683</v>
      </c>
      <c r="G38" s="1" t="s">
        <v>16</v>
      </c>
      <c r="H38" s="1" t="s">
        <v>540</v>
      </c>
      <c r="I38" s="1"/>
      <c r="K38" s="115">
        <f>SUMIF('CIP Details'!A:A,$A38,'CIP Details'!N:N)</f>
        <v>0</v>
      </c>
      <c r="L38" s="11"/>
      <c r="M38" s="114" t="s">
        <v>748</v>
      </c>
    </row>
    <row r="39" spans="1:13" x14ac:dyDescent="0.25">
      <c r="A39" s="114" t="str">
        <f t="shared" si="8"/>
        <v>Parks, Recreation &amp; LibrariesPublic GroundsConversion of Demore, Dinda, Bittner Jr. Memorial Pool into Splash PadGF</v>
      </c>
      <c r="B39" s="1" t="s">
        <v>367</v>
      </c>
      <c r="C39" s="1">
        <v>45</v>
      </c>
      <c r="D39" s="11" t="s">
        <v>46</v>
      </c>
      <c r="E39"/>
      <c r="F39" t="s">
        <v>684</v>
      </c>
      <c r="G39" s="1" t="s">
        <v>16</v>
      </c>
      <c r="H39" s="1" t="s">
        <v>540</v>
      </c>
      <c r="I39" s="1"/>
      <c r="J39"/>
      <c r="K39" s="115">
        <f>SUMIF('CIP Details'!A:A,$A39,'CIP Details'!N:N)</f>
        <v>0</v>
      </c>
      <c r="L39" s="11" t="s">
        <v>591</v>
      </c>
      <c r="M39" s="114" t="s">
        <v>749</v>
      </c>
    </row>
    <row r="40" spans="1:13" x14ac:dyDescent="0.25">
      <c r="A40" s="114" t="str">
        <f t="shared" si="8"/>
        <v>Parks, Recreation &amp; LibrariesPublic GroundsMini excavator (used)GF</v>
      </c>
      <c r="B40" s="1" t="s">
        <v>367</v>
      </c>
      <c r="C40" s="11">
        <v>45</v>
      </c>
      <c r="D40" s="11" t="s">
        <v>46</v>
      </c>
      <c r="F40" t="s">
        <v>25</v>
      </c>
      <c r="G40" s="1" t="s">
        <v>16</v>
      </c>
      <c r="H40" s="1" t="s">
        <v>540</v>
      </c>
      <c r="I40" s="1"/>
      <c r="K40" s="115">
        <f>SUMIF('CIP Details'!A:A,$A40,'CIP Details'!N:N)</f>
        <v>0</v>
      </c>
      <c r="L40" s="11"/>
    </row>
    <row r="41" spans="1:13" x14ac:dyDescent="0.25">
      <c r="A41" s="114" t="str">
        <f t="shared" si="8"/>
        <v>Parks, Recreation &amp; LibrariesPublic GroundsBall field groomerGF</v>
      </c>
      <c r="B41" s="1" t="s">
        <v>367</v>
      </c>
      <c r="C41" s="11">
        <v>45</v>
      </c>
      <c r="D41" s="11" t="s">
        <v>46</v>
      </c>
      <c r="F41" t="s">
        <v>21</v>
      </c>
      <c r="G41" s="1" t="s">
        <v>16</v>
      </c>
      <c r="H41" s="1" t="s">
        <v>540</v>
      </c>
      <c r="I41" s="1"/>
      <c r="K41" s="115">
        <f>SUMIF('CIP Details'!A:A,$A41,'CIP Details'!N:N)</f>
        <v>0</v>
      </c>
      <c r="L41" s="11"/>
    </row>
    <row r="42" spans="1:13" x14ac:dyDescent="0.25">
      <c r="A42" s="114" t="str">
        <f t="shared" si="8"/>
        <v>Parks, Recreation &amp; LibrariesPublic GroundsGoosinatorGF</v>
      </c>
      <c r="B42" s="1" t="s">
        <v>367</v>
      </c>
      <c r="C42" s="11">
        <v>45</v>
      </c>
      <c r="D42" s="11" t="s">
        <v>46</v>
      </c>
      <c r="F42" t="s">
        <v>354</v>
      </c>
      <c r="G42" s="1" t="s">
        <v>16</v>
      </c>
      <c r="H42" s="1" t="s">
        <v>540</v>
      </c>
      <c r="I42" s="1"/>
      <c r="K42" s="115">
        <f>SUMIF('CIP Details'!A:A,$A42,'CIP Details'!N:N)</f>
        <v>0</v>
      </c>
      <c r="L42" s="11"/>
    </row>
    <row r="43" spans="1:13" x14ac:dyDescent="0.25">
      <c r="A43" s="114" t="str">
        <f>B43&amp;D43&amp;F43&amp;G43</f>
        <v>Parks, Recreation &amp; LibrariesSenior CenterKitchen cabinet replacementGF</v>
      </c>
      <c r="B43" s="1" t="s">
        <v>367</v>
      </c>
      <c r="C43" s="1">
        <v>55</v>
      </c>
      <c r="D43" s="11" t="s">
        <v>85</v>
      </c>
      <c r="E43"/>
      <c r="F43" t="s">
        <v>357</v>
      </c>
      <c r="G43" s="1" t="s">
        <v>16</v>
      </c>
      <c r="H43" s="1" t="s">
        <v>540</v>
      </c>
      <c r="I43" s="1"/>
      <c r="J43"/>
      <c r="K43" s="115">
        <f>SUMIF('CIP Details'!A:A,$A43,'CIP Details'!N:N)</f>
        <v>0</v>
      </c>
      <c r="L43" s="11" t="s">
        <v>591</v>
      </c>
      <c r="M43" s="114" t="s">
        <v>752</v>
      </c>
    </row>
    <row r="44" spans="1:13" x14ac:dyDescent="0.25">
      <c r="A44" s="114" t="str">
        <f>B44&amp;D44&amp;F44&amp;G44</f>
        <v>Parks, Recreation &amp; LibrariesSocial ServicesSocial Services VanGF</v>
      </c>
      <c r="B44" s="1" t="s">
        <v>367</v>
      </c>
      <c r="C44" s="1">
        <v>54</v>
      </c>
      <c r="D44" s="11" t="s">
        <v>691</v>
      </c>
      <c r="F44" t="s">
        <v>690</v>
      </c>
      <c r="G44" s="1" t="s">
        <v>16</v>
      </c>
      <c r="H44" s="1" t="s">
        <v>540</v>
      </c>
      <c r="I44" s="1" t="s">
        <v>571</v>
      </c>
      <c r="K44" s="115">
        <f>SUMIF('CIP Details'!A:A,$A44,'CIP Details'!N:N)</f>
        <v>0</v>
      </c>
      <c r="L44" s="11"/>
    </row>
    <row r="45" spans="1:13" x14ac:dyDescent="0.25">
      <c r="A45" s="114" t="str">
        <f t="shared" ref="A45:A52" si="9">B45&amp;D45&amp;F45&amp;G45</f>
        <v>SchoolsSchoolsFire Alarm Upgrades - McGeeGF</v>
      </c>
      <c r="B45" s="1" t="s">
        <v>1</v>
      </c>
      <c r="C45" s="11">
        <v>61</v>
      </c>
      <c r="D45" s="11" t="s">
        <v>1</v>
      </c>
      <c r="F45" s="26" t="s">
        <v>200</v>
      </c>
      <c r="G45" s="31" t="s">
        <v>16</v>
      </c>
      <c r="H45" s="1" t="s">
        <v>540</v>
      </c>
      <c r="I45" s="125" t="s">
        <v>546</v>
      </c>
      <c r="K45" s="115">
        <f>SUMIF('CIP Details'!A:A,$A45,'CIP Details'!N:N)</f>
        <v>0</v>
      </c>
      <c r="L45" s="11" t="s">
        <v>591</v>
      </c>
    </row>
    <row r="46" spans="1:13" x14ac:dyDescent="0.25">
      <c r="A46" s="114" t="str">
        <f t="shared" si="9"/>
        <v>SchoolsSchoolsVans - capitalGF</v>
      </c>
      <c r="B46" s="11" t="s">
        <v>1</v>
      </c>
      <c r="C46" s="123">
        <v>61</v>
      </c>
      <c r="D46" s="11" t="s">
        <v>1</v>
      </c>
      <c r="F46" t="s">
        <v>514</v>
      </c>
      <c r="G46" s="1" t="s">
        <v>16</v>
      </c>
      <c r="H46" s="1" t="s">
        <v>531</v>
      </c>
      <c r="I46" s="1"/>
      <c r="K46" s="115">
        <f>SUMIF('CIP Details'!A:A,$A46,'CIP Details'!N:N)</f>
        <v>0</v>
      </c>
      <c r="L46" s="11"/>
    </row>
    <row r="47" spans="1:13" x14ac:dyDescent="0.25">
      <c r="A47" s="114" t="str">
        <f>B47&amp;D47&amp;F47&amp;G47</f>
        <v>SchoolsSchoolsWillard Softball Field ImprovementsGF</v>
      </c>
      <c r="B47" s="1" t="s">
        <v>1</v>
      </c>
      <c r="C47" s="11">
        <v>61</v>
      </c>
      <c r="D47" s="1" t="s">
        <v>1</v>
      </c>
      <c r="F47" t="s">
        <v>362</v>
      </c>
      <c r="G47" s="1" t="s">
        <v>16</v>
      </c>
      <c r="H47" s="1" t="s">
        <v>540</v>
      </c>
      <c r="I47" s="1"/>
      <c r="K47" s="115">
        <f>SUMIF('CIP Details'!A:A,$A47,'CIP Details'!N:N)</f>
        <v>0</v>
      </c>
      <c r="L47" s="11"/>
    </row>
    <row r="48" spans="1:13" x14ac:dyDescent="0.25">
      <c r="A48" s="114" t="str">
        <f>B48&amp;D48&amp;F48&amp;G48</f>
        <v>SchoolsSchoolsGriswold Pulcini/Garrity Baseball Field ImprovementsGF</v>
      </c>
      <c r="B48" s="1" t="s">
        <v>1</v>
      </c>
      <c r="C48" s="11">
        <v>61</v>
      </c>
      <c r="D48" s="11" t="s">
        <v>1</v>
      </c>
      <c r="F48" t="s">
        <v>490</v>
      </c>
      <c r="G48" s="1" t="s">
        <v>16</v>
      </c>
      <c r="H48" s="1" t="s">
        <v>540</v>
      </c>
      <c r="I48" s="1"/>
      <c r="K48" s="115">
        <f>SUMIF('CIP Details'!A:A,$A48,'CIP Details'!N:N)</f>
        <v>0</v>
      </c>
      <c r="L48" s="11"/>
    </row>
    <row r="49" spans="1:13" x14ac:dyDescent="0.25">
      <c r="A49" s="114" t="str">
        <f t="shared" si="9"/>
        <v>SchoolsSchoolsPhones for all four schools (ex BHS, but integrated with BHS) - capitalGF</v>
      </c>
      <c r="B49" s="1" t="s">
        <v>1</v>
      </c>
      <c r="C49" s="11">
        <v>61</v>
      </c>
      <c r="D49" s="11" t="s">
        <v>1</v>
      </c>
      <c r="F49" s="26" t="s">
        <v>516</v>
      </c>
      <c r="G49" s="31" t="s">
        <v>16</v>
      </c>
      <c r="H49" s="1" t="s">
        <v>540</v>
      </c>
      <c r="I49" s="1"/>
      <c r="K49" s="115">
        <f>SUMIF('CIP Details'!A:A,$A49,'CIP Details'!N:N)</f>
        <v>0</v>
      </c>
      <c r="L49" s="11"/>
      <c r="M49" s="114" t="s">
        <v>750</v>
      </c>
    </row>
    <row r="50" spans="1:13" x14ac:dyDescent="0.25">
      <c r="A50" s="114" t="str">
        <f>B50&amp;D50&amp;F50&amp;G50</f>
        <v>SchoolsSchoolsSand &amp; refinish gym flooring - all schools (ex BHS)GF</v>
      </c>
      <c r="B50" s="1" t="s">
        <v>1</v>
      </c>
      <c r="C50" s="11">
        <v>61</v>
      </c>
      <c r="D50" s="11" t="s">
        <v>1</v>
      </c>
      <c r="F50" t="s">
        <v>701</v>
      </c>
      <c r="G50" s="1" t="s">
        <v>16</v>
      </c>
      <c r="H50" s="1" t="s">
        <v>540</v>
      </c>
      <c r="I50" s="1"/>
      <c r="K50" s="115">
        <f>SUMIF('CIP Details'!A:A,$A50,'CIP Details'!N:N)</f>
        <v>0</v>
      </c>
      <c r="L50" s="11"/>
    </row>
    <row r="51" spans="1:13" x14ac:dyDescent="0.25">
      <c r="A51" s="114" t="str">
        <f t="shared" si="9"/>
        <v>SchoolsSchoolsLighting control upgrades - BHSGF</v>
      </c>
      <c r="B51" s="1" t="s">
        <v>1</v>
      </c>
      <c r="C51" s="11">
        <v>61</v>
      </c>
      <c r="D51" s="11" t="s">
        <v>1</v>
      </c>
      <c r="F51" s="26" t="s">
        <v>702</v>
      </c>
      <c r="G51" s="31" t="s">
        <v>16</v>
      </c>
      <c r="H51" s="1" t="s">
        <v>540</v>
      </c>
      <c r="I51" s="1"/>
      <c r="K51" s="115">
        <f>SUMIF('CIP Details'!A:A,$A51,'CIP Details'!N:N)</f>
        <v>0</v>
      </c>
      <c r="L51" s="11"/>
    </row>
    <row r="52" spans="1:13" x14ac:dyDescent="0.25">
      <c r="A52" s="114" t="str">
        <f t="shared" si="9"/>
        <v>SchoolsSchoolsCooling tower upgradesGF</v>
      </c>
      <c r="B52" s="1" t="s">
        <v>1</v>
      </c>
      <c r="C52" s="11">
        <v>61</v>
      </c>
      <c r="D52" s="11" t="s">
        <v>1</v>
      </c>
      <c r="F52" s="26" t="s">
        <v>696</v>
      </c>
      <c r="G52" s="31" t="s">
        <v>16</v>
      </c>
      <c r="H52" s="1" t="s">
        <v>540</v>
      </c>
      <c r="I52" s="1"/>
      <c r="K52" s="115">
        <f>SUMIF('CIP Details'!A:A,$A52,'CIP Details'!N:N)</f>
        <v>0</v>
      </c>
      <c r="L52" s="11"/>
    </row>
    <row r="53" spans="1:13" x14ac:dyDescent="0.25">
      <c r="L53" s="11"/>
    </row>
    <row r="54" spans="1:13" ht="15.75" thickBot="1" x14ac:dyDescent="0.3">
      <c r="K54" s="116">
        <f>SUM(K3:K53)</f>
        <v>224419</v>
      </c>
    </row>
    <row r="55" spans="1:13" ht="15.75" thickTop="1" x14ac:dyDescent="0.25">
      <c r="I55" s="174" t="s">
        <v>739</v>
      </c>
      <c r="J55" s="175"/>
      <c r="K55" s="176">
        <f>K54-'CIP Details'!N331</f>
        <v>-50000</v>
      </c>
    </row>
    <row r="56" spans="1:13" ht="15.75" thickBot="1" x14ac:dyDescent="0.3"/>
    <row r="57" spans="1:13" ht="15.75" thickBot="1" x14ac:dyDescent="0.3">
      <c r="I57" s="11" t="s">
        <v>741</v>
      </c>
      <c r="L57" s="177">
        <f>-SUMIF(L3:L53,"x",K3:K53)</f>
        <v>0</v>
      </c>
    </row>
    <row r="58" spans="1:13" ht="15.75" thickBot="1" x14ac:dyDescent="0.3"/>
    <row r="59" spans="1:13" ht="15.75" thickBot="1" x14ac:dyDescent="0.3">
      <c r="I59" s="178" t="s">
        <v>742</v>
      </c>
      <c r="J59" s="179"/>
      <c r="K59" s="180">
        <f>K54+L57</f>
        <v>224419</v>
      </c>
    </row>
  </sheetData>
  <conditionalFormatting sqref="L3:L53">
    <cfRule type="containsText" dxfId="0" priority="2" operator="containsText" text="x">
      <formula>NOT(ISERROR(SEARCH("x",L3)))</formula>
    </cfRule>
  </conditionalFormatting>
  <pageMargins left="0.3" right="0.3" top="0.3" bottom="0.3" header="0" footer="0"/>
  <pageSetup scale="53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301"/>
  <sheetViews>
    <sheetView zoomScale="70" zoomScaleNormal="70" workbookViewId="0">
      <selection activeCell="A3" sqref="A3"/>
    </sheetView>
  </sheetViews>
  <sheetFormatPr defaultColWidth="9.140625" defaultRowHeight="15" outlineLevelRow="1" x14ac:dyDescent="0.25"/>
  <cols>
    <col min="1" max="1" width="13.140625" style="43" bestFit="1" customWidth="1"/>
    <col min="2" max="2" width="93.28515625" style="40" bestFit="1" customWidth="1"/>
    <col min="3" max="3" width="29.7109375" style="40" bestFit="1" customWidth="1"/>
    <col min="4" max="4" width="18.28515625" style="40" bestFit="1" customWidth="1"/>
    <col min="5" max="5" width="11.5703125" style="40" bestFit="1" customWidth="1"/>
    <col min="6" max="6" width="3.7109375" style="40" customWidth="1"/>
    <col min="7" max="7" width="13.140625" style="40" bestFit="1" customWidth="1"/>
    <col min="8" max="8" width="11.28515625" style="41" bestFit="1" customWidth="1"/>
    <col min="9" max="10" width="12.42578125" style="40" bestFit="1" customWidth="1"/>
    <col min="11" max="11" width="11.28515625" style="40" bestFit="1" customWidth="1"/>
    <col min="12" max="16384" width="9.140625" style="40"/>
  </cols>
  <sheetData>
    <row r="1" spans="1:12" ht="21" x14ac:dyDescent="0.35">
      <c r="A1" s="39" t="s">
        <v>62</v>
      </c>
    </row>
    <row r="2" spans="1:12" ht="21" x14ac:dyDescent="0.35">
      <c r="A2" s="39" t="s">
        <v>282</v>
      </c>
    </row>
    <row r="3" spans="1:12" ht="21" x14ac:dyDescent="0.35">
      <c r="A3" s="67" t="s">
        <v>310</v>
      </c>
    </row>
    <row r="4" spans="1:12" x14ac:dyDescent="0.25">
      <c r="A4" s="42"/>
    </row>
    <row r="5" spans="1:12" x14ac:dyDescent="0.25">
      <c r="A5" s="42"/>
    </row>
    <row r="6" spans="1:12" hidden="1" outlineLevel="1" x14ac:dyDescent="0.25">
      <c r="G6" s="44">
        <v>5</v>
      </c>
      <c r="H6" s="45">
        <v>6</v>
      </c>
      <c r="I6" s="44">
        <v>7</v>
      </c>
      <c r="J6" s="44">
        <v>8</v>
      </c>
      <c r="K6" s="44">
        <v>9</v>
      </c>
    </row>
    <row r="7" spans="1:12" collapsed="1" x14ac:dyDescent="0.25">
      <c r="A7" s="46" t="s">
        <v>206</v>
      </c>
      <c r="B7" s="46" t="s">
        <v>275</v>
      </c>
      <c r="C7" s="46" t="s">
        <v>246</v>
      </c>
      <c r="D7" s="46" t="s">
        <v>276</v>
      </c>
      <c r="E7" s="46" t="s">
        <v>271</v>
      </c>
      <c r="G7" s="46" t="s">
        <v>3</v>
      </c>
      <c r="H7" s="47" t="s">
        <v>285</v>
      </c>
      <c r="I7" s="46" t="s">
        <v>19</v>
      </c>
      <c r="J7" s="46" t="s">
        <v>16</v>
      </c>
      <c r="K7" s="46" t="s">
        <v>286</v>
      </c>
    </row>
    <row r="8" spans="1:12" x14ac:dyDescent="0.25">
      <c r="E8" s="43"/>
    </row>
    <row r="9" spans="1:12" x14ac:dyDescent="0.25">
      <c r="A9" s="48" t="s">
        <v>208</v>
      </c>
      <c r="B9" s="40" t="s">
        <v>207</v>
      </c>
      <c r="C9" s="40" t="s">
        <v>101</v>
      </c>
      <c r="D9" s="40" t="s">
        <v>272</v>
      </c>
      <c r="E9" s="43" t="s">
        <v>16</v>
      </c>
      <c r="G9" s="49">
        <f>IF(ISNA(VLOOKUP($B9,'Other Capital Needs'!$C$51:$P$95,G$6,0)),0,VLOOKUP($B9,'Other Capital Needs'!$C$51:$P$95,G$6,0))+IF(ISNA(VLOOKUP('Project Details by Yr'!$B9,'Public Grounds'!$A$11:$N$49,G$6,0)),0,VLOOKUP('Project Details by Yr'!$B9,'Public Grounds'!$A$11:$N$49,G$6,0))+IF(ISNA(VLOOKUP('Project Details by Yr'!$B9,'Public Buildings'!$A$10:$N$96,G$6,0)),0,VLOOKUP('Project Details by Yr'!$B9,'Public Buildings'!$A$10:$N$96,G$6,0))+IF(ISNA(VLOOKUP('Project Details by Yr'!$B9,Bridges!$A$9:$N$24,G$6,0)),0,VLOOKUP('Project Details by Yr'!$B9,Bridges!$A$9:$N$24,G$6,0))+IF(ISNA(VLOOKUP('Project Details by Yr'!$B9,'Parking Lots &amp; Playgrounds'!$A$9:$N$33,G$6,0)),0,VLOOKUP('Project Details by Yr'!$B9,'Parking Lots &amp; Playgrounds'!$A$9:$N$33,G$6,0))+IF(ISNA(VLOOKUP($B9,Vehicles!$B$9:$O$50,G$6,0)),0,VLOOKUP($B9,Vehicles!$B$9:$O$50,G$6,0))</f>
        <v>0</v>
      </c>
      <c r="H9" s="50"/>
      <c r="I9" s="49">
        <f t="shared" ref="I9:I70" si="0">IF($H9=1,IF($E9="Bond",$G9,0),0)</f>
        <v>0</v>
      </c>
      <c r="J9" s="49">
        <f t="shared" ref="J9:J70" si="1">IF($H9=1,IF($E9="GF",$G9,0),0)</f>
        <v>0</v>
      </c>
      <c r="K9" s="49">
        <f t="shared" ref="K9:K70" si="2">IF($H9=1,IF($E9="Grant",$G9,0),0)</f>
        <v>0</v>
      </c>
    </row>
    <row r="10" spans="1:12" x14ac:dyDescent="0.25">
      <c r="A10" s="48" t="s">
        <v>208</v>
      </c>
      <c r="B10" s="40" t="s">
        <v>284</v>
      </c>
      <c r="C10" s="40" t="s">
        <v>101</v>
      </c>
      <c r="D10" s="40" t="s">
        <v>272</v>
      </c>
      <c r="E10" s="43" t="s">
        <v>16</v>
      </c>
      <c r="G10" s="49">
        <f>IF(ISNA(VLOOKUP($B10,'Other Capital Needs'!$C$51:$P$95,G$6,0)),0,VLOOKUP($B10,'Other Capital Needs'!$C$51:$P$95,G$6,0))+IF(ISNA(VLOOKUP('Project Details by Yr'!$B10,'Public Grounds'!$A$11:$N$49,G$6,0)),0,VLOOKUP('Project Details by Yr'!$B10,'Public Grounds'!$A$11:$N$49,G$6,0))+IF(ISNA(VLOOKUP('Project Details by Yr'!$B10,'Public Buildings'!$A$10:$N$96,G$6,0)),0,VLOOKUP('Project Details by Yr'!$B10,'Public Buildings'!$A$10:$N$96,G$6,0))+IF(ISNA(VLOOKUP('Project Details by Yr'!$B10,Bridges!$A$9:$N$24,G$6,0)),0,VLOOKUP('Project Details by Yr'!$B10,Bridges!$A$9:$N$24,G$6,0))+IF(ISNA(VLOOKUP('Project Details by Yr'!$B10,'Parking Lots &amp; Playgrounds'!$A$9:$N$33,G$6,0)),0,VLOOKUP('Project Details by Yr'!$B10,'Parking Lots &amp; Playgrounds'!$A$9:$N$33,G$6,0))+IF(ISNA(VLOOKUP($B10,Vehicles!$B$9:$O$50,G$6,0)),0,VLOOKUP($B10,Vehicles!$B$9:$O$50,G$6,0))</f>
        <v>0</v>
      </c>
      <c r="H10" s="50"/>
      <c r="I10" s="49">
        <f t="shared" si="0"/>
        <v>0</v>
      </c>
      <c r="J10" s="51">
        <f t="shared" si="1"/>
        <v>0</v>
      </c>
      <c r="K10" s="49">
        <f t="shared" si="2"/>
        <v>0</v>
      </c>
    </row>
    <row r="11" spans="1:12" x14ac:dyDescent="0.25">
      <c r="A11" s="48" t="s">
        <v>210</v>
      </c>
      <c r="B11" s="40" t="s">
        <v>204</v>
      </c>
      <c r="C11" s="40" t="s">
        <v>101</v>
      </c>
      <c r="D11" s="40" t="s">
        <v>272</v>
      </c>
      <c r="E11" s="43" t="s">
        <v>16</v>
      </c>
      <c r="G11" s="49">
        <f>IF(ISNA(VLOOKUP($B11,'Other Capital Needs'!$C$51:$P$95,G$6,0)),0,VLOOKUP($B11,'Other Capital Needs'!$C$51:$P$95,G$6,0))+IF(ISNA(VLOOKUP('Project Details by Yr'!$B11,'Public Grounds'!$A$11:$N$49,G$6,0)),0,VLOOKUP('Project Details by Yr'!$B11,'Public Grounds'!$A$11:$N$49,G$6,0))+IF(ISNA(VLOOKUP('Project Details by Yr'!$B11,'Public Buildings'!$A$10:$N$96,G$6,0)),0,VLOOKUP('Project Details by Yr'!$B11,'Public Buildings'!$A$10:$N$96,G$6,0))+IF(ISNA(VLOOKUP('Project Details by Yr'!$B11,Bridges!$A$9:$N$24,G$6,0)),0,VLOOKUP('Project Details by Yr'!$B11,Bridges!$A$9:$N$24,G$6,0))+IF(ISNA(VLOOKUP('Project Details by Yr'!$B11,'Parking Lots &amp; Playgrounds'!$A$9:$N$33,G$6,0)),0,VLOOKUP('Project Details by Yr'!$B11,'Parking Lots &amp; Playgrounds'!$A$9:$N$33,G$6,0))+IF(ISNA(VLOOKUP($B11,Vehicles!$B$9:$O$50,G$6,0)),0,VLOOKUP($B11,Vehicles!$B$9:$O$50,G$6,0))</f>
        <v>100179</v>
      </c>
      <c r="H11" s="50">
        <v>1</v>
      </c>
      <c r="I11" s="49">
        <f t="shared" si="0"/>
        <v>0</v>
      </c>
      <c r="J11" s="49">
        <f t="shared" si="1"/>
        <v>100179</v>
      </c>
      <c r="K11" s="49">
        <f t="shared" si="2"/>
        <v>0</v>
      </c>
    </row>
    <row r="12" spans="1:12" x14ac:dyDescent="0.25">
      <c r="A12" s="48" t="s">
        <v>209</v>
      </c>
      <c r="B12" s="40" t="s">
        <v>107</v>
      </c>
      <c r="C12" s="40" t="s">
        <v>101</v>
      </c>
      <c r="D12" s="40" t="s">
        <v>272</v>
      </c>
      <c r="E12" s="43" t="s">
        <v>16</v>
      </c>
      <c r="G12" s="49">
        <f>IF(ISNA(VLOOKUP($B12,'Other Capital Needs'!$C$51:$P$95,G$6,0)),0,VLOOKUP($B12,'Other Capital Needs'!$C$51:$P$95,G$6,0))+IF(ISNA(VLOOKUP('Project Details by Yr'!$B12,'Public Grounds'!$A$11:$N$49,G$6,0)),0,VLOOKUP('Project Details by Yr'!$B12,'Public Grounds'!$A$11:$N$49,G$6,0))+IF(ISNA(VLOOKUP('Project Details by Yr'!$B12,'Public Buildings'!$A$10:$N$96,G$6,0)),0,VLOOKUP('Project Details by Yr'!$B12,'Public Buildings'!$A$10:$N$96,G$6,0))+IF(ISNA(VLOOKUP('Project Details by Yr'!$B12,Bridges!$A$9:$N$24,G$6,0)),0,VLOOKUP('Project Details by Yr'!$B12,Bridges!$A$9:$N$24,G$6,0))+IF(ISNA(VLOOKUP('Project Details by Yr'!$B12,'Parking Lots &amp; Playgrounds'!$A$9:$N$33,G$6,0)),0,VLOOKUP('Project Details by Yr'!$B12,'Parking Lots &amp; Playgrounds'!$A$9:$N$33,G$6,0))+IF(ISNA(VLOOKUP($B12,Vehicles!$B$9:$O$50,G$6,0)),0,VLOOKUP($B12,Vehicles!$B$9:$O$50,G$6,0))</f>
        <v>50000</v>
      </c>
      <c r="H12" s="50">
        <v>1</v>
      </c>
      <c r="I12" s="49">
        <f t="shared" si="0"/>
        <v>0</v>
      </c>
      <c r="J12" s="49">
        <f t="shared" si="1"/>
        <v>50000</v>
      </c>
      <c r="K12" s="49">
        <f t="shared" si="2"/>
        <v>0</v>
      </c>
    </row>
    <row r="13" spans="1:12" x14ac:dyDescent="0.25">
      <c r="A13" s="43">
        <v>17</v>
      </c>
      <c r="B13" s="40" t="s">
        <v>148</v>
      </c>
      <c r="C13" s="40" t="s">
        <v>101</v>
      </c>
      <c r="D13" s="40" t="s">
        <v>272</v>
      </c>
      <c r="E13" s="43" t="s">
        <v>16</v>
      </c>
      <c r="G13" s="49">
        <f>IF(ISNA(VLOOKUP($B13,'Other Capital Needs'!$C$51:$P$95,G$6,0)),0,VLOOKUP($B13,'Other Capital Needs'!$C$51:$P$95,G$6,0))+IF(ISNA(VLOOKUP('Project Details by Yr'!$B13,'Public Grounds'!$A$11:$N$49,G$6,0)),0,VLOOKUP('Project Details by Yr'!$B13,'Public Grounds'!$A$11:$N$49,G$6,0))+IF(ISNA(VLOOKUP('Project Details by Yr'!$B13,'Public Buildings'!$A$10:$N$96,G$6,0)),0,VLOOKUP('Project Details by Yr'!$B13,'Public Buildings'!$A$10:$N$96,G$6,0))+IF(ISNA(VLOOKUP('Project Details by Yr'!$B13,Bridges!$A$9:$N$24,G$6,0)),0,VLOOKUP('Project Details by Yr'!$B13,Bridges!$A$9:$N$24,G$6,0))+IF(ISNA(VLOOKUP('Project Details by Yr'!$B13,'Parking Lots &amp; Playgrounds'!$A$9:$N$33,G$6,0)),0,VLOOKUP('Project Details by Yr'!$B13,'Parking Lots &amp; Playgrounds'!$A$9:$N$33,G$6,0))+IF(ISNA(VLOOKUP($B13,Vehicles!$B$9:$O$50,G$6,0)),0,VLOOKUP($B13,Vehicles!$B$9:$O$50,G$6,0))</f>
        <v>0</v>
      </c>
      <c r="H13" s="50"/>
      <c r="I13" s="49">
        <f t="shared" si="0"/>
        <v>0</v>
      </c>
      <c r="J13" s="49">
        <f t="shared" si="1"/>
        <v>0</v>
      </c>
      <c r="K13" s="49">
        <f t="shared" si="2"/>
        <v>0</v>
      </c>
      <c r="L13" s="52"/>
    </row>
    <row r="14" spans="1:12" x14ac:dyDescent="0.25">
      <c r="A14" s="43">
        <v>31</v>
      </c>
      <c r="B14" s="40" t="s">
        <v>151</v>
      </c>
      <c r="C14" s="40" t="s">
        <v>101</v>
      </c>
      <c r="D14" s="40" t="s">
        <v>272</v>
      </c>
      <c r="E14" s="43" t="s">
        <v>16</v>
      </c>
      <c r="G14" s="49">
        <f>IF(ISNA(VLOOKUP($B14,'Other Capital Needs'!$C$51:$P$95,G$6,0)),0,VLOOKUP($B14,'Other Capital Needs'!$C$51:$P$95,G$6,0))+IF(ISNA(VLOOKUP('Project Details by Yr'!$B14,'Public Grounds'!$A$11:$N$49,G$6,0)),0,VLOOKUP('Project Details by Yr'!$B14,'Public Grounds'!$A$11:$N$49,G$6,0))+IF(ISNA(VLOOKUP('Project Details by Yr'!$B14,'Public Buildings'!$A$10:$N$96,G$6,0)),0,VLOOKUP('Project Details by Yr'!$B14,'Public Buildings'!$A$10:$N$96,G$6,0))+IF(ISNA(VLOOKUP('Project Details by Yr'!$B14,Bridges!$A$9:$N$24,G$6,0)),0,VLOOKUP('Project Details by Yr'!$B14,Bridges!$A$9:$N$24,G$6,0))+IF(ISNA(VLOOKUP('Project Details by Yr'!$B14,'Parking Lots &amp; Playgrounds'!$A$9:$N$33,G$6,0)),0,VLOOKUP('Project Details by Yr'!$B14,'Parking Lots &amp; Playgrounds'!$A$9:$N$33,G$6,0))+IF(ISNA(VLOOKUP($B14,Vehicles!$B$9:$O$50,G$6,0)),0,VLOOKUP($B14,Vehicles!$B$9:$O$50,G$6,0))</f>
        <v>0</v>
      </c>
      <c r="H14" s="50"/>
      <c r="I14" s="49">
        <f t="shared" si="0"/>
        <v>0</v>
      </c>
      <c r="J14" s="49">
        <f t="shared" si="1"/>
        <v>0</v>
      </c>
      <c r="K14" s="49">
        <f t="shared" si="2"/>
        <v>0</v>
      </c>
      <c r="L14" s="52"/>
    </row>
    <row r="15" spans="1:12" x14ac:dyDescent="0.25">
      <c r="A15" s="43">
        <v>31</v>
      </c>
      <c r="B15" s="40" t="s">
        <v>153</v>
      </c>
      <c r="C15" s="40" t="s">
        <v>101</v>
      </c>
      <c r="D15" s="40" t="s">
        <v>272</v>
      </c>
      <c r="E15" s="43" t="s">
        <v>16</v>
      </c>
      <c r="G15" s="49">
        <f>IF(ISNA(VLOOKUP($B15,'Other Capital Needs'!$C$51:$P$95,G$6,0)),0,VLOOKUP($B15,'Other Capital Needs'!$C$51:$P$95,G$6,0))+IF(ISNA(VLOOKUP('Project Details by Yr'!$B15,'Public Grounds'!$A$11:$N$49,G$6,0)),0,VLOOKUP('Project Details by Yr'!$B15,'Public Grounds'!$A$11:$N$49,G$6,0))+IF(ISNA(VLOOKUP('Project Details by Yr'!$B15,'Public Buildings'!$A$10:$N$96,G$6,0)),0,VLOOKUP('Project Details by Yr'!$B15,'Public Buildings'!$A$10:$N$96,G$6,0))+IF(ISNA(VLOOKUP('Project Details by Yr'!$B15,Bridges!$A$9:$N$24,G$6,0)),0,VLOOKUP('Project Details by Yr'!$B15,Bridges!$A$9:$N$24,G$6,0))+IF(ISNA(VLOOKUP('Project Details by Yr'!$B15,'Parking Lots &amp; Playgrounds'!$A$9:$N$33,G$6,0)),0,VLOOKUP('Project Details by Yr'!$B15,'Parking Lots &amp; Playgrounds'!$A$9:$N$33,G$6,0))+IF(ISNA(VLOOKUP($B15,Vehicles!$B$9:$O$50,G$6,0)),0,VLOOKUP($B15,Vehicles!$B$9:$O$50,G$6,0))</f>
        <v>0</v>
      </c>
      <c r="H15" s="50"/>
      <c r="I15" s="49">
        <f t="shared" si="0"/>
        <v>0</v>
      </c>
      <c r="J15" s="49">
        <f t="shared" si="1"/>
        <v>0</v>
      </c>
      <c r="K15" s="49">
        <f t="shared" si="2"/>
        <v>0</v>
      </c>
      <c r="L15" s="52" t="s">
        <v>306</v>
      </c>
    </row>
    <row r="16" spans="1:12" x14ac:dyDescent="0.25">
      <c r="A16" s="43">
        <v>31</v>
      </c>
      <c r="B16" s="40" t="s">
        <v>155</v>
      </c>
      <c r="C16" s="40" t="s">
        <v>101</v>
      </c>
      <c r="D16" s="40" t="s">
        <v>272</v>
      </c>
      <c r="E16" s="43" t="s">
        <v>16</v>
      </c>
      <c r="G16" s="49">
        <f>IF(ISNA(VLOOKUP($B16,'Other Capital Needs'!$C$51:$P$95,G$6,0)),0,VLOOKUP($B16,'Other Capital Needs'!$C$51:$P$95,G$6,0))+IF(ISNA(VLOOKUP('Project Details by Yr'!$B16,'Public Grounds'!$A$11:$N$49,G$6,0)),0,VLOOKUP('Project Details by Yr'!$B16,'Public Grounds'!$A$11:$N$49,G$6,0))+IF(ISNA(VLOOKUP('Project Details by Yr'!$B16,'Public Buildings'!$A$10:$N$96,G$6,0)),0,VLOOKUP('Project Details by Yr'!$B16,'Public Buildings'!$A$10:$N$96,G$6,0))+IF(ISNA(VLOOKUP('Project Details by Yr'!$B16,Bridges!$A$9:$N$24,G$6,0)),0,VLOOKUP('Project Details by Yr'!$B16,Bridges!$A$9:$N$24,G$6,0))+IF(ISNA(VLOOKUP('Project Details by Yr'!$B16,'Parking Lots &amp; Playgrounds'!$A$9:$N$33,G$6,0)),0,VLOOKUP('Project Details by Yr'!$B16,'Parking Lots &amp; Playgrounds'!$A$9:$N$33,G$6,0))+IF(ISNA(VLOOKUP($B16,Vehicles!$B$9:$O$50,G$6,0)),0,VLOOKUP($B16,Vehicles!$B$9:$O$50,G$6,0))</f>
        <v>0</v>
      </c>
      <c r="H16" s="50"/>
      <c r="I16" s="49">
        <f t="shared" si="0"/>
        <v>0</v>
      </c>
      <c r="J16" s="49">
        <f t="shared" si="1"/>
        <v>0</v>
      </c>
      <c r="K16" s="49">
        <f t="shared" si="2"/>
        <v>0</v>
      </c>
      <c r="L16" s="52" t="s">
        <v>306</v>
      </c>
    </row>
    <row r="17" spans="1:14" x14ac:dyDescent="0.25">
      <c r="A17" s="43">
        <v>31</v>
      </c>
      <c r="B17" s="40" t="s">
        <v>156</v>
      </c>
      <c r="C17" s="40" t="s">
        <v>101</v>
      </c>
      <c r="D17" s="40" t="s">
        <v>272</v>
      </c>
      <c r="E17" s="43" t="s">
        <v>16</v>
      </c>
      <c r="G17" s="49">
        <f>IF(ISNA(VLOOKUP($B17,'Other Capital Needs'!$C$51:$P$95,G$6,0)),0,VLOOKUP($B17,'Other Capital Needs'!$C$51:$P$95,G$6,0))+IF(ISNA(VLOOKUP('Project Details by Yr'!$B17,'Public Grounds'!$A$11:$N$49,G$6,0)),0,VLOOKUP('Project Details by Yr'!$B17,'Public Grounds'!$A$11:$N$49,G$6,0))+IF(ISNA(VLOOKUP('Project Details by Yr'!$B17,'Public Buildings'!$A$10:$N$96,G$6,0)),0,VLOOKUP('Project Details by Yr'!$B17,'Public Buildings'!$A$10:$N$96,G$6,0))+IF(ISNA(VLOOKUP('Project Details by Yr'!$B17,Bridges!$A$9:$N$24,G$6,0)),0,VLOOKUP('Project Details by Yr'!$B17,Bridges!$A$9:$N$24,G$6,0))+IF(ISNA(VLOOKUP('Project Details by Yr'!$B17,'Parking Lots &amp; Playgrounds'!$A$9:$N$33,G$6,0)),0,VLOOKUP('Project Details by Yr'!$B17,'Parking Lots &amp; Playgrounds'!$A$9:$N$33,G$6,0))+IF(ISNA(VLOOKUP($B17,Vehicles!$B$9:$O$50,G$6,0)),0,VLOOKUP($B17,Vehicles!$B$9:$O$50,G$6,0))</f>
        <v>0</v>
      </c>
      <c r="H17" s="50"/>
      <c r="I17" s="49">
        <f t="shared" si="0"/>
        <v>0</v>
      </c>
      <c r="J17" s="49">
        <f t="shared" si="1"/>
        <v>0</v>
      </c>
      <c r="K17" s="49">
        <f t="shared" si="2"/>
        <v>0</v>
      </c>
      <c r="L17" s="52" t="s">
        <v>306</v>
      </c>
    </row>
    <row r="18" spans="1:14" x14ac:dyDescent="0.25">
      <c r="A18" s="53">
        <v>32</v>
      </c>
      <c r="B18" s="54" t="s">
        <v>165</v>
      </c>
      <c r="C18" s="40" t="s">
        <v>101</v>
      </c>
      <c r="D18" s="40" t="s">
        <v>272</v>
      </c>
      <c r="E18" s="53" t="s">
        <v>16</v>
      </c>
      <c r="G18" s="49">
        <f>IF(ISNA(VLOOKUP($B18,'Other Capital Needs'!$C$51:$P$95,G$6,0)),0,VLOOKUP($B18,'Other Capital Needs'!$C$51:$P$95,G$6,0))+IF(ISNA(VLOOKUP('Project Details by Yr'!$B18,'Public Grounds'!$A$11:$N$49,G$6,0)),0,VLOOKUP('Project Details by Yr'!$B18,'Public Grounds'!$A$11:$N$49,G$6,0))+IF(ISNA(VLOOKUP('Project Details by Yr'!$B18,'Public Buildings'!$A$10:$N$96,G$6,0)),0,VLOOKUP('Project Details by Yr'!$B18,'Public Buildings'!$A$10:$N$96,G$6,0))+IF(ISNA(VLOOKUP('Project Details by Yr'!$B18,Bridges!$A$9:$N$24,G$6,0)),0,VLOOKUP('Project Details by Yr'!$B18,Bridges!$A$9:$N$24,G$6,0))+IF(ISNA(VLOOKUP('Project Details by Yr'!$B18,'Parking Lots &amp; Playgrounds'!$A$9:$N$33,G$6,0)),0,VLOOKUP('Project Details by Yr'!$B18,'Parking Lots &amp; Playgrounds'!$A$9:$N$33,G$6,0))+IF(ISNA(VLOOKUP($B18,Vehicles!$B$9:$O$50,G$6,0)),0,VLOOKUP($B18,Vehicles!$B$9:$O$50,G$6,0))</f>
        <v>0</v>
      </c>
      <c r="H18" s="50">
        <v>1</v>
      </c>
      <c r="I18" s="49">
        <f t="shared" si="0"/>
        <v>0</v>
      </c>
      <c r="J18" s="49">
        <f t="shared" si="1"/>
        <v>0</v>
      </c>
      <c r="K18" s="49">
        <f t="shared" si="2"/>
        <v>0</v>
      </c>
    </row>
    <row r="19" spans="1:14" x14ac:dyDescent="0.25">
      <c r="A19" s="53">
        <v>32</v>
      </c>
      <c r="B19" s="54" t="s">
        <v>166</v>
      </c>
      <c r="C19" s="40" t="s">
        <v>101</v>
      </c>
      <c r="D19" s="40" t="s">
        <v>272</v>
      </c>
      <c r="E19" s="53" t="s">
        <v>16</v>
      </c>
      <c r="G19" s="49">
        <f>IF(ISNA(VLOOKUP($B19,'Other Capital Needs'!$C$51:$P$95,G$6,0)),0,VLOOKUP($B19,'Other Capital Needs'!$C$51:$P$95,G$6,0))+IF(ISNA(VLOOKUP('Project Details by Yr'!$B19,'Public Grounds'!$A$11:$N$49,G$6,0)),0,VLOOKUP('Project Details by Yr'!$B19,'Public Grounds'!$A$11:$N$49,G$6,0))+IF(ISNA(VLOOKUP('Project Details by Yr'!$B19,'Public Buildings'!$A$10:$N$96,G$6,0)),0,VLOOKUP('Project Details by Yr'!$B19,'Public Buildings'!$A$10:$N$96,G$6,0))+IF(ISNA(VLOOKUP('Project Details by Yr'!$B19,Bridges!$A$9:$N$24,G$6,0)),0,VLOOKUP('Project Details by Yr'!$B19,Bridges!$A$9:$N$24,G$6,0))+IF(ISNA(VLOOKUP('Project Details by Yr'!$B19,'Parking Lots &amp; Playgrounds'!$A$9:$N$33,G$6,0)),0,VLOOKUP('Project Details by Yr'!$B19,'Parking Lots &amp; Playgrounds'!$A$9:$N$33,G$6,0))+IF(ISNA(VLOOKUP($B19,Vehicles!$B$9:$O$50,G$6,0)),0,VLOOKUP($B19,Vehicles!$B$9:$O$50,G$6,0))</f>
        <v>0</v>
      </c>
      <c r="H19" s="50">
        <v>1</v>
      </c>
      <c r="I19" s="49">
        <f t="shared" si="0"/>
        <v>0</v>
      </c>
      <c r="J19" s="49">
        <f t="shared" si="1"/>
        <v>0</v>
      </c>
      <c r="K19" s="49">
        <f t="shared" si="2"/>
        <v>0</v>
      </c>
    </row>
    <row r="20" spans="1:14" x14ac:dyDescent="0.25">
      <c r="A20" s="53">
        <v>32</v>
      </c>
      <c r="B20" s="54" t="s">
        <v>167</v>
      </c>
      <c r="C20" s="40" t="s">
        <v>101</v>
      </c>
      <c r="D20" s="40" t="s">
        <v>272</v>
      </c>
      <c r="E20" s="53" t="s">
        <v>16</v>
      </c>
      <c r="G20" s="49">
        <f>IF(ISNA(VLOOKUP($B20,'Other Capital Needs'!$C$51:$P$95,G$6,0)),0,VLOOKUP($B20,'Other Capital Needs'!$C$51:$P$95,G$6,0))+IF(ISNA(VLOOKUP('Project Details by Yr'!$B20,'Public Grounds'!$A$11:$N$49,G$6,0)),0,VLOOKUP('Project Details by Yr'!$B20,'Public Grounds'!$A$11:$N$49,G$6,0))+IF(ISNA(VLOOKUP('Project Details by Yr'!$B20,'Public Buildings'!$A$10:$N$96,G$6,0)),0,VLOOKUP('Project Details by Yr'!$B20,'Public Buildings'!$A$10:$N$96,G$6,0))+IF(ISNA(VLOOKUP('Project Details by Yr'!$B20,Bridges!$A$9:$N$24,G$6,0)),0,VLOOKUP('Project Details by Yr'!$B20,Bridges!$A$9:$N$24,G$6,0))+IF(ISNA(VLOOKUP('Project Details by Yr'!$B20,'Parking Lots &amp; Playgrounds'!$A$9:$N$33,G$6,0)),0,VLOOKUP('Project Details by Yr'!$B20,'Parking Lots &amp; Playgrounds'!$A$9:$N$33,G$6,0))+IF(ISNA(VLOOKUP($B20,Vehicles!$B$9:$O$50,G$6,0)),0,VLOOKUP($B20,Vehicles!$B$9:$O$50,G$6,0))</f>
        <v>0</v>
      </c>
      <c r="H20" s="50">
        <v>1</v>
      </c>
      <c r="I20" s="49">
        <f t="shared" si="0"/>
        <v>0</v>
      </c>
      <c r="J20" s="49">
        <f t="shared" si="1"/>
        <v>0</v>
      </c>
      <c r="K20" s="49">
        <f t="shared" si="2"/>
        <v>0</v>
      </c>
    </row>
    <row r="21" spans="1:14" x14ac:dyDescent="0.25">
      <c r="A21" s="53">
        <v>32</v>
      </c>
      <c r="B21" s="54" t="s">
        <v>168</v>
      </c>
      <c r="C21" s="40" t="s">
        <v>101</v>
      </c>
      <c r="D21" s="40" t="s">
        <v>272</v>
      </c>
      <c r="E21" s="53" t="s">
        <v>16</v>
      </c>
      <c r="G21" s="49">
        <f>IF(ISNA(VLOOKUP($B21,'Other Capital Needs'!$C$51:$P$95,G$6,0)),0,VLOOKUP($B21,'Other Capital Needs'!$C$51:$P$95,G$6,0))+IF(ISNA(VLOOKUP('Project Details by Yr'!$B21,'Public Grounds'!$A$11:$N$49,G$6,0)),0,VLOOKUP('Project Details by Yr'!$B21,'Public Grounds'!$A$11:$N$49,G$6,0))+IF(ISNA(VLOOKUP('Project Details by Yr'!$B21,'Public Buildings'!$A$10:$N$96,G$6,0)),0,VLOOKUP('Project Details by Yr'!$B21,'Public Buildings'!$A$10:$N$96,G$6,0))+IF(ISNA(VLOOKUP('Project Details by Yr'!$B21,Bridges!$A$9:$N$24,G$6,0)),0,VLOOKUP('Project Details by Yr'!$B21,Bridges!$A$9:$N$24,G$6,0))+IF(ISNA(VLOOKUP('Project Details by Yr'!$B21,'Parking Lots &amp; Playgrounds'!$A$9:$N$33,G$6,0)),0,VLOOKUP('Project Details by Yr'!$B21,'Parking Lots &amp; Playgrounds'!$A$9:$N$33,G$6,0))+IF(ISNA(VLOOKUP($B21,Vehicles!$B$9:$O$50,G$6,0)),0,VLOOKUP($B21,Vehicles!$B$9:$O$50,G$6,0))</f>
        <v>0</v>
      </c>
      <c r="H21" s="50">
        <v>1</v>
      </c>
      <c r="I21" s="49">
        <f t="shared" si="0"/>
        <v>0</v>
      </c>
      <c r="J21" s="49">
        <f t="shared" si="1"/>
        <v>0</v>
      </c>
      <c r="K21" s="49">
        <f t="shared" si="2"/>
        <v>0</v>
      </c>
      <c r="M21" s="52" t="s">
        <v>295</v>
      </c>
    </row>
    <row r="22" spans="1:14" x14ac:dyDescent="0.25">
      <c r="A22" s="53">
        <v>32</v>
      </c>
      <c r="B22" s="54" t="s">
        <v>169</v>
      </c>
      <c r="C22" s="40" t="s">
        <v>101</v>
      </c>
      <c r="D22" s="40" t="s">
        <v>272</v>
      </c>
      <c r="E22" s="53" t="s">
        <v>16</v>
      </c>
      <c r="G22" s="49">
        <f>IF(ISNA(VLOOKUP($B22,'Other Capital Needs'!$C$51:$P$95,G$6,0)),0,VLOOKUP($B22,'Other Capital Needs'!$C$51:$P$95,G$6,0))+IF(ISNA(VLOOKUP('Project Details by Yr'!$B22,'Public Grounds'!$A$11:$N$49,G$6,0)),0,VLOOKUP('Project Details by Yr'!$B22,'Public Grounds'!$A$11:$N$49,G$6,0))+IF(ISNA(VLOOKUP('Project Details by Yr'!$B22,'Public Buildings'!$A$10:$N$96,G$6,0)),0,VLOOKUP('Project Details by Yr'!$B22,'Public Buildings'!$A$10:$N$96,G$6,0))+IF(ISNA(VLOOKUP('Project Details by Yr'!$B22,Bridges!$A$9:$N$24,G$6,0)),0,VLOOKUP('Project Details by Yr'!$B22,Bridges!$A$9:$N$24,G$6,0))+IF(ISNA(VLOOKUP('Project Details by Yr'!$B22,'Parking Lots &amp; Playgrounds'!$A$9:$N$33,G$6,0)),0,VLOOKUP('Project Details by Yr'!$B22,'Parking Lots &amp; Playgrounds'!$A$9:$N$33,G$6,0))+IF(ISNA(VLOOKUP($B22,Vehicles!$B$9:$O$50,G$6,0)),0,VLOOKUP($B22,Vehicles!$B$9:$O$50,G$6,0))</f>
        <v>0</v>
      </c>
      <c r="H22" s="50">
        <v>1</v>
      </c>
      <c r="I22" s="49">
        <f t="shared" si="0"/>
        <v>0</v>
      </c>
      <c r="J22" s="49">
        <f t="shared" si="1"/>
        <v>0</v>
      </c>
      <c r="K22" s="49">
        <f t="shared" si="2"/>
        <v>0</v>
      </c>
    </row>
    <row r="23" spans="1:14" x14ac:dyDescent="0.25">
      <c r="A23" s="53">
        <v>32</v>
      </c>
      <c r="B23" s="54" t="s">
        <v>173</v>
      </c>
      <c r="C23" s="40" t="s">
        <v>101</v>
      </c>
      <c r="D23" s="40" t="s">
        <v>272</v>
      </c>
      <c r="E23" s="53" t="s">
        <v>16</v>
      </c>
      <c r="G23" s="49">
        <f>IF(ISNA(VLOOKUP($B23,'Other Capital Needs'!$C$51:$P$95,G$6,0)),0,VLOOKUP($B23,'Other Capital Needs'!$C$51:$P$95,G$6,0))+IF(ISNA(VLOOKUP('Project Details by Yr'!$B23,'Public Grounds'!$A$11:$N$49,G$6,0)),0,VLOOKUP('Project Details by Yr'!$B23,'Public Grounds'!$A$11:$N$49,G$6,0))+IF(ISNA(VLOOKUP('Project Details by Yr'!$B23,'Public Buildings'!$A$10:$N$96,G$6,0)),0,VLOOKUP('Project Details by Yr'!$B23,'Public Buildings'!$A$10:$N$96,G$6,0))+IF(ISNA(VLOOKUP('Project Details by Yr'!$B23,Bridges!$A$9:$N$24,G$6,0)),0,VLOOKUP('Project Details by Yr'!$B23,Bridges!$A$9:$N$24,G$6,0))+IF(ISNA(VLOOKUP('Project Details by Yr'!$B23,'Parking Lots &amp; Playgrounds'!$A$9:$N$33,G$6,0)),0,VLOOKUP('Project Details by Yr'!$B23,'Parking Lots &amp; Playgrounds'!$A$9:$N$33,G$6,0))+IF(ISNA(VLOOKUP($B23,Vehicles!$B$9:$O$50,G$6,0)),0,VLOOKUP($B23,Vehicles!$B$9:$O$50,G$6,0))</f>
        <v>138000</v>
      </c>
      <c r="H23" s="50">
        <v>1</v>
      </c>
      <c r="I23" s="49">
        <f t="shared" si="0"/>
        <v>0</v>
      </c>
      <c r="J23" s="49">
        <f t="shared" si="1"/>
        <v>138000</v>
      </c>
      <c r="K23" s="49">
        <f t="shared" si="2"/>
        <v>0</v>
      </c>
    </row>
    <row r="24" spans="1:14" x14ac:dyDescent="0.25">
      <c r="A24" s="53">
        <v>32</v>
      </c>
      <c r="B24" s="54" t="s">
        <v>175</v>
      </c>
      <c r="C24" s="54" t="s">
        <v>101</v>
      </c>
      <c r="D24" s="54" t="s">
        <v>272</v>
      </c>
      <c r="E24" s="53" t="s">
        <v>16</v>
      </c>
      <c r="F24" s="54"/>
      <c r="G24" s="49">
        <f>IF(ISNA(VLOOKUP($B24,'Other Capital Needs'!$C$51:$P$95,G$6,0)),0,VLOOKUP($B24,'Other Capital Needs'!$C$51:$P$95,G$6,0))+IF(ISNA(VLOOKUP('Project Details by Yr'!$B24,'Public Grounds'!$A$11:$N$49,G$6,0)),0,VLOOKUP('Project Details by Yr'!$B24,'Public Grounds'!$A$11:$N$49,G$6,0))+IF(ISNA(VLOOKUP('Project Details by Yr'!$B24,'Public Buildings'!$A$10:$N$96,G$6,0)),0,VLOOKUP('Project Details by Yr'!$B24,'Public Buildings'!$A$10:$N$96,G$6,0))+IF(ISNA(VLOOKUP('Project Details by Yr'!$B24,Bridges!$A$9:$N$24,G$6,0)),0,VLOOKUP('Project Details by Yr'!$B24,Bridges!$A$9:$N$24,G$6,0))+IF(ISNA(VLOOKUP('Project Details by Yr'!$B24,'Parking Lots &amp; Playgrounds'!$A$9:$N$33,G$6,0)),0,VLOOKUP('Project Details by Yr'!$B24,'Parking Lots &amp; Playgrounds'!$A$9:$N$33,G$6,0))+IF(ISNA(VLOOKUP($B24,Vehicles!$B$9:$O$50,G$6,0)),0,VLOOKUP($B24,Vehicles!$B$9:$O$50,G$6,0))</f>
        <v>0</v>
      </c>
      <c r="H24" s="50">
        <v>1</v>
      </c>
      <c r="I24" s="49">
        <f t="shared" si="0"/>
        <v>0</v>
      </c>
      <c r="J24" s="49">
        <f t="shared" si="1"/>
        <v>0</v>
      </c>
      <c r="K24" s="49">
        <f t="shared" si="2"/>
        <v>0</v>
      </c>
    </row>
    <row r="25" spans="1:14" x14ac:dyDescent="0.25">
      <c r="A25" s="53">
        <v>36</v>
      </c>
      <c r="B25" s="54" t="s">
        <v>177</v>
      </c>
      <c r="C25" s="54" t="s">
        <v>101</v>
      </c>
      <c r="D25" s="54" t="s">
        <v>272</v>
      </c>
      <c r="E25" s="53" t="s">
        <v>16</v>
      </c>
      <c r="F25" s="54"/>
      <c r="G25" s="49">
        <f>IF(ISNA(VLOOKUP($B25,'Other Capital Needs'!$C$51:$P$95,G$6,0)),0,VLOOKUP($B25,'Other Capital Needs'!$C$51:$P$95,G$6,0))+IF(ISNA(VLOOKUP('Project Details by Yr'!$B25,'Public Grounds'!$A$11:$N$49,G$6,0)),0,VLOOKUP('Project Details by Yr'!$B25,'Public Grounds'!$A$11:$N$49,G$6,0))+IF(ISNA(VLOOKUP('Project Details by Yr'!$B25,'Public Buildings'!$A$10:$N$96,G$6,0)),0,VLOOKUP('Project Details by Yr'!$B25,'Public Buildings'!$A$10:$N$96,G$6,0))+IF(ISNA(VLOOKUP('Project Details by Yr'!$B25,Bridges!$A$9:$N$24,G$6,0)),0,VLOOKUP('Project Details by Yr'!$B25,Bridges!$A$9:$N$24,G$6,0))+IF(ISNA(VLOOKUP('Project Details by Yr'!$B25,'Parking Lots &amp; Playgrounds'!$A$9:$N$33,G$6,0)),0,VLOOKUP('Project Details by Yr'!$B25,'Parking Lots &amp; Playgrounds'!$A$9:$N$33,G$6,0))+IF(ISNA(VLOOKUP($B25,Vehicles!$B$9:$O$50,G$6,0)),0,VLOOKUP($B25,Vehicles!$B$9:$O$50,G$6,0))</f>
        <v>0</v>
      </c>
      <c r="H25" s="50">
        <v>1</v>
      </c>
      <c r="I25" s="49">
        <f t="shared" si="0"/>
        <v>0</v>
      </c>
      <c r="J25" s="49">
        <f t="shared" si="1"/>
        <v>0</v>
      </c>
      <c r="K25" s="49">
        <f t="shared" si="2"/>
        <v>0</v>
      </c>
    </row>
    <row r="26" spans="1:14" x14ac:dyDescent="0.25">
      <c r="A26" s="53">
        <v>36</v>
      </c>
      <c r="B26" s="54" t="s">
        <v>178</v>
      </c>
      <c r="C26" s="54" t="s">
        <v>101</v>
      </c>
      <c r="D26" s="54" t="s">
        <v>272</v>
      </c>
      <c r="E26" s="53" t="s">
        <v>16</v>
      </c>
      <c r="F26" s="54"/>
      <c r="G26" s="49">
        <f>IF(ISNA(VLOOKUP($B26,'Other Capital Needs'!$C$51:$P$95,G$6,0)),0,VLOOKUP($B26,'Other Capital Needs'!$C$51:$P$95,G$6,0))+IF(ISNA(VLOOKUP('Project Details by Yr'!$B26,'Public Grounds'!$A$11:$N$49,G$6,0)),0,VLOOKUP('Project Details by Yr'!$B26,'Public Grounds'!$A$11:$N$49,G$6,0))+IF(ISNA(VLOOKUP('Project Details by Yr'!$B26,'Public Buildings'!$A$10:$N$96,G$6,0)),0,VLOOKUP('Project Details by Yr'!$B26,'Public Buildings'!$A$10:$N$96,G$6,0))+IF(ISNA(VLOOKUP('Project Details by Yr'!$B26,Bridges!$A$9:$N$24,G$6,0)),0,VLOOKUP('Project Details by Yr'!$B26,Bridges!$A$9:$N$24,G$6,0))+IF(ISNA(VLOOKUP('Project Details by Yr'!$B26,'Parking Lots &amp; Playgrounds'!$A$9:$N$33,G$6,0)),0,VLOOKUP('Project Details by Yr'!$B26,'Parking Lots &amp; Playgrounds'!$A$9:$N$33,G$6,0))+IF(ISNA(VLOOKUP($B26,Vehicles!$B$9:$O$50,G$6,0)),0,VLOOKUP($B26,Vehicles!$B$9:$O$50,G$6,0))</f>
        <v>50000</v>
      </c>
      <c r="H26" s="50">
        <v>1</v>
      </c>
      <c r="I26" s="49">
        <f t="shared" si="0"/>
        <v>0</v>
      </c>
      <c r="J26" s="49">
        <f t="shared" si="1"/>
        <v>50000</v>
      </c>
      <c r="K26" s="49">
        <f t="shared" si="2"/>
        <v>0</v>
      </c>
    </row>
    <row r="27" spans="1:14" x14ac:dyDescent="0.25">
      <c r="A27" s="53">
        <v>36</v>
      </c>
      <c r="B27" s="54" t="s">
        <v>179</v>
      </c>
      <c r="C27" s="54" t="s">
        <v>101</v>
      </c>
      <c r="D27" s="54" t="s">
        <v>272</v>
      </c>
      <c r="E27" s="53" t="s">
        <v>286</v>
      </c>
      <c r="F27" s="54"/>
      <c r="G27" s="49">
        <f>IF(ISNA(VLOOKUP($B27,'Other Capital Needs'!$C$51:$P$95,G$6,0)),0,VLOOKUP($B27,'Other Capital Needs'!$C$51:$P$95,G$6,0))+IF(ISNA(VLOOKUP('Project Details by Yr'!$B27,'Public Grounds'!$A$11:$N$49,G$6,0)),0,VLOOKUP('Project Details by Yr'!$B27,'Public Grounds'!$A$11:$N$49,G$6,0))+IF(ISNA(VLOOKUP('Project Details by Yr'!$B27,'Public Buildings'!$A$10:$N$96,G$6,0)),0,VLOOKUP('Project Details by Yr'!$B27,'Public Buildings'!$A$10:$N$96,G$6,0))+IF(ISNA(VLOOKUP('Project Details by Yr'!$B27,Bridges!$A$9:$N$24,G$6,0)),0,VLOOKUP('Project Details by Yr'!$B27,Bridges!$A$9:$N$24,G$6,0))+IF(ISNA(VLOOKUP('Project Details by Yr'!$B27,'Parking Lots &amp; Playgrounds'!$A$9:$N$33,G$6,0)),0,VLOOKUP('Project Details by Yr'!$B27,'Parking Lots &amp; Playgrounds'!$A$9:$N$33,G$6,0))+IF(ISNA(VLOOKUP($B27,Vehicles!$B$9:$O$50,G$6,0)),0,VLOOKUP($B27,Vehicles!$B$9:$O$50,G$6,0))</f>
        <v>120000</v>
      </c>
      <c r="H27" s="50">
        <v>1</v>
      </c>
      <c r="I27" s="49">
        <f t="shared" si="0"/>
        <v>0</v>
      </c>
      <c r="J27" s="49">
        <f t="shared" si="1"/>
        <v>0</v>
      </c>
      <c r="K27" s="49">
        <f t="shared" si="2"/>
        <v>120000</v>
      </c>
    </row>
    <row r="28" spans="1:14" x14ac:dyDescent="0.25">
      <c r="A28" s="53">
        <v>36</v>
      </c>
      <c r="B28" s="54" t="s">
        <v>180</v>
      </c>
      <c r="C28" s="54" t="s">
        <v>101</v>
      </c>
      <c r="D28" s="54" t="s">
        <v>272</v>
      </c>
      <c r="E28" s="53" t="s">
        <v>16</v>
      </c>
      <c r="F28" s="54"/>
      <c r="G28" s="49">
        <f>IF(ISNA(VLOOKUP($B28,'Other Capital Needs'!$C$51:$P$95,G$6,0)),0,VLOOKUP($B28,'Other Capital Needs'!$C$51:$P$95,G$6,0))+IF(ISNA(VLOOKUP('Project Details by Yr'!$B28,'Public Grounds'!$A$11:$N$49,G$6,0)),0,VLOOKUP('Project Details by Yr'!$B28,'Public Grounds'!$A$11:$N$49,G$6,0))+IF(ISNA(VLOOKUP('Project Details by Yr'!$B28,'Public Buildings'!$A$10:$N$96,G$6,0)),0,VLOOKUP('Project Details by Yr'!$B28,'Public Buildings'!$A$10:$N$96,G$6,0))+IF(ISNA(VLOOKUP('Project Details by Yr'!$B28,Bridges!$A$9:$N$24,G$6,0)),0,VLOOKUP('Project Details by Yr'!$B28,Bridges!$A$9:$N$24,G$6,0))+IF(ISNA(VLOOKUP('Project Details by Yr'!$B28,'Parking Lots &amp; Playgrounds'!$A$9:$N$33,G$6,0)),0,VLOOKUP('Project Details by Yr'!$B28,'Parking Lots &amp; Playgrounds'!$A$9:$N$33,G$6,0))+IF(ISNA(VLOOKUP($B28,Vehicles!$B$9:$O$50,G$6,0)),0,VLOOKUP($B28,Vehicles!$B$9:$O$50,G$6,0))</f>
        <v>0</v>
      </c>
      <c r="H28" s="50">
        <v>1</v>
      </c>
      <c r="I28" s="49">
        <f t="shared" si="0"/>
        <v>0</v>
      </c>
      <c r="J28" s="49">
        <f t="shared" si="1"/>
        <v>0</v>
      </c>
      <c r="K28" s="49">
        <f t="shared" si="2"/>
        <v>0</v>
      </c>
    </row>
    <row r="29" spans="1:14" x14ac:dyDescent="0.25">
      <c r="A29" s="53">
        <v>36</v>
      </c>
      <c r="B29" s="54" t="s">
        <v>110</v>
      </c>
      <c r="C29" s="54" t="s">
        <v>101</v>
      </c>
      <c r="D29" s="54" t="s">
        <v>272</v>
      </c>
      <c r="E29" s="53" t="s">
        <v>19</v>
      </c>
      <c r="F29" s="54"/>
      <c r="G29" s="49">
        <f>IF(ISNA(VLOOKUP($B29,'Other Capital Needs'!$C$51:$P$95,G$6,0)),0,VLOOKUP($B29,'Other Capital Needs'!$C$51:$P$95,G$6,0))+IF(ISNA(VLOOKUP('Project Details by Yr'!$B29,'Public Grounds'!$A$11:$N$49,G$6,0)),0,VLOOKUP('Project Details by Yr'!$B29,'Public Grounds'!$A$11:$N$49,G$6,0))+IF(ISNA(VLOOKUP('Project Details by Yr'!$B29,'Public Buildings'!$A$10:$N$96,G$6,0)),0,VLOOKUP('Project Details by Yr'!$B29,'Public Buildings'!$A$10:$N$96,G$6,0))+IF(ISNA(VLOOKUP('Project Details by Yr'!$B29,Bridges!$A$9:$N$24,G$6,0)),0,VLOOKUP('Project Details by Yr'!$B29,Bridges!$A$9:$N$24,G$6,0))+IF(ISNA(VLOOKUP('Project Details by Yr'!$B29,'Parking Lots &amp; Playgrounds'!$A$9:$N$33,G$6,0)),0,VLOOKUP('Project Details by Yr'!$B29,'Parking Lots &amp; Playgrounds'!$A$9:$N$33,G$6,0))+IF(ISNA(VLOOKUP($B29,Vehicles!$B$9:$O$50,G$6,0)),0,VLOOKUP($B29,Vehicles!$B$9:$O$50,G$6,0))</f>
        <v>1400000</v>
      </c>
      <c r="H29" s="50">
        <v>1</v>
      </c>
      <c r="I29" s="51">
        <f t="shared" si="0"/>
        <v>1400000</v>
      </c>
      <c r="J29" s="49">
        <f t="shared" si="1"/>
        <v>0</v>
      </c>
      <c r="K29" s="49">
        <f t="shared" si="2"/>
        <v>0</v>
      </c>
      <c r="L29" s="55" t="s">
        <v>305</v>
      </c>
      <c r="M29" s="56"/>
      <c r="N29" s="56"/>
    </row>
    <row r="30" spans="1:14" x14ac:dyDescent="0.25">
      <c r="A30" s="53">
        <v>42</v>
      </c>
      <c r="B30" s="54" t="s">
        <v>182</v>
      </c>
      <c r="C30" s="54" t="s">
        <v>101</v>
      </c>
      <c r="D30" s="54" t="s">
        <v>272</v>
      </c>
      <c r="E30" s="53" t="s">
        <v>16</v>
      </c>
      <c r="F30" s="54"/>
      <c r="G30" s="49">
        <f>IF(ISNA(VLOOKUP($B30,'Other Capital Needs'!$C$51:$P$95,G$6,0)),0,VLOOKUP($B30,'Other Capital Needs'!$C$51:$P$95,G$6,0))+IF(ISNA(VLOOKUP('Project Details by Yr'!$B30,'Public Grounds'!$A$11:$N$49,G$6,0)),0,VLOOKUP('Project Details by Yr'!$B30,'Public Grounds'!$A$11:$N$49,G$6,0))+IF(ISNA(VLOOKUP('Project Details by Yr'!$B30,'Public Buildings'!$A$10:$N$96,G$6,0)),0,VLOOKUP('Project Details by Yr'!$B30,'Public Buildings'!$A$10:$N$96,G$6,0))+IF(ISNA(VLOOKUP('Project Details by Yr'!$B30,Bridges!$A$9:$N$24,G$6,0)),0,VLOOKUP('Project Details by Yr'!$B30,Bridges!$A$9:$N$24,G$6,0))+IF(ISNA(VLOOKUP('Project Details by Yr'!$B30,'Parking Lots &amp; Playgrounds'!$A$9:$N$33,G$6,0)),0,VLOOKUP('Project Details by Yr'!$B30,'Parking Lots &amp; Playgrounds'!$A$9:$N$33,G$6,0))+IF(ISNA(VLOOKUP($B30,Vehicles!$B$9:$O$50,G$6,0)),0,VLOOKUP($B30,Vehicles!$B$9:$O$50,G$6,0))</f>
        <v>0</v>
      </c>
      <c r="H30" s="50"/>
      <c r="I30" s="49">
        <f t="shared" si="0"/>
        <v>0</v>
      </c>
      <c r="J30" s="49">
        <f t="shared" si="1"/>
        <v>0</v>
      </c>
      <c r="K30" s="49">
        <f t="shared" si="2"/>
        <v>0</v>
      </c>
      <c r="L30" s="52" t="s">
        <v>292</v>
      </c>
    </row>
    <row r="31" spans="1:14" x14ac:dyDescent="0.25">
      <c r="A31" s="53">
        <v>42</v>
      </c>
      <c r="B31" s="54" t="s">
        <v>183</v>
      </c>
      <c r="C31" s="54" t="s">
        <v>101</v>
      </c>
      <c r="D31" s="54" t="s">
        <v>272</v>
      </c>
      <c r="E31" s="53" t="s">
        <v>16</v>
      </c>
      <c r="F31" s="54"/>
      <c r="G31" s="49">
        <f>IF(ISNA(VLOOKUP($B31,'Other Capital Needs'!$C$51:$P$95,G$6,0)),0,VLOOKUP($B31,'Other Capital Needs'!$C$51:$P$95,G$6,0))+IF(ISNA(VLOOKUP('Project Details by Yr'!$B31,'Public Grounds'!$A$11:$N$49,G$6,0)),0,VLOOKUP('Project Details by Yr'!$B31,'Public Grounds'!$A$11:$N$49,G$6,0))+IF(ISNA(VLOOKUP('Project Details by Yr'!$B31,'Public Buildings'!$A$10:$N$96,G$6,0)),0,VLOOKUP('Project Details by Yr'!$B31,'Public Buildings'!$A$10:$N$96,G$6,0))+IF(ISNA(VLOOKUP('Project Details by Yr'!$B31,Bridges!$A$9:$N$24,G$6,0)),0,VLOOKUP('Project Details by Yr'!$B31,Bridges!$A$9:$N$24,G$6,0))+IF(ISNA(VLOOKUP('Project Details by Yr'!$B31,'Parking Lots &amp; Playgrounds'!$A$9:$N$33,G$6,0)),0,VLOOKUP('Project Details by Yr'!$B31,'Parking Lots &amp; Playgrounds'!$A$9:$N$33,G$6,0))+IF(ISNA(VLOOKUP($B31,Vehicles!$B$9:$O$50,G$6,0)),0,VLOOKUP($B31,Vehicles!$B$9:$O$50,G$6,0))</f>
        <v>0</v>
      </c>
      <c r="H31" s="50"/>
      <c r="I31" s="49">
        <f t="shared" si="0"/>
        <v>0</v>
      </c>
      <c r="J31" s="49">
        <f t="shared" si="1"/>
        <v>0</v>
      </c>
      <c r="K31" s="49">
        <f t="shared" si="2"/>
        <v>0</v>
      </c>
      <c r="L31" s="52" t="s">
        <v>293</v>
      </c>
    </row>
    <row r="32" spans="1:14" x14ac:dyDescent="0.25">
      <c r="A32" s="53">
        <v>43</v>
      </c>
      <c r="B32" t="s">
        <v>308</v>
      </c>
      <c r="C32" s="54" t="s">
        <v>101</v>
      </c>
      <c r="D32" s="54" t="s">
        <v>272</v>
      </c>
      <c r="E32" s="53" t="s">
        <v>16</v>
      </c>
      <c r="F32" s="54"/>
      <c r="G32" s="49">
        <f>IF(ISNA(VLOOKUP($B32,'Other Capital Needs'!$C$51:$P$95,G$6,0)),0,VLOOKUP($B32,'Other Capital Needs'!$C$51:$P$95,G$6,0))+IF(ISNA(VLOOKUP('Project Details by Yr'!$B32,'Public Grounds'!$A$11:$N$49,G$6,0)),0,VLOOKUP('Project Details by Yr'!$B32,'Public Grounds'!$A$11:$N$49,G$6,0))+IF(ISNA(VLOOKUP('Project Details by Yr'!$B32,'Public Buildings'!$A$10:$N$96,G$6,0)),0,VLOOKUP('Project Details by Yr'!$B32,'Public Buildings'!$A$10:$N$96,G$6,0))+IF(ISNA(VLOOKUP('Project Details by Yr'!$B32,Bridges!$A$9:$N$24,G$6,0)),0,VLOOKUP('Project Details by Yr'!$B32,Bridges!$A$9:$N$24,G$6,0))+IF(ISNA(VLOOKUP('Project Details by Yr'!$B32,'Parking Lots &amp; Playgrounds'!$A$9:$N$33,G$6,0)),0,VLOOKUP('Project Details by Yr'!$B32,'Parking Lots &amp; Playgrounds'!$A$9:$N$33,G$6,0))+IF(ISNA(VLOOKUP($B32,Vehicles!$B$9:$O$50,G$6,0)),0,VLOOKUP($B32,Vehicles!$B$9:$O$50,G$6,0))</f>
        <v>0</v>
      </c>
      <c r="H32" s="50">
        <v>1</v>
      </c>
      <c r="I32" s="49">
        <f t="shared" si="0"/>
        <v>0</v>
      </c>
      <c r="J32" s="49">
        <f t="shared" si="1"/>
        <v>0</v>
      </c>
      <c r="K32" s="49">
        <f t="shared" si="2"/>
        <v>0</v>
      </c>
      <c r="L32" s="52"/>
    </row>
    <row r="33" spans="1:12" x14ac:dyDescent="0.25">
      <c r="A33" s="43">
        <v>43</v>
      </c>
      <c r="B33" s="40" t="s">
        <v>185</v>
      </c>
      <c r="C33" s="40" t="s">
        <v>101</v>
      </c>
      <c r="D33" s="40" t="s">
        <v>272</v>
      </c>
      <c r="E33" s="43" t="s">
        <v>16</v>
      </c>
      <c r="G33" s="49">
        <f>IF(ISNA(VLOOKUP($B33,'Other Capital Needs'!$C$51:$P$95,G$6,0)),0,VLOOKUP($B33,'Other Capital Needs'!$C$51:$P$95,G$6,0))+IF(ISNA(VLOOKUP('Project Details by Yr'!$B33,'Public Grounds'!$A$11:$N$49,G$6,0)),0,VLOOKUP('Project Details by Yr'!$B33,'Public Grounds'!$A$11:$N$49,G$6,0))+IF(ISNA(VLOOKUP('Project Details by Yr'!$B33,'Public Buildings'!$A$10:$N$96,G$6,0)),0,VLOOKUP('Project Details by Yr'!$B33,'Public Buildings'!$A$10:$N$96,G$6,0))+IF(ISNA(VLOOKUP('Project Details by Yr'!$B33,Bridges!$A$9:$N$24,G$6,0)),0,VLOOKUP('Project Details by Yr'!$B33,Bridges!$A$9:$N$24,G$6,0))+IF(ISNA(VLOOKUP('Project Details by Yr'!$B33,'Parking Lots &amp; Playgrounds'!$A$9:$N$33,G$6,0)),0,VLOOKUP('Project Details by Yr'!$B33,'Parking Lots &amp; Playgrounds'!$A$9:$N$33,G$6,0))+IF(ISNA(VLOOKUP($B33,Vehicles!$B$9:$O$50,G$6,0)),0,VLOOKUP($B33,Vehicles!$B$9:$O$50,G$6,0))</f>
        <v>0</v>
      </c>
      <c r="H33" s="50"/>
      <c r="I33" s="49">
        <f t="shared" si="0"/>
        <v>0</v>
      </c>
      <c r="J33" s="49">
        <f t="shared" si="1"/>
        <v>0</v>
      </c>
      <c r="K33" s="49">
        <f t="shared" si="2"/>
        <v>0</v>
      </c>
      <c r="L33" s="52" t="s">
        <v>294</v>
      </c>
    </row>
    <row r="34" spans="1:12" x14ac:dyDescent="0.25">
      <c r="A34" s="43">
        <v>53</v>
      </c>
      <c r="B34" s="40" t="s">
        <v>189</v>
      </c>
      <c r="C34" s="40" t="s">
        <v>101</v>
      </c>
      <c r="D34" s="40" t="s">
        <v>272</v>
      </c>
      <c r="E34" s="43" t="s">
        <v>16</v>
      </c>
      <c r="G34" s="49">
        <f>IF(ISNA(VLOOKUP($B34,'Other Capital Needs'!$C$51:$P$95,G$6,0)),0,VLOOKUP($B34,'Other Capital Needs'!$C$51:$P$95,G$6,0))+IF(ISNA(VLOOKUP('Project Details by Yr'!$B34,'Public Grounds'!$A$11:$N$49,G$6,0)),0,VLOOKUP('Project Details by Yr'!$B34,'Public Grounds'!$A$11:$N$49,G$6,0))+IF(ISNA(VLOOKUP('Project Details by Yr'!$B34,'Public Buildings'!$A$10:$N$96,G$6,0)),0,VLOOKUP('Project Details by Yr'!$B34,'Public Buildings'!$A$10:$N$96,G$6,0))+IF(ISNA(VLOOKUP('Project Details by Yr'!$B34,Bridges!$A$9:$N$24,G$6,0)),0,VLOOKUP('Project Details by Yr'!$B34,Bridges!$A$9:$N$24,G$6,0))+IF(ISNA(VLOOKUP('Project Details by Yr'!$B34,'Parking Lots &amp; Playgrounds'!$A$9:$N$33,G$6,0)),0,VLOOKUP('Project Details by Yr'!$B34,'Parking Lots &amp; Playgrounds'!$A$9:$N$33,G$6,0))+IF(ISNA(VLOOKUP($B34,Vehicles!$B$9:$O$50,G$6,0)),0,VLOOKUP($B34,Vehicles!$B$9:$O$50,G$6,0))</f>
        <v>0</v>
      </c>
      <c r="H34" s="50"/>
      <c r="I34" s="49">
        <f t="shared" si="0"/>
        <v>0</v>
      </c>
      <c r="J34" s="49">
        <f t="shared" si="1"/>
        <v>0</v>
      </c>
      <c r="K34" s="49">
        <f t="shared" si="2"/>
        <v>0</v>
      </c>
      <c r="L34" s="52" t="s">
        <v>291</v>
      </c>
    </row>
    <row r="35" spans="1:12" x14ac:dyDescent="0.25">
      <c r="A35" s="43">
        <v>53</v>
      </c>
      <c r="B35" s="40" t="s">
        <v>190</v>
      </c>
      <c r="C35" s="40" t="s">
        <v>101</v>
      </c>
      <c r="D35" s="40" t="s">
        <v>272</v>
      </c>
      <c r="E35" s="43" t="s">
        <v>16</v>
      </c>
      <c r="G35" s="49">
        <f>IF(ISNA(VLOOKUP($B35,'Other Capital Needs'!$C$51:$P$95,G$6,0)),0,VLOOKUP($B35,'Other Capital Needs'!$C$51:$P$95,G$6,0))+IF(ISNA(VLOOKUP('Project Details by Yr'!$B35,'Public Grounds'!$A$11:$N$49,G$6,0)),0,VLOOKUP('Project Details by Yr'!$B35,'Public Grounds'!$A$11:$N$49,G$6,0))+IF(ISNA(VLOOKUP('Project Details by Yr'!$B35,'Public Buildings'!$A$10:$N$96,G$6,0)),0,VLOOKUP('Project Details by Yr'!$B35,'Public Buildings'!$A$10:$N$96,G$6,0))+IF(ISNA(VLOOKUP('Project Details by Yr'!$B35,Bridges!$A$9:$N$24,G$6,0)),0,VLOOKUP('Project Details by Yr'!$B35,Bridges!$A$9:$N$24,G$6,0))+IF(ISNA(VLOOKUP('Project Details by Yr'!$B35,'Parking Lots &amp; Playgrounds'!$A$9:$N$33,G$6,0)),0,VLOOKUP('Project Details by Yr'!$B35,'Parking Lots &amp; Playgrounds'!$A$9:$N$33,G$6,0))+IF(ISNA(VLOOKUP($B35,Vehicles!$B$9:$O$50,G$6,0)),0,VLOOKUP($B35,Vehicles!$B$9:$O$50,G$6,0))</f>
        <v>0</v>
      </c>
      <c r="H35" s="50"/>
      <c r="I35" s="49">
        <f t="shared" si="0"/>
        <v>0</v>
      </c>
      <c r="J35" s="49">
        <f t="shared" si="1"/>
        <v>0</v>
      </c>
      <c r="K35" s="49">
        <f t="shared" si="2"/>
        <v>0</v>
      </c>
      <c r="L35" s="52" t="s">
        <v>291</v>
      </c>
    </row>
    <row r="36" spans="1:12" x14ac:dyDescent="0.25">
      <c r="B36" s="40" t="s">
        <v>12</v>
      </c>
      <c r="C36" s="54" t="s">
        <v>46</v>
      </c>
      <c r="D36" s="54" t="s">
        <v>272</v>
      </c>
      <c r="E36" s="43" t="s">
        <v>16</v>
      </c>
      <c r="G36" s="49">
        <f>IF(ISNA(VLOOKUP($B36,'Other Capital Needs'!$C$51:$P$95,G$6,0)),0,VLOOKUP($B36,'Other Capital Needs'!$C$51:$P$95,G$6,0))+IF(ISNA(VLOOKUP('Project Details by Yr'!$B36,'Public Grounds'!$A$11:$N$49,G$6,0)),0,VLOOKUP('Project Details by Yr'!$B36,'Public Grounds'!$A$11:$N$49,G$6,0))+IF(ISNA(VLOOKUP('Project Details by Yr'!$B36,'Public Buildings'!$A$10:$N$96,G$6,0)),0,VLOOKUP('Project Details by Yr'!$B36,'Public Buildings'!$A$10:$N$96,G$6,0))+IF(ISNA(VLOOKUP('Project Details by Yr'!$B36,Bridges!$A$9:$N$24,G$6,0)),0,VLOOKUP('Project Details by Yr'!$B36,Bridges!$A$9:$N$24,G$6,0))+IF(ISNA(VLOOKUP('Project Details by Yr'!$B36,'Parking Lots &amp; Playgrounds'!$A$9:$N$33,G$6,0)),0,VLOOKUP('Project Details by Yr'!$B36,'Parking Lots &amp; Playgrounds'!$A$9:$N$33,G$6,0))+IF(ISNA(VLOOKUP($B36,Vehicles!$B$9:$O$50,G$6,0)),0,VLOOKUP($B36,Vehicles!$B$9:$O$50,G$6,0))</f>
        <v>892000</v>
      </c>
      <c r="H36" s="50">
        <v>1</v>
      </c>
      <c r="I36" s="49">
        <f t="shared" si="0"/>
        <v>0</v>
      </c>
      <c r="J36" s="51">
        <f t="shared" si="1"/>
        <v>892000</v>
      </c>
      <c r="K36" s="49">
        <f t="shared" si="2"/>
        <v>0</v>
      </c>
    </row>
    <row r="37" spans="1:12" x14ac:dyDescent="0.25">
      <c r="B37" s="40" t="s">
        <v>283</v>
      </c>
      <c r="C37" s="54" t="s">
        <v>46</v>
      </c>
      <c r="D37" s="54" t="s">
        <v>272</v>
      </c>
      <c r="E37" s="43" t="s">
        <v>16</v>
      </c>
      <c r="G37" s="49">
        <f>IF(ISNA(VLOOKUP($B37,'Other Capital Needs'!$C$51:$P$95,G$6,0)),0,VLOOKUP($B37,'Other Capital Needs'!$C$51:$P$95,G$6,0))+IF(ISNA(VLOOKUP('Project Details by Yr'!$B37,'Public Grounds'!$A$11:$N$49,G$6,0)),0,VLOOKUP('Project Details by Yr'!$B37,'Public Grounds'!$A$11:$N$49,G$6,0))+IF(ISNA(VLOOKUP('Project Details by Yr'!$B37,'Public Buildings'!$A$10:$N$96,G$6,0)),0,VLOOKUP('Project Details by Yr'!$B37,'Public Buildings'!$A$10:$N$96,G$6,0))+IF(ISNA(VLOOKUP('Project Details by Yr'!$B37,Bridges!$A$9:$N$24,G$6,0)),0,VLOOKUP('Project Details by Yr'!$B37,Bridges!$A$9:$N$24,G$6,0))+IF(ISNA(VLOOKUP('Project Details by Yr'!$B37,'Parking Lots &amp; Playgrounds'!$A$9:$N$33,G$6,0)),0,VLOOKUP('Project Details by Yr'!$B37,'Parking Lots &amp; Playgrounds'!$A$9:$N$33,G$6,0))+IF(ISNA(VLOOKUP($B37,Vehicles!$B$9:$O$50,G$6,0)),0,VLOOKUP($B37,Vehicles!$B$9:$O$50,G$6,0))</f>
        <v>0</v>
      </c>
      <c r="H37" s="50">
        <v>1</v>
      </c>
      <c r="I37" s="49">
        <f t="shared" si="0"/>
        <v>0</v>
      </c>
      <c r="J37" s="49">
        <f t="shared" si="1"/>
        <v>0</v>
      </c>
      <c r="K37" s="49">
        <f t="shared" si="2"/>
        <v>0</v>
      </c>
    </row>
    <row r="38" spans="1:12" x14ac:dyDescent="0.25">
      <c r="B38" s="40" t="s">
        <v>20</v>
      </c>
      <c r="C38" s="54" t="s">
        <v>46</v>
      </c>
      <c r="D38" s="54" t="s">
        <v>272</v>
      </c>
      <c r="E38" s="43" t="s">
        <v>16</v>
      </c>
      <c r="G38" s="49">
        <f>IF(ISNA(VLOOKUP($B38,'Other Capital Needs'!$C$51:$P$95,G$6,0)),0,VLOOKUP($B38,'Other Capital Needs'!$C$51:$P$95,G$6,0))+IF(ISNA(VLOOKUP('Project Details by Yr'!$B38,'Public Grounds'!$A$11:$N$49,G$6,0)),0,VLOOKUP('Project Details by Yr'!$B38,'Public Grounds'!$A$11:$N$49,G$6,0))+IF(ISNA(VLOOKUP('Project Details by Yr'!$B38,'Public Buildings'!$A$10:$N$96,G$6,0)),0,VLOOKUP('Project Details by Yr'!$B38,'Public Buildings'!$A$10:$N$96,G$6,0))+IF(ISNA(VLOOKUP('Project Details by Yr'!$B38,Bridges!$A$9:$N$24,G$6,0)),0,VLOOKUP('Project Details by Yr'!$B38,Bridges!$A$9:$N$24,G$6,0))+IF(ISNA(VLOOKUP('Project Details by Yr'!$B38,'Parking Lots &amp; Playgrounds'!$A$9:$N$33,G$6,0)),0,VLOOKUP('Project Details by Yr'!$B38,'Parking Lots &amp; Playgrounds'!$A$9:$N$33,G$6,0))+IF(ISNA(VLOOKUP($B38,Vehicles!$B$9:$O$50,G$6,0)),0,VLOOKUP($B38,Vehicles!$B$9:$O$50,G$6,0))</f>
        <v>105000</v>
      </c>
      <c r="H38" s="50"/>
      <c r="I38" s="49">
        <f t="shared" si="0"/>
        <v>0</v>
      </c>
      <c r="J38" s="49">
        <f t="shared" si="1"/>
        <v>0</v>
      </c>
      <c r="K38" s="49">
        <f t="shared" si="2"/>
        <v>0</v>
      </c>
    </row>
    <row r="39" spans="1:12" x14ac:dyDescent="0.25">
      <c r="B39" s="40" t="s">
        <v>21</v>
      </c>
      <c r="C39" s="54" t="s">
        <v>46</v>
      </c>
      <c r="D39" s="54" t="s">
        <v>272</v>
      </c>
      <c r="E39" s="43" t="s">
        <v>16</v>
      </c>
      <c r="G39" s="49">
        <f>IF(ISNA(VLOOKUP($B39,'Other Capital Needs'!$C$51:$P$95,G$6,0)),0,VLOOKUP($B39,'Other Capital Needs'!$C$51:$P$95,G$6,0))+IF(ISNA(VLOOKUP('Project Details by Yr'!$B39,'Public Grounds'!$A$11:$N$49,G$6,0)),0,VLOOKUP('Project Details by Yr'!$B39,'Public Grounds'!$A$11:$N$49,G$6,0))+IF(ISNA(VLOOKUP('Project Details by Yr'!$B39,'Public Buildings'!$A$10:$N$96,G$6,0)),0,VLOOKUP('Project Details by Yr'!$B39,'Public Buildings'!$A$10:$N$96,G$6,0))+IF(ISNA(VLOOKUP('Project Details by Yr'!$B39,Bridges!$A$9:$N$24,G$6,0)),0,VLOOKUP('Project Details by Yr'!$B39,Bridges!$A$9:$N$24,G$6,0))+IF(ISNA(VLOOKUP('Project Details by Yr'!$B39,'Parking Lots &amp; Playgrounds'!$A$9:$N$33,G$6,0)),0,VLOOKUP('Project Details by Yr'!$B39,'Parking Lots &amp; Playgrounds'!$A$9:$N$33,G$6,0))+IF(ISNA(VLOOKUP($B39,Vehicles!$B$9:$O$50,G$6,0)),0,VLOOKUP($B39,Vehicles!$B$9:$O$50,G$6,0))</f>
        <v>0</v>
      </c>
      <c r="H39" s="50"/>
      <c r="I39" s="49">
        <f t="shared" si="0"/>
        <v>0</v>
      </c>
      <c r="J39" s="49">
        <f t="shared" si="1"/>
        <v>0</v>
      </c>
      <c r="K39" s="49">
        <f t="shared" si="2"/>
        <v>0</v>
      </c>
    </row>
    <row r="40" spans="1:12" x14ac:dyDescent="0.25">
      <c r="B40" s="40" t="s">
        <v>22</v>
      </c>
      <c r="C40" s="54" t="s">
        <v>46</v>
      </c>
      <c r="D40" s="54" t="s">
        <v>272</v>
      </c>
      <c r="E40" s="43" t="s">
        <v>16</v>
      </c>
      <c r="G40" s="49">
        <f>IF(ISNA(VLOOKUP($B40,'Other Capital Needs'!$C$51:$P$95,G$6,0)),0,VLOOKUP($B40,'Other Capital Needs'!$C$51:$P$95,G$6,0))+IF(ISNA(VLOOKUP('Project Details by Yr'!$B40,'Public Grounds'!$A$11:$N$49,G$6,0)),0,VLOOKUP('Project Details by Yr'!$B40,'Public Grounds'!$A$11:$N$49,G$6,0))+IF(ISNA(VLOOKUP('Project Details by Yr'!$B40,'Public Buildings'!$A$10:$N$96,G$6,0)),0,VLOOKUP('Project Details by Yr'!$B40,'Public Buildings'!$A$10:$N$96,G$6,0))+IF(ISNA(VLOOKUP('Project Details by Yr'!$B40,Bridges!$A$9:$N$24,G$6,0)),0,VLOOKUP('Project Details by Yr'!$B40,Bridges!$A$9:$N$24,G$6,0))+IF(ISNA(VLOOKUP('Project Details by Yr'!$B40,'Parking Lots &amp; Playgrounds'!$A$9:$N$33,G$6,0)),0,VLOOKUP('Project Details by Yr'!$B40,'Parking Lots &amp; Playgrounds'!$A$9:$N$33,G$6,0))+IF(ISNA(VLOOKUP($B40,Vehicles!$B$9:$O$50,G$6,0)),0,VLOOKUP($B40,Vehicles!$B$9:$O$50,G$6,0))</f>
        <v>10000</v>
      </c>
      <c r="H40" s="50"/>
      <c r="I40" s="49">
        <f t="shared" si="0"/>
        <v>0</v>
      </c>
      <c r="J40" s="49">
        <f t="shared" si="1"/>
        <v>0</v>
      </c>
      <c r="K40" s="49">
        <f t="shared" si="2"/>
        <v>0</v>
      </c>
    </row>
    <row r="41" spans="1:12" x14ac:dyDescent="0.25">
      <c r="B41" s="40" t="s">
        <v>23</v>
      </c>
      <c r="C41" s="54" t="s">
        <v>46</v>
      </c>
      <c r="D41" s="54" t="s">
        <v>272</v>
      </c>
      <c r="E41" s="43" t="s">
        <v>16</v>
      </c>
      <c r="G41" s="49">
        <f>IF(ISNA(VLOOKUP($B41,'Other Capital Needs'!$C$51:$P$95,G$6,0)),0,VLOOKUP($B41,'Other Capital Needs'!$C$51:$P$95,G$6,0))+IF(ISNA(VLOOKUP('Project Details by Yr'!$B41,'Public Grounds'!$A$11:$N$49,G$6,0)),0,VLOOKUP('Project Details by Yr'!$B41,'Public Grounds'!$A$11:$N$49,G$6,0))+IF(ISNA(VLOOKUP('Project Details by Yr'!$B41,'Public Buildings'!$A$10:$N$96,G$6,0)),0,VLOOKUP('Project Details by Yr'!$B41,'Public Buildings'!$A$10:$N$96,G$6,0))+IF(ISNA(VLOOKUP('Project Details by Yr'!$B41,Bridges!$A$9:$N$24,G$6,0)),0,VLOOKUP('Project Details by Yr'!$B41,Bridges!$A$9:$N$24,G$6,0))+IF(ISNA(VLOOKUP('Project Details by Yr'!$B41,'Parking Lots &amp; Playgrounds'!$A$9:$N$33,G$6,0)),0,VLOOKUP('Project Details by Yr'!$B41,'Parking Lots &amp; Playgrounds'!$A$9:$N$33,G$6,0))+IF(ISNA(VLOOKUP($B41,Vehicles!$B$9:$O$50,G$6,0)),0,VLOOKUP($B41,Vehicles!$B$9:$O$50,G$6,0))</f>
        <v>15000</v>
      </c>
      <c r="H41" s="50"/>
      <c r="I41" s="49">
        <f t="shared" si="0"/>
        <v>0</v>
      </c>
      <c r="J41" s="49">
        <f t="shared" si="1"/>
        <v>0</v>
      </c>
      <c r="K41" s="49">
        <f t="shared" si="2"/>
        <v>0</v>
      </c>
    </row>
    <row r="42" spans="1:12" x14ac:dyDescent="0.25">
      <c r="B42" s="40" t="s">
        <v>17</v>
      </c>
      <c r="C42" s="54" t="s">
        <v>46</v>
      </c>
      <c r="D42" s="54" t="s">
        <v>272</v>
      </c>
      <c r="E42" s="43" t="s">
        <v>16</v>
      </c>
      <c r="G42" s="49">
        <f>IF(ISNA(VLOOKUP($B42,'Other Capital Needs'!$C$51:$P$95,G$6,0)),0,VLOOKUP($B42,'Other Capital Needs'!$C$51:$P$95,G$6,0))+IF(ISNA(VLOOKUP('Project Details by Yr'!$B42,'Public Grounds'!$A$11:$N$49,G$6,0)),0,VLOOKUP('Project Details by Yr'!$B42,'Public Grounds'!$A$11:$N$49,G$6,0))+IF(ISNA(VLOOKUP('Project Details by Yr'!$B42,'Public Buildings'!$A$10:$N$96,G$6,0)),0,VLOOKUP('Project Details by Yr'!$B42,'Public Buildings'!$A$10:$N$96,G$6,0))+IF(ISNA(VLOOKUP('Project Details by Yr'!$B42,Bridges!$A$9:$N$24,G$6,0)),0,VLOOKUP('Project Details by Yr'!$B42,Bridges!$A$9:$N$24,G$6,0))+IF(ISNA(VLOOKUP('Project Details by Yr'!$B42,'Parking Lots &amp; Playgrounds'!$A$9:$N$33,G$6,0)),0,VLOOKUP('Project Details by Yr'!$B42,'Parking Lots &amp; Playgrounds'!$A$9:$N$33,G$6,0))+IF(ISNA(VLOOKUP($B42,Vehicles!$B$9:$O$50,G$6,0)),0,VLOOKUP($B42,Vehicles!$B$9:$O$50,G$6,0))</f>
        <v>0</v>
      </c>
      <c r="H42" s="50">
        <v>1</v>
      </c>
      <c r="I42" s="49">
        <f t="shared" si="0"/>
        <v>0</v>
      </c>
      <c r="J42" s="51">
        <v>186750</v>
      </c>
      <c r="K42" s="49">
        <f t="shared" si="2"/>
        <v>0</v>
      </c>
      <c r="L42" s="52"/>
    </row>
    <row r="43" spans="1:12" x14ac:dyDescent="0.25">
      <c r="B43" s="40" t="s">
        <v>212</v>
      </c>
      <c r="C43" s="40" t="s">
        <v>47</v>
      </c>
      <c r="D43" s="40" t="s">
        <v>272</v>
      </c>
      <c r="E43" s="43" t="s">
        <v>16</v>
      </c>
      <c r="G43" s="49">
        <f>IF(ISNA(VLOOKUP($B43,'Other Capital Needs'!$C$51:$P$95,G$6,0)),0,VLOOKUP($B43,'Other Capital Needs'!$C$51:$P$95,G$6,0))+IF(ISNA(VLOOKUP('Project Details by Yr'!$B43,'Public Grounds'!$A$11:$N$49,G$6,0)),0,VLOOKUP('Project Details by Yr'!$B43,'Public Grounds'!$A$11:$N$49,G$6,0))+IF(ISNA(VLOOKUP('Project Details by Yr'!$B43,'Public Buildings'!$A$10:$N$96,G$6,0)),0,VLOOKUP('Project Details by Yr'!$B43,'Public Buildings'!$A$10:$N$96,G$6,0))+IF(ISNA(VLOOKUP('Project Details by Yr'!$B43,Bridges!$A$9:$N$24,G$6,0)),0,VLOOKUP('Project Details by Yr'!$B43,Bridges!$A$9:$N$24,G$6,0))+IF(ISNA(VLOOKUP('Project Details by Yr'!$B43,'Parking Lots &amp; Playgrounds'!$A$9:$N$33,G$6,0)),0,VLOOKUP('Project Details by Yr'!$B43,'Parking Lots &amp; Playgrounds'!$A$9:$N$33,G$6,0))+IF(ISNA(VLOOKUP($B43,Vehicles!$B$9:$O$50,G$6,0)),0,VLOOKUP($B43,Vehicles!$B$9:$O$50,G$6,0))</f>
        <v>0</v>
      </c>
      <c r="H43" s="50"/>
      <c r="I43" s="49">
        <f t="shared" si="0"/>
        <v>0</v>
      </c>
      <c r="J43" s="49">
        <f t="shared" si="1"/>
        <v>0</v>
      </c>
      <c r="K43" s="49">
        <f t="shared" si="2"/>
        <v>0</v>
      </c>
      <c r="L43" s="52" t="s">
        <v>290</v>
      </c>
    </row>
    <row r="44" spans="1:12" x14ac:dyDescent="0.25">
      <c r="B44" s="40" t="s">
        <v>213</v>
      </c>
      <c r="C44" s="40" t="s">
        <v>47</v>
      </c>
      <c r="D44" s="40" t="s">
        <v>272</v>
      </c>
      <c r="E44" s="43" t="s">
        <v>16</v>
      </c>
      <c r="G44" s="49">
        <f>IF(ISNA(VLOOKUP($B44,'Other Capital Needs'!$C$51:$P$95,G$6,0)),0,VLOOKUP($B44,'Other Capital Needs'!$C$51:$P$95,G$6,0))+IF(ISNA(VLOOKUP('Project Details by Yr'!$B44,'Public Grounds'!$A$11:$N$49,G$6,0)),0,VLOOKUP('Project Details by Yr'!$B44,'Public Grounds'!$A$11:$N$49,G$6,0))+IF(ISNA(VLOOKUP('Project Details by Yr'!$B44,'Public Buildings'!$A$10:$N$96,G$6,0)),0,VLOOKUP('Project Details by Yr'!$B44,'Public Buildings'!$A$10:$N$96,G$6,0))+IF(ISNA(VLOOKUP('Project Details by Yr'!$B44,Bridges!$A$9:$N$24,G$6,0)),0,VLOOKUP('Project Details by Yr'!$B44,Bridges!$A$9:$N$24,G$6,0))+IF(ISNA(VLOOKUP('Project Details by Yr'!$B44,'Parking Lots &amp; Playgrounds'!$A$9:$N$33,G$6,0)),0,VLOOKUP('Project Details by Yr'!$B44,'Parking Lots &amp; Playgrounds'!$A$9:$N$33,G$6,0))+IF(ISNA(VLOOKUP($B44,Vehicles!$B$9:$O$50,G$6,0)),0,VLOOKUP($B44,Vehicles!$B$9:$O$50,G$6,0))</f>
        <v>0</v>
      </c>
      <c r="H44" s="50"/>
      <c r="I44" s="49">
        <f t="shared" si="0"/>
        <v>0</v>
      </c>
      <c r="J44" s="49">
        <f t="shared" si="1"/>
        <v>0</v>
      </c>
      <c r="K44" s="49">
        <f t="shared" si="2"/>
        <v>0</v>
      </c>
      <c r="L44" s="52" t="s">
        <v>291</v>
      </c>
    </row>
    <row r="45" spans="1:12" x14ac:dyDescent="0.25">
      <c r="B45" s="40" t="s">
        <v>224</v>
      </c>
      <c r="C45" s="40" t="s">
        <v>47</v>
      </c>
      <c r="D45" s="40" t="s">
        <v>272</v>
      </c>
      <c r="E45" s="43" t="s">
        <v>16</v>
      </c>
      <c r="G45" s="49">
        <f>IF(ISNA(VLOOKUP($B45,'Other Capital Needs'!$C$51:$P$95,G$6,0)),0,VLOOKUP($B45,'Other Capital Needs'!$C$51:$P$95,G$6,0))+IF(ISNA(VLOOKUP('Project Details by Yr'!$B45,'Public Grounds'!$A$11:$N$49,G$6,0)),0,VLOOKUP('Project Details by Yr'!$B45,'Public Grounds'!$A$11:$N$49,G$6,0))+IF(ISNA(VLOOKUP('Project Details by Yr'!$B45,'Public Buildings'!$A$10:$N$96,G$6,0)),0,VLOOKUP('Project Details by Yr'!$B45,'Public Buildings'!$A$10:$N$96,G$6,0))+IF(ISNA(VLOOKUP('Project Details by Yr'!$B45,Bridges!$A$9:$N$24,G$6,0)),0,VLOOKUP('Project Details by Yr'!$B45,Bridges!$A$9:$N$24,G$6,0))+IF(ISNA(VLOOKUP('Project Details by Yr'!$B45,'Parking Lots &amp; Playgrounds'!$A$9:$N$33,G$6,0)),0,VLOOKUP('Project Details by Yr'!$B45,'Parking Lots &amp; Playgrounds'!$A$9:$N$33,G$6,0))+IF(ISNA(VLOOKUP($B45,Vehicles!$B$9:$O$50,G$6,0)),0,VLOOKUP($B45,Vehicles!$B$9:$O$50,G$6,0))</f>
        <v>45000</v>
      </c>
      <c r="H45" s="50"/>
      <c r="I45" s="49">
        <f t="shared" si="0"/>
        <v>0</v>
      </c>
      <c r="J45" s="49">
        <f t="shared" si="1"/>
        <v>0</v>
      </c>
      <c r="K45" s="49">
        <f t="shared" si="2"/>
        <v>0</v>
      </c>
    </row>
    <row r="46" spans="1:12" x14ac:dyDescent="0.25">
      <c r="B46" s="54" t="s">
        <v>217</v>
      </c>
      <c r="C46" s="54" t="s">
        <v>47</v>
      </c>
      <c r="D46" s="54" t="s">
        <v>272</v>
      </c>
      <c r="E46" s="53" t="s">
        <v>16</v>
      </c>
      <c r="F46" s="54"/>
      <c r="G46" s="49">
        <f>IF(ISNA(VLOOKUP($B46,'Other Capital Needs'!$C$51:$P$95,G$6,0)),0,VLOOKUP($B46,'Other Capital Needs'!$C$51:$P$95,G$6,0))+IF(ISNA(VLOOKUP('Project Details by Yr'!$B46,'Public Grounds'!$A$11:$N$49,G$6,0)),0,VLOOKUP('Project Details by Yr'!$B46,'Public Grounds'!$A$11:$N$49,G$6,0))+IF(ISNA(VLOOKUP('Project Details by Yr'!$B46,'Public Buildings'!$A$10:$N$96,G$6,0)),0,VLOOKUP('Project Details by Yr'!$B46,'Public Buildings'!$A$10:$N$96,G$6,0))+IF(ISNA(VLOOKUP('Project Details by Yr'!$B46,Bridges!$A$9:$N$24,G$6,0)),0,VLOOKUP('Project Details by Yr'!$B46,Bridges!$A$9:$N$24,G$6,0))+IF(ISNA(VLOOKUP('Project Details by Yr'!$B46,'Parking Lots &amp; Playgrounds'!$A$9:$N$33,G$6,0)),0,VLOOKUP('Project Details by Yr'!$B46,'Parking Lots &amp; Playgrounds'!$A$9:$N$33,G$6,0))+IF(ISNA(VLOOKUP($B46,Vehicles!$B$9:$O$50,G$6,0)),0,VLOOKUP($B46,Vehicles!$B$9:$O$50,G$6,0))</f>
        <v>0</v>
      </c>
      <c r="H46" s="50"/>
      <c r="I46" s="49">
        <f t="shared" si="0"/>
        <v>0</v>
      </c>
      <c r="J46" s="49">
        <f t="shared" si="1"/>
        <v>0</v>
      </c>
      <c r="K46" s="49">
        <f t="shared" si="2"/>
        <v>0</v>
      </c>
    </row>
    <row r="47" spans="1:12" x14ac:dyDescent="0.25">
      <c r="B47" s="54" t="s">
        <v>219</v>
      </c>
      <c r="C47" s="54" t="s">
        <v>280</v>
      </c>
      <c r="D47" s="54" t="s">
        <v>272</v>
      </c>
      <c r="E47" s="53" t="s">
        <v>16</v>
      </c>
      <c r="F47" s="54"/>
      <c r="G47" s="49">
        <f>IF(ISNA(VLOOKUP($B47,'Other Capital Needs'!$C$51:$P$95,G$6,0)),0,VLOOKUP($B47,'Other Capital Needs'!$C$51:$P$95,G$6,0))+IF(ISNA(VLOOKUP('Project Details by Yr'!$B47,'Public Grounds'!$A$11:$N$49,G$6,0)),0,VLOOKUP('Project Details by Yr'!$B47,'Public Grounds'!$A$11:$N$49,G$6,0))+IF(ISNA(VLOOKUP('Project Details by Yr'!$B47,'Public Buildings'!$A$10:$N$96,G$6,0)),0,VLOOKUP('Project Details by Yr'!$B47,'Public Buildings'!$A$10:$N$96,G$6,0))+IF(ISNA(VLOOKUP('Project Details by Yr'!$B47,Bridges!$A$9:$N$24,G$6,0)),0,VLOOKUP('Project Details by Yr'!$B47,Bridges!$A$9:$N$24,G$6,0))+IF(ISNA(VLOOKUP('Project Details by Yr'!$B47,'Parking Lots &amp; Playgrounds'!$A$9:$N$33,G$6,0)),0,VLOOKUP('Project Details by Yr'!$B47,'Parking Lots &amp; Playgrounds'!$A$9:$N$33,G$6,0))+IF(ISNA(VLOOKUP($B47,Vehicles!$B$9:$O$50,G$6,0)),0,VLOOKUP($B47,Vehicles!$B$9:$O$50,G$6,0))</f>
        <v>325000</v>
      </c>
      <c r="H47" s="50">
        <v>1</v>
      </c>
      <c r="I47" s="49">
        <f t="shared" si="0"/>
        <v>0</v>
      </c>
      <c r="J47" s="51">
        <f t="shared" si="1"/>
        <v>325000</v>
      </c>
      <c r="K47" s="49">
        <f t="shared" si="2"/>
        <v>0</v>
      </c>
    </row>
    <row r="48" spans="1:12" x14ac:dyDescent="0.25">
      <c r="B48" s="57" t="s">
        <v>227</v>
      </c>
      <c r="C48" s="40" t="s">
        <v>281</v>
      </c>
      <c r="D48" s="40" t="s">
        <v>272</v>
      </c>
      <c r="E48" s="43" t="s">
        <v>16</v>
      </c>
      <c r="G48" s="49">
        <f>IF(ISNA(VLOOKUP($B48,'Other Capital Needs'!$C$51:$P$95,G$6,0)),0,VLOOKUP($B48,'Other Capital Needs'!$C$51:$P$95,G$6,0))+IF(ISNA(VLOOKUP('Project Details by Yr'!$B48,'Public Grounds'!$A$11:$N$49,G$6,0)),0,VLOOKUP('Project Details by Yr'!$B48,'Public Grounds'!$A$11:$N$49,G$6,0))+IF(ISNA(VLOOKUP('Project Details by Yr'!$B48,'Public Buildings'!$A$10:$N$96,G$6,0)),0,VLOOKUP('Project Details by Yr'!$B48,'Public Buildings'!$A$10:$N$96,G$6,0))+IF(ISNA(VLOOKUP('Project Details by Yr'!$B48,Bridges!$A$9:$N$24,G$6,0)),0,VLOOKUP('Project Details by Yr'!$B48,Bridges!$A$9:$N$24,G$6,0))+IF(ISNA(VLOOKUP('Project Details by Yr'!$B48,'Parking Lots &amp; Playgrounds'!$A$9:$N$33,G$6,0)),0,VLOOKUP('Project Details by Yr'!$B48,'Parking Lots &amp; Playgrounds'!$A$9:$N$33,G$6,0))+IF(ISNA(VLOOKUP($B48,Vehicles!$B$9:$O$50,G$6,0)),0,VLOOKUP($B48,Vehicles!$B$9:$O$50,G$6,0))</f>
        <v>150000</v>
      </c>
      <c r="H48" s="50"/>
      <c r="I48" s="49">
        <f t="shared" si="0"/>
        <v>0</v>
      </c>
      <c r="J48" s="49">
        <f t="shared" si="1"/>
        <v>0</v>
      </c>
      <c r="K48" s="49">
        <f t="shared" si="2"/>
        <v>0</v>
      </c>
    </row>
    <row r="49" spans="2:12" x14ac:dyDescent="0.25">
      <c r="B49" s="40" t="s">
        <v>225</v>
      </c>
      <c r="C49" s="40" t="s">
        <v>47</v>
      </c>
      <c r="D49" s="40" t="s">
        <v>272</v>
      </c>
      <c r="E49" s="43" t="s">
        <v>16</v>
      </c>
      <c r="G49" s="49">
        <f>IF(ISNA(VLOOKUP($B49,'Other Capital Needs'!$C$51:$P$95,G$6,0)),0,VLOOKUP($B49,'Other Capital Needs'!$C$51:$P$95,G$6,0))+IF(ISNA(VLOOKUP('Project Details by Yr'!$B49,'Public Grounds'!$A$11:$N$49,G$6,0)),0,VLOOKUP('Project Details by Yr'!$B49,'Public Grounds'!$A$11:$N$49,G$6,0))+IF(ISNA(VLOOKUP('Project Details by Yr'!$B49,'Public Buildings'!$A$10:$N$96,G$6,0)),0,VLOOKUP('Project Details by Yr'!$B49,'Public Buildings'!$A$10:$N$96,G$6,0))+IF(ISNA(VLOOKUP('Project Details by Yr'!$B49,Bridges!$A$9:$N$24,G$6,0)),0,VLOOKUP('Project Details by Yr'!$B49,Bridges!$A$9:$N$24,G$6,0))+IF(ISNA(VLOOKUP('Project Details by Yr'!$B49,'Parking Lots &amp; Playgrounds'!$A$9:$N$33,G$6,0)),0,VLOOKUP('Project Details by Yr'!$B49,'Parking Lots &amp; Playgrounds'!$A$9:$N$33,G$6,0))+IF(ISNA(VLOOKUP($B49,Vehicles!$B$9:$O$50,G$6,0)),0,VLOOKUP($B49,Vehicles!$B$9:$O$50,G$6,0))</f>
        <v>25000</v>
      </c>
      <c r="H49" s="50">
        <v>1</v>
      </c>
      <c r="I49" s="49">
        <f t="shared" si="0"/>
        <v>0</v>
      </c>
      <c r="J49" s="49">
        <f t="shared" si="1"/>
        <v>25000</v>
      </c>
      <c r="K49" s="49">
        <f t="shared" si="2"/>
        <v>0</v>
      </c>
    </row>
    <row r="50" spans="2:12" x14ac:dyDescent="0.25">
      <c r="B50" s="40" t="s">
        <v>240</v>
      </c>
      <c r="C50" s="40" t="s">
        <v>47</v>
      </c>
      <c r="D50" s="40" t="s">
        <v>273</v>
      </c>
      <c r="E50" s="43" t="s">
        <v>19</v>
      </c>
      <c r="G50" s="49">
        <f>IF(ISNA(VLOOKUP($B50,'Other Capital Needs'!$C$51:$P$95,G$6,0)),0,VLOOKUP($B50,'Other Capital Needs'!$C$51:$P$95,G$6,0))+IF(ISNA(VLOOKUP('Project Details by Yr'!$B50,'Public Grounds'!$A$11:$N$49,G$6,0)),0,VLOOKUP('Project Details by Yr'!$B50,'Public Grounds'!$A$11:$N$49,G$6,0))+IF(ISNA(VLOOKUP('Project Details by Yr'!$B50,'Public Buildings'!$A$10:$N$96,G$6,0)),0,VLOOKUP('Project Details by Yr'!$B50,'Public Buildings'!$A$10:$N$96,G$6,0))+IF(ISNA(VLOOKUP('Project Details by Yr'!$B50,Bridges!$A$9:$N$24,G$6,0)),0,VLOOKUP('Project Details by Yr'!$B50,Bridges!$A$9:$N$24,G$6,0))+IF(ISNA(VLOOKUP('Project Details by Yr'!$B50,'Parking Lots &amp; Playgrounds'!$A$9:$N$33,G$6,0)),0,VLOOKUP('Project Details by Yr'!$B50,'Parking Lots &amp; Playgrounds'!$A$9:$N$33,G$6,0))+IF(ISNA(VLOOKUP($B50,Vehicles!$B$9:$O$50,G$6,0)),0,VLOOKUP($B50,Vehicles!$B$9:$O$50,G$6,0))</f>
        <v>0</v>
      </c>
      <c r="H50" s="50">
        <v>1</v>
      </c>
      <c r="I50" s="49">
        <f t="shared" si="0"/>
        <v>0</v>
      </c>
      <c r="J50" s="49">
        <f t="shared" si="1"/>
        <v>0</v>
      </c>
      <c r="K50" s="49">
        <f t="shared" si="2"/>
        <v>0</v>
      </c>
    </row>
    <row r="51" spans="2:12" x14ac:dyDescent="0.25">
      <c r="B51" s="40" t="s">
        <v>144</v>
      </c>
      <c r="C51" s="40" t="s">
        <v>47</v>
      </c>
      <c r="D51" s="40" t="s">
        <v>273</v>
      </c>
      <c r="E51" s="43" t="s">
        <v>16</v>
      </c>
      <c r="G51" s="49">
        <f>IF(ISNA(VLOOKUP($B51,'Other Capital Needs'!$C$51:$P$95,G$6,0)),0,VLOOKUP($B51,'Other Capital Needs'!$C$51:$P$95,G$6,0))+IF(ISNA(VLOOKUP('Project Details by Yr'!$B51,'Public Grounds'!$A$11:$N$49,G$6,0)),0,VLOOKUP('Project Details by Yr'!$B51,'Public Grounds'!$A$11:$N$49,G$6,0))+IF(ISNA(VLOOKUP('Project Details by Yr'!$B51,'Public Buildings'!$A$10:$N$96,G$6,0)),0,VLOOKUP('Project Details by Yr'!$B51,'Public Buildings'!$A$10:$N$96,G$6,0))+IF(ISNA(VLOOKUP('Project Details by Yr'!$B51,Bridges!$A$9:$N$24,G$6,0)),0,VLOOKUP('Project Details by Yr'!$B51,Bridges!$A$9:$N$24,G$6,0))+IF(ISNA(VLOOKUP('Project Details by Yr'!$B51,'Parking Lots &amp; Playgrounds'!$A$9:$N$33,G$6,0)),0,VLOOKUP('Project Details by Yr'!$B51,'Parking Lots &amp; Playgrounds'!$A$9:$N$33,G$6,0))+IF(ISNA(VLOOKUP($B51,Vehicles!$B$9:$O$50,G$6,0)),0,VLOOKUP($B51,Vehicles!$B$9:$O$50,G$6,0))</f>
        <v>0</v>
      </c>
      <c r="H51" s="50">
        <v>1</v>
      </c>
      <c r="I51" s="49">
        <f t="shared" si="0"/>
        <v>0</v>
      </c>
      <c r="J51" s="51">
        <f t="shared" si="1"/>
        <v>0</v>
      </c>
      <c r="K51" s="49">
        <f t="shared" si="2"/>
        <v>0</v>
      </c>
    </row>
    <row r="52" spans="2:12" x14ac:dyDescent="0.25">
      <c r="B52" s="40" t="s">
        <v>191</v>
      </c>
      <c r="C52" s="40" t="s">
        <v>47</v>
      </c>
      <c r="D52" s="40" t="s">
        <v>273</v>
      </c>
      <c r="E52" s="43" t="s">
        <v>16</v>
      </c>
      <c r="G52" s="49">
        <f>IF(ISNA(VLOOKUP($B52,'Other Capital Needs'!$C$51:$P$95,G$6,0)),0,VLOOKUP($B52,'Other Capital Needs'!$C$51:$P$95,G$6,0))+IF(ISNA(VLOOKUP('Project Details by Yr'!$B52,'Public Grounds'!$A$11:$N$49,G$6,0)),0,VLOOKUP('Project Details by Yr'!$B52,'Public Grounds'!$A$11:$N$49,G$6,0))+IF(ISNA(VLOOKUP('Project Details by Yr'!$B52,'Public Buildings'!$A$10:$N$96,G$6,0)),0,VLOOKUP('Project Details by Yr'!$B52,'Public Buildings'!$A$10:$N$96,G$6,0))+IF(ISNA(VLOOKUP('Project Details by Yr'!$B52,Bridges!$A$9:$N$24,G$6,0)),0,VLOOKUP('Project Details by Yr'!$B52,Bridges!$A$9:$N$24,G$6,0))+IF(ISNA(VLOOKUP('Project Details by Yr'!$B52,'Parking Lots &amp; Playgrounds'!$A$9:$N$33,G$6,0)),0,VLOOKUP('Project Details by Yr'!$B52,'Parking Lots &amp; Playgrounds'!$A$9:$N$33,G$6,0))+IF(ISNA(VLOOKUP($B52,Vehicles!$B$9:$O$50,G$6,0)),0,VLOOKUP($B52,Vehicles!$B$9:$O$50,G$6,0))</f>
        <v>10000</v>
      </c>
      <c r="H52" s="50">
        <v>1</v>
      </c>
      <c r="I52" s="49">
        <f t="shared" si="0"/>
        <v>0</v>
      </c>
      <c r="J52" s="49">
        <f t="shared" si="1"/>
        <v>10000</v>
      </c>
      <c r="K52" s="49">
        <f t="shared" si="2"/>
        <v>0</v>
      </c>
      <c r="L52" s="52" t="s">
        <v>304</v>
      </c>
    </row>
    <row r="53" spans="2:12" x14ac:dyDescent="0.25">
      <c r="B53" s="40" t="s">
        <v>192</v>
      </c>
      <c r="C53" s="40" t="s">
        <v>47</v>
      </c>
      <c r="D53" s="40" t="s">
        <v>273</v>
      </c>
      <c r="E53" s="43" t="s">
        <v>16</v>
      </c>
      <c r="G53" s="49">
        <f>IF(ISNA(VLOOKUP($B53,'Other Capital Needs'!$C$51:$P$95,G$6,0)),0,VLOOKUP($B53,'Other Capital Needs'!$C$51:$P$95,G$6,0))+IF(ISNA(VLOOKUP('Project Details by Yr'!$B53,'Public Grounds'!$A$11:$N$49,G$6,0)),0,VLOOKUP('Project Details by Yr'!$B53,'Public Grounds'!$A$11:$N$49,G$6,0))+IF(ISNA(VLOOKUP('Project Details by Yr'!$B53,'Public Buildings'!$A$10:$N$96,G$6,0)),0,VLOOKUP('Project Details by Yr'!$B53,'Public Buildings'!$A$10:$N$96,G$6,0))+IF(ISNA(VLOOKUP('Project Details by Yr'!$B53,Bridges!$A$9:$N$24,G$6,0)),0,VLOOKUP('Project Details by Yr'!$B53,Bridges!$A$9:$N$24,G$6,0))+IF(ISNA(VLOOKUP('Project Details by Yr'!$B53,'Parking Lots &amp; Playgrounds'!$A$9:$N$33,G$6,0)),0,VLOOKUP('Project Details by Yr'!$B53,'Parking Lots &amp; Playgrounds'!$A$9:$N$33,G$6,0))+IF(ISNA(VLOOKUP($B53,Vehicles!$B$9:$O$50,G$6,0)),0,VLOOKUP($B53,Vehicles!$B$9:$O$50,G$6,0))</f>
        <v>25000</v>
      </c>
      <c r="H53" s="50">
        <v>1</v>
      </c>
      <c r="I53" s="49">
        <f t="shared" si="0"/>
        <v>0</v>
      </c>
      <c r="J53" s="49">
        <f t="shared" si="1"/>
        <v>25000</v>
      </c>
      <c r="K53" s="49">
        <f t="shared" si="2"/>
        <v>0</v>
      </c>
      <c r="L53" s="52" t="s">
        <v>304</v>
      </c>
    </row>
    <row r="54" spans="2:12" x14ac:dyDescent="0.25">
      <c r="B54" s="40" t="s">
        <v>193</v>
      </c>
      <c r="C54" s="40" t="s">
        <v>47</v>
      </c>
      <c r="D54" s="40" t="s">
        <v>273</v>
      </c>
      <c r="E54" s="43" t="s">
        <v>16</v>
      </c>
      <c r="G54" s="49">
        <f>IF(ISNA(VLOOKUP($B54,'Other Capital Needs'!$C$51:$P$95,G$6,0)),0,VLOOKUP($B54,'Other Capital Needs'!$C$51:$P$95,G$6,0))+IF(ISNA(VLOOKUP('Project Details by Yr'!$B54,'Public Grounds'!$A$11:$N$49,G$6,0)),0,VLOOKUP('Project Details by Yr'!$B54,'Public Grounds'!$A$11:$N$49,G$6,0))+IF(ISNA(VLOOKUP('Project Details by Yr'!$B54,'Public Buildings'!$A$10:$N$96,G$6,0)),0,VLOOKUP('Project Details by Yr'!$B54,'Public Buildings'!$A$10:$N$96,G$6,0))+IF(ISNA(VLOOKUP('Project Details by Yr'!$B54,Bridges!$A$9:$N$24,G$6,0)),0,VLOOKUP('Project Details by Yr'!$B54,Bridges!$A$9:$N$24,G$6,0))+IF(ISNA(VLOOKUP('Project Details by Yr'!$B54,'Parking Lots &amp; Playgrounds'!$A$9:$N$33,G$6,0)),0,VLOOKUP('Project Details by Yr'!$B54,'Parking Lots &amp; Playgrounds'!$A$9:$N$33,G$6,0))+IF(ISNA(VLOOKUP($B54,Vehicles!$B$9:$O$50,G$6,0)),0,VLOOKUP($B54,Vehicles!$B$9:$O$50,G$6,0))</f>
        <v>10000</v>
      </c>
      <c r="H54" s="50">
        <v>1</v>
      </c>
      <c r="I54" s="49">
        <f t="shared" si="0"/>
        <v>0</v>
      </c>
      <c r="J54" s="49">
        <f t="shared" si="1"/>
        <v>10000</v>
      </c>
      <c r="K54" s="49">
        <f t="shared" si="2"/>
        <v>0</v>
      </c>
      <c r="L54" s="52" t="s">
        <v>304</v>
      </c>
    </row>
    <row r="55" spans="2:12" x14ac:dyDescent="0.25">
      <c r="B55" s="40" t="s">
        <v>200</v>
      </c>
      <c r="C55" s="40" t="s">
        <v>47</v>
      </c>
      <c r="D55" s="40" t="s">
        <v>273</v>
      </c>
      <c r="E55" s="43" t="s">
        <v>16</v>
      </c>
      <c r="G55" s="49">
        <f>IF(ISNA(VLOOKUP($B55,'Other Capital Needs'!$C$51:$P$95,G$6,0)),0,VLOOKUP($B55,'Other Capital Needs'!$C$51:$P$95,G$6,0))+IF(ISNA(VLOOKUP('Project Details by Yr'!$B55,'Public Grounds'!$A$11:$N$49,G$6,0)),0,VLOOKUP('Project Details by Yr'!$B55,'Public Grounds'!$A$11:$N$49,G$6,0))+IF(ISNA(VLOOKUP('Project Details by Yr'!$B55,'Public Buildings'!$A$10:$N$96,G$6,0)),0,VLOOKUP('Project Details by Yr'!$B55,'Public Buildings'!$A$10:$N$96,G$6,0))+IF(ISNA(VLOOKUP('Project Details by Yr'!$B55,Bridges!$A$9:$N$24,G$6,0)),0,VLOOKUP('Project Details by Yr'!$B55,Bridges!$A$9:$N$24,G$6,0))+IF(ISNA(VLOOKUP('Project Details by Yr'!$B55,'Parking Lots &amp; Playgrounds'!$A$9:$N$33,G$6,0)),0,VLOOKUP('Project Details by Yr'!$B55,'Parking Lots &amp; Playgrounds'!$A$9:$N$33,G$6,0))+IF(ISNA(VLOOKUP($B55,Vehicles!$B$9:$O$50,G$6,0)),0,VLOOKUP($B55,Vehicles!$B$9:$O$50,G$6,0))</f>
        <v>50000</v>
      </c>
      <c r="H55" s="50">
        <v>1</v>
      </c>
      <c r="I55" s="49">
        <f t="shared" si="0"/>
        <v>0</v>
      </c>
      <c r="J55" s="49">
        <f t="shared" si="1"/>
        <v>50000</v>
      </c>
      <c r="K55" s="49">
        <f t="shared" si="2"/>
        <v>0</v>
      </c>
    </row>
    <row r="56" spans="2:12" x14ac:dyDescent="0.25">
      <c r="B56" s="40" t="s">
        <v>80</v>
      </c>
      <c r="C56" s="40" t="s">
        <v>91</v>
      </c>
      <c r="D56" s="40" t="s">
        <v>272</v>
      </c>
      <c r="E56" s="43" t="s">
        <v>16</v>
      </c>
      <c r="G56" s="49">
        <f>IF(ISNA(VLOOKUP($B56,'Other Capital Needs'!$C$51:$P$95,G$6,0)),0,VLOOKUP($B56,'Other Capital Needs'!$C$51:$P$95,G$6,0))+IF(ISNA(VLOOKUP('Project Details by Yr'!$B56,'Public Grounds'!$A$11:$N$49,G$6,0)),0,VLOOKUP('Project Details by Yr'!$B56,'Public Grounds'!$A$11:$N$49,G$6,0))+IF(ISNA(VLOOKUP('Project Details by Yr'!$B56,'Public Buildings'!$A$10:$N$96,G$6,0)),0,VLOOKUP('Project Details by Yr'!$B56,'Public Buildings'!$A$10:$N$96,G$6,0))+IF(ISNA(VLOOKUP('Project Details by Yr'!$B56,Bridges!$A$9:$N$24,G$6,0)),0,VLOOKUP('Project Details by Yr'!$B56,Bridges!$A$9:$N$24,G$6,0))+IF(ISNA(VLOOKUP('Project Details by Yr'!$B56,'Parking Lots &amp; Playgrounds'!$A$9:$N$33,G$6,0)),0,VLOOKUP('Project Details by Yr'!$B56,'Parking Lots &amp; Playgrounds'!$A$9:$N$33,G$6,0))+IF(ISNA(VLOOKUP($B56,Vehicles!$B$9:$O$50,G$6,0)),0,VLOOKUP($B56,Vehicles!$B$9:$O$50,G$6,0))</f>
        <v>0</v>
      </c>
      <c r="H56" s="50"/>
      <c r="I56" s="49">
        <f t="shared" si="0"/>
        <v>0</v>
      </c>
      <c r="J56" s="49">
        <f t="shared" si="1"/>
        <v>0</v>
      </c>
      <c r="K56" s="49">
        <f t="shared" si="2"/>
        <v>0</v>
      </c>
      <c r="L56" s="52" t="s">
        <v>299</v>
      </c>
    </row>
    <row r="57" spans="2:12" x14ac:dyDescent="0.25">
      <c r="B57" s="40" t="s">
        <v>81</v>
      </c>
      <c r="C57" s="40" t="s">
        <v>91</v>
      </c>
      <c r="D57" s="40" t="s">
        <v>272</v>
      </c>
      <c r="E57" s="43" t="s">
        <v>16</v>
      </c>
      <c r="G57" s="49">
        <f>IF(ISNA(VLOOKUP($B57,'Other Capital Needs'!$C$51:$P$95,G$6,0)),0,VLOOKUP($B57,'Other Capital Needs'!$C$51:$P$95,G$6,0))+IF(ISNA(VLOOKUP('Project Details by Yr'!$B57,'Public Grounds'!$A$11:$N$49,G$6,0)),0,VLOOKUP('Project Details by Yr'!$B57,'Public Grounds'!$A$11:$N$49,G$6,0))+IF(ISNA(VLOOKUP('Project Details by Yr'!$B57,'Public Buildings'!$A$10:$N$96,G$6,0)),0,VLOOKUP('Project Details by Yr'!$B57,'Public Buildings'!$A$10:$N$96,G$6,0))+IF(ISNA(VLOOKUP('Project Details by Yr'!$B57,Bridges!$A$9:$N$24,G$6,0)),0,VLOOKUP('Project Details by Yr'!$B57,Bridges!$A$9:$N$24,G$6,0))+IF(ISNA(VLOOKUP('Project Details by Yr'!$B57,'Parking Lots &amp; Playgrounds'!$A$9:$N$33,G$6,0)),0,VLOOKUP('Project Details by Yr'!$B57,'Parking Lots &amp; Playgrounds'!$A$9:$N$33,G$6,0))+IF(ISNA(VLOOKUP($B57,Vehicles!$B$9:$O$50,G$6,0)),0,VLOOKUP($B57,Vehicles!$B$9:$O$50,G$6,0))</f>
        <v>0</v>
      </c>
      <c r="H57" s="50"/>
      <c r="I57" s="49">
        <f t="shared" si="0"/>
        <v>0</v>
      </c>
      <c r="J57" s="49">
        <f t="shared" si="1"/>
        <v>0</v>
      </c>
      <c r="K57" s="49">
        <f t="shared" si="2"/>
        <v>0</v>
      </c>
      <c r="L57" s="52" t="s">
        <v>299</v>
      </c>
    </row>
    <row r="58" spans="2:12" x14ac:dyDescent="0.25">
      <c r="B58" s="40" t="s">
        <v>88</v>
      </c>
      <c r="C58" s="40" t="s">
        <v>91</v>
      </c>
      <c r="D58" s="40" t="s">
        <v>273</v>
      </c>
      <c r="E58" s="43" t="s">
        <v>16</v>
      </c>
      <c r="G58" s="49">
        <f>IF(ISNA(VLOOKUP($B58,'Other Capital Needs'!$C$51:$P$95,G$6,0)),0,VLOOKUP($B58,'Other Capital Needs'!$C$51:$P$95,G$6,0))+IF(ISNA(VLOOKUP('Project Details by Yr'!$B58,'Public Grounds'!$A$11:$N$49,G$6,0)),0,VLOOKUP('Project Details by Yr'!$B58,'Public Grounds'!$A$11:$N$49,G$6,0))+IF(ISNA(VLOOKUP('Project Details by Yr'!$B58,'Public Buildings'!$A$10:$N$96,G$6,0)),0,VLOOKUP('Project Details by Yr'!$B58,'Public Buildings'!$A$10:$N$96,G$6,0))+IF(ISNA(VLOOKUP('Project Details by Yr'!$B58,Bridges!$A$9:$N$24,G$6,0)),0,VLOOKUP('Project Details by Yr'!$B58,Bridges!$A$9:$N$24,G$6,0))+IF(ISNA(VLOOKUP('Project Details by Yr'!$B58,'Parking Lots &amp; Playgrounds'!$A$9:$N$33,G$6,0)),0,VLOOKUP('Project Details by Yr'!$B58,'Parking Lots &amp; Playgrounds'!$A$9:$N$33,G$6,0))+IF(ISNA(VLOOKUP($B58,Vehicles!$B$9:$O$50,G$6,0)),0,VLOOKUP($B58,Vehicles!$B$9:$O$50,G$6,0))</f>
        <v>210000</v>
      </c>
      <c r="H58" s="50">
        <v>1</v>
      </c>
      <c r="I58" s="49">
        <f t="shared" si="0"/>
        <v>0</v>
      </c>
      <c r="J58" s="49">
        <f t="shared" si="1"/>
        <v>210000</v>
      </c>
      <c r="K58" s="49">
        <f t="shared" si="2"/>
        <v>0</v>
      </c>
    </row>
    <row r="59" spans="2:12" x14ac:dyDescent="0.25">
      <c r="B59" s="40" t="s">
        <v>96</v>
      </c>
      <c r="C59" s="40" t="s">
        <v>91</v>
      </c>
      <c r="D59" s="40" t="s">
        <v>273</v>
      </c>
      <c r="E59" s="43" t="s">
        <v>16</v>
      </c>
      <c r="G59" s="49">
        <f>IF(ISNA(VLOOKUP($B59,'Other Capital Needs'!$C$51:$P$95,G$6,0)),0,VLOOKUP($B59,'Other Capital Needs'!$C$51:$P$95,G$6,0))+IF(ISNA(VLOOKUP('Project Details by Yr'!$B59,'Public Grounds'!$A$11:$N$49,G$6,0)),0,VLOOKUP('Project Details by Yr'!$B59,'Public Grounds'!$A$11:$N$49,G$6,0))+IF(ISNA(VLOOKUP('Project Details by Yr'!$B59,'Public Buildings'!$A$10:$N$96,G$6,0)),0,VLOOKUP('Project Details by Yr'!$B59,'Public Buildings'!$A$10:$N$96,G$6,0))+IF(ISNA(VLOOKUP('Project Details by Yr'!$B59,Bridges!$A$9:$N$24,G$6,0)),0,VLOOKUP('Project Details by Yr'!$B59,Bridges!$A$9:$N$24,G$6,0))+IF(ISNA(VLOOKUP('Project Details by Yr'!$B59,'Parking Lots &amp; Playgrounds'!$A$9:$N$33,G$6,0)),0,VLOOKUP('Project Details by Yr'!$B59,'Parking Lots &amp; Playgrounds'!$A$9:$N$33,G$6,0))+IF(ISNA(VLOOKUP($B59,Vehicles!$B$9:$O$50,G$6,0)),0,VLOOKUP($B59,Vehicles!$B$9:$O$50,G$6,0))</f>
        <v>0</v>
      </c>
      <c r="H59" s="50">
        <v>1</v>
      </c>
      <c r="I59" s="49">
        <f t="shared" si="0"/>
        <v>0</v>
      </c>
      <c r="J59" s="49">
        <f t="shared" si="1"/>
        <v>0</v>
      </c>
      <c r="K59" s="49">
        <f t="shared" si="2"/>
        <v>0</v>
      </c>
    </row>
    <row r="60" spans="2:12" x14ac:dyDescent="0.25">
      <c r="B60" s="40" t="s">
        <v>124</v>
      </c>
      <c r="C60" s="40" t="s">
        <v>49</v>
      </c>
      <c r="D60" s="40" t="s">
        <v>272</v>
      </c>
      <c r="E60" s="43" t="s">
        <v>16</v>
      </c>
      <c r="G60" s="49">
        <f>IF(ISNA(VLOOKUP($B60,'Other Capital Needs'!$C$51:$P$95,G$6,0)),0,VLOOKUP($B60,'Other Capital Needs'!$C$51:$P$95,G$6,0))+IF(ISNA(VLOOKUP('Project Details by Yr'!$B60,'Public Grounds'!$A$11:$N$49,G$6,0)),0,VLOOKUP('Project Details by Yr'!$B60,'Public Grounds'!$A$11:$N$49,G$6,0))+IF(ISNA(VLOOKUP('Project Details by Yr'!$B60,'Public Buildings'!$A$10:$N$96,G$6,0)),0,VLOOKUP('Project Details by Yr'!$B60,'Public Buildings'!$A$10:$N$96,G$6,0))+IF(ISNA(VLOOKUP('Project Details by Yr'!$B60,Bridges!$A$9:$N$24,G$6,0)),0,VLOOKUP('Project Details by Yr'!$B60,Bridges!$A$9:$N$24,G$6,0))+IF(ISNA(VLOOKUP('Project Details by Yr'!$B60,'Parking Lots &amp; Playgrounds'!$A$9:$N$33,G$6,0)),0,VLOOKUP('Project Details by Yr'!$B60,'Parking Lots &amp; Playgrounds'!$A$9:$N$33,G$6,0))+IF(ISNA(VLOOKUP($B60,Vehicles!$B$9:$O$50,G$6,0)),0,VLOOKUP($B60,Vehicles!$B$9:$O$50,G$6,0))</f>
        <v>145000</v>
      </c>
      <c r="H60" s="50">
        <v>1</v>
      </c>
      <c r="I60" s="49">
        <f t="shared" si="0"/>
        <v>0</v>
      </c>
      <c r="J60" s="49">
        <f t="shared" si="1"/>
        <v>145000</v>
      </c>
      <c r="K60" s="49">
        <f t="shared" si="2"/>
        <v>0</v>
      </c>
    </row>
    <row r="61" spans="2:12" x14ac:dyDescent="0.25">
      <c r="B61" s="40" t="s">
        <v>127</v>
      </c>
      <c r="C61" s="40" t="s">
        <v>49</v>
      </c>
      <c r="D61" s="40" t="s">
        <v>272</v>
      </c>
      <c r="E61" s="43" t="s">
        <v>16</v>
      </c>
      <c r="G61" s="49">
        <f>IF(ISNA(VLOOKUP($B61,'Other Capital Needs'!$C$51:$P$95,G$6,0)),0,VLOOKUP($B61,'Other Capital Needs'!$C$51:$P$95,G$6,0))+IF(ISNA(VLOOKUP('Project Details by Yr'!$B61,'Public Grounds'!$A$11:$N$49,G$6,0)),0,VLOOKUP('Project Details by Yr'!$B61,'Public Grounds'!$A$11:$N$49,G$6,0))+IF(ISNA(VLOOKUP('Project Details by Yr'!$B61,'Public Buildings'!$A$10:$N$96,G$6,0)),0,VLOOKUP('Project Details by Yr'!$B61,'Public Buildings'!$A$10:$N$96,G$6,0))+IF(ISNA(VLOOKUP('Project Details by Yr'!$B61,Bridges!$A$9:$N$24,G$6,0)),0,VLOOKUP('Project Details by Yr'!$B61,Bridges!$A$9:$N$24,G$6,0))+IF(ISNA(VLOOKUP('Project Details by Yr'!$B61,'Parking Lots &amp; Playgrounds'!$A$9:$N$33,G$6,0)),0,VLOOKUP('Project Details by Yr'!$B61,'Parking Lots &amp; Playgrounds'!$A$9:$N$33,G$6,0))+IF(ISNA(VLOOKUP($B61,Vehicles!$B$9:$O$50,G$6,0)),0,VLOOKUP($B61,Vehicles!$B$9:$O$50,G$6,0))</f>
        <v>33000</v>
      </c>
      <c r="H61" s="50">
        <v>1</v>
      </c>
      <c r="I61" s="49">
        <f t="shared" si="0"/>
        <v>0</v>
      </c>
      <c r="J61" s="49">
        <f t="shared" si="1"/>
        <v>33000</v>
      </c>
      <c r="K61" s="49">
        <f t="shared" si="2"/>
        <v>0</v>
      </c>
    </row>
    <row r="62" spans="2:12" x14ac:dyDescent="0.25">
      <c r="B62" s="40" t="s">
        <v>128</v>
      </c>
      <c r="C62" s="40" t="s">
        <v>49</v>
      </c>
      <c r="D62" s="40" t="s">
        <v>272</v>
      </c>
      <c r="E62" s="43" t="s">
        <v>16</v>
      </c>
      <c r="G62" s="49">
        <f>IF(ISNA(VLOOKUP($B62,'Other Capital Needs'!$C$51:$P$95,G$6,0)),0,VLOOKUP($B62,'Other Capital Needs'!$C$51:$P$95,G$6,0))+IF(ISNA(VLOOKUP('Project Details by Yr'!$B62,'Public Grounds'!$A$11:$N$49,G$6,0)),0,VLOOKUP('Project Details by Yr'!$B62,'Public Grounds'!$A$11:$N$49,G$6,0))+IF(ISNA(VLOOKUP('Project Details by Yr'!$B62,'Public Buildings'!$A$10:$N$96,G$6,0)),0,VLOOKUP('Project Details by Yr'!$B62,'Public Buildings'!$A$10:$N$96,G$6,0))+IF(ISNA(VLOOKUP('Project Details by Yr'!$B62,Bridges!$A$9:$N$24,G$6,0)),0,VLOOKUP('Project Details by Yr'!$B62,Bridges!$A$9:$N$24,G$6,0))+IF(ISNA(VLOOKUP('Project Details by Yr'!$B62,'Parking Lots &amp; Playgrounds'!$A$9:$N$33,G$6,0)),0,VLOOKUP('Project Details by Yr'!$B62,'Parking Lots &amp; Playgrounds'!$A$9:$N$33,G$6,0))+IF(ISNA(VLOOKUP($B62,Vehicles!$B$9:$O$50,G$6,0)),0,VLOOKUP($B62,Vehicles!$B$9:$O$50,G$6,0))</f>
        <v>28000</v>
      </c>
      <c r="H62" s="50">
        <v>1</v>
      </c>
      <c r="I62" s="49">
        <f t="shared" si="0"/>
        <v>0</v>
      </c>
      <c r="J62" s="49">
        <f t="shared" si="1"/>
        <v>28000</v>
      </c>
      <c r="K62" s="49">
        <f t="shared" si="2"/>
        <v>0</v>
      </c>
    </row>
    <row r="63" spans="2:12" x14ac:dyDescent="0.25">
      <c r="B63" t="s">
        <v>309</v>
      </c>
      <c r="C63" s="40" t="s">
        <v>49</v>
      </c>
      <c r="D63" s="40" t="s">
        <v>272</v>
      </c>
      <c r="E63" s="43" t="s">
        <v>16</v>
      </c>
      <c r="G63" s="49">
        <f>IF(ISNA(VLOOKUP($B63,'Other Capital Needs'!$C$51:$P$95,G$6,0)),0,VLOOKUP($B63,'Other Capital Needs'!$C$51:$P$95,G$6,0))+IF(ISNA(VLOOKUP('Project Details by Yr'!$B63,'Public Grounds'!$A$11:$N$49,G$6,0)),0,VLOOKUP('Project Details by Yr'!$B63,'Public Grounds'!$A$11:$N$49,G$6,0))+IF(ISNA(VLOOKUP('Project Details by Yr'!$B63,'Public Buildings'!$A$10:$N$96,G$6,0)),0,VLOOKUP('Project Details by Yr'!$B63,'Public Buildings'!$A$10:$N$96,G$6,0))+IF(ISNA(VLOOKUP('Project Details by Yr'!$B63,Bridges!$A$9:$N$24,G$6,0)),0,VLOOKUP('Project Details by Yr'!$B63,Bridges!$A$9:$N$24,G$6,0))+IF(ISNA(VLOOKUP('Project Details by Yr'!$B63,'Parking Lots &amp; Playgrounds'!$A$9:$N$33,G$6,0)),0,VLOOKUP('Project Details by Yr'!$B63,'Parking Lots &amp; Playgrounds'!$A$9:$N$33,G$6,0))+IF(ISNA(VLOOKUP($B63,Vehicles!$B$9:$O$50,G$6,0)),0,VLOOKUP($B63,Vehicles!$B$9:$O$50,G$6,0))</f>
        <v>60000</v>
      </c>
      <c r="H63" s="50">
        <v>1</v>
      </c>
      <c r="I63" s="49">
        <f t="shared" si="0"/>
        <v>0</v>
      </c>
      <c r="J63" s="49">
        <f t="shared" si="1"/>
        <v>60000</v>
      </c>
      <c r="K63" s="49">
        <f t="shared" si="2"/>
        <v>0</v>
      </c>
    </row>
    <row r="64" spans="2:12" x14ac:dyDescent="0.25">
      <c r="B64" s="40" t="s">
        <v>287</v>
      </c>
      <c r="C64" s="40" t="s">
        <v>49</v>
      </c>
      <c r="D64" s="40" t="s">
        <v>272</v>
      </c>
      <c r="E64" s="43" t="s">
        <v>16</v>
      </c>
      <c r="G64" s="49">
        <f>IF(ISNA(VLOOKUP($B64,'Other Capital Needs'!$C$51:$P$95,G$6,0)),0,VLOOKUP($B64,'Other Capital Needs'!$C$51:$P$95,G$6,0))+IF(ISNA(VLOOKUP('Project Details by Yr'!$B64,'Public Grounds'!$A$11:$N$49,G$6,0)),0,VLOOKUP('Project Details by Yr'!$B64,'Public Grounds'!$A$11:$N$49,G$6,0))+IF(ISNA(VLOOKUP('Project Details by Yr'!$B64,'Public Buildings'!$A$10:$N$96,G$6,0)),0,VLOOKUP('Project Details by Yr'!$B64,'Public Buildings'!$A$10:$N$96,G$6,0))+IF(ISNA(VLOOKUP('Project Details by Yr'!$B64,Bridges!$A$9:$N$24,G$6,0)),0,VLOOKUP('Project Details by Yr'!$B64,Bridges!$A$9:$N$24,G$6,0))+IF(ISNA(VLOOKUP('Project Details by Yr'!$B64,'Parking Lots &amp; Playgrounds'!$A$9:$N$33,G$6,0)),0,VLOOKUP('Project Details by Yr'!$B64,'Parking Lots &amp; Playgrounds'!$A$9:$N$33,G$6,0))+IF(ISNA(VLOOKUP($B64,Vehicles!$B$9:$O$50,G$6,0)),0,VLOOKUP($B64,Vehicles!$B$9:$O$50,G$6,0))</f>
        <v>0</v>
      </c>
      <c r="H64" s="50"/>
      <c r="I64" s="49">
        <f t="shared" si="0"/>
        <v>0</v>
      </c>
      <c r="J64" s="49">
        <f t="shared" si="1"/>
        <v>0</v>
      </c>
      <c r="K64" s="49">
        <f t="shared" si="2"/>
        <v>0</v>
      </c>
      <c r="L64" s="52" t="s">
        <v>290</v>
      </c>
    </row>
    <row r="65" spans="2:12" x14ac:dyDescent="0.25">
      <c r="B65" s="40" t="s">
        <v>121</v>
      </c>
      <c r="C65" s="40" t="s">
        <v>49</v>
      </c>
      <c r="D65" s="40" t="s">
        <v>272</v>
      </c>
      <c r="E65" s="43" t="s">
        <v>16</v>
      </c>
      <c r="G65" s="49">
        <f>IF(ISNA(VLOOKUP($B65,'Other Capital Needs'!$C$51:$P$95,G$6,0)),0,VLOOKUP($B65,'Other Capital Needs'!$C$51:$P$95,G$6,0))+IF(ISNA(VLOOKUP('Project Details by Yr'!$B65,'Public Grounds'!$A$11:$N$49,G$6,0)),0,VLOOKUP('Project Details by Yr'!$B65,'Public Grounds'!$A$11:$N$49,G$6,0))+IF(ISNA(VLOOKUP('Project Details by Yr'!$B65,'Public Buildings'!$A$10:$N$96,G$6,0)),0,VLOOKUP('Project Details by Yr'!$B65,'Public Buildings'!$A$10:$N$96,G$6,0))+IF(ISNA(VLOOKUP('Project Details by Yr'!$B65,Bridges!$A$9:$N$24,G$6,0)),0,VLOOKUP('Project Details by Yr'!$B65,Bridges!$A$9:$N$24,G$6,0))+IF(ISNA(VLOOKUP('Project Details by Yr'!$B65,'Parking Lots &amp; Playgrounds'!$A$9:$N$33,G$6,0)),0,VLOOKUP('Project Details by Yr'!$B65,'Parking Lots &amp; Playgrounds'!$A$9:$N$33,G$6,0))+IF(ISNA(VLOOKUP($B65,Vehicles!$B$9:$O$50,G$6,0)),0,VLOOKUP($B65,Vehicles!$B$9:$O$50,G$6,0))</f>
        <v>81949</v>
      </c>
      <c r="H65" s="50"/>
      <c r="I65" s="49">
        <f t="shared" si="0"/>
        <v>0</v>
      </c>
      <c r="J65" s="49">
        <f t="shared" si="1"/>
        <v>0</v>
      </c>
      <c r="K65" s="49">
        <f t="shared" si="2"/>
        <v>0</v>
      </c>
      <c r="L65" s="52" t="s">
        <v>290</v>
      </c>
    </row>
    <row r="66" spans="2:12" x14ac:dyDescent="0.25">
      <c r="B66" s="40" t="s">
        <v>123</v>
      </c>
      <c r="C66" s="40" t="s">
        <v>49</v>
      </c>
      <c r="D66" s="40" t="s">
        <v>272</v>
      </c>
      <c r="E66" s="43" t="s">
        <v>16</v>
      </c>
      <c r="G66" s="49">
        <f>IF(ISNA(VLOOKUP($B66,'Other Capital Needs'!$C$51:$P$95,G$6,0)),0,VLOOKUP($B66,'Other Capital Needs'!$C$51:$P$95,G$6,0))+IF(ISNA(VLOOKUP('Project Details by Yr'!$B66,'Public Grounds'!$A$11:$N$49,G$6,0)),0,VLOOKUP('Project Details by Yr'!$B66,'Public Grounds'!$A$11:$N$49,G$6,0))+IF(ISNA(VLOOKUP('Project Details by Yr'!$B66,'Public Buildings'!$A$10:$N$96,G$6,0)),0,VLOOKUP('Project Details by Yr'!$B66,'Public Buildings'!$A$10:$N$96,G$6,0))+IF(ISNA(VLOOKUP('Project Details by Yr'!$B66,Bridges!$A$9:$N$24,G$6,0)),0,VLOOKUP('Project Details by Yr'!$B66,Bridges!$A$9:$N$24,G$6,0))+IF(ISNA(VLOOKUP('Project Details by Yr'!$B66,'Parking Lots &amp; Playgrounds'!$A$9:$N$33,G$6,0)),0,VLOOKUP('Project Details by Yr'!$B66,'Parking Lots &amp; Playgrounds'!$A$9:$N$33,G$6,0))+IF(ISNA(VLOOKUP($B66,Vehicles!$B$9:$O$50,G$6,0)),0,VLOOKUP($B66,Vehicles!$B$9:$O$50,G$6,0))</f>
        <v>0</v>
      </c>
      <c r="H66" s="50"/>
      <c r="I66" s="49">
        <f t="shared" si="0"/>
        <v>0</v>
      </c>
      <c r="J66" s="49">
        <f t="shared" si="1"/>
        <v>0</v>
      </c>
      <c r="K66" s="49">
        <f t="shared" si="2"/>
        <v>0</v>
      </c>
      <c r="L66" s="52" t="s">
        <v>290</v>
      </c>
    </row>
    <row r="67" spans="2:12" x14ac:dyDescent="0.25">
      <c r="B67" s="40" t="s">
        <v>118</v>
      </c>
      <c r="C67" s="40" t="s">
        <v>49</v>
      </c>
      <c r="D67" s="40" t="s">
        <v>272</v>
      </c>
      <c r="E67" s="43" t="s">
        <v>16</v>
      </c>
      <c r="G67" s="49">
        <f>IF(ISNA(VLOOKUP($B67,'Other Capital Needs'!$C$51:$P$95,G$6,0)),0,VLOOKUP($B67,'Other Capital Needs'!$C$51:$P$95,G$6,0))+IF(ISNA(VLOOKUP('Project Details by Yr'!$B67,'Public Grounds'!$A$11:$N$49,G$6,0)),0,VLOOKUP('Project Details by Yr'!$B67,'Public Grounds'!$A$11:$N$49,G$6,0))+IF(ISNA(VLOOKUP('Project Details by Yr'!$B67,'Public Buildings'!$A$10:$N$96,G$6,0)),0,VLOOKUP('Project Details by Yr'!$B67,'Public Buildings'!$A$10:$N$96,G$6,0))+IF(ISNA(VLOOKUP('Project Details by Yr'!$B67,Bridges!$A$9:$N$24,G$6,0)),0,VLOOKUP('Project Details by Yr'!$B67,Bridges!$A$9:$N$24,G$6,0))+IF(ISNA(VLOOKUP('Project Details by Yr'!$B67,'Parking Lots &amp; Playgrounds'!$A$9:$N$33,G$6,0)),0,VLOOKUP('Project Details by Yr'!$B67,'Parking Lots &amp; Playgrounds'!$A$9:$N$33,G$6,0))+IF(ISNA(VLOOKUP($B67,Vehicles!$B$9:$O$50,G$6,0)),0,VLOOKUP($B67,Vehicles!$B$9:$O$50,G$6,0))</f>
        <v>35000</v>
      </c>
      <c r="H67" s="50"/>
      <c r="I67" s="49">
        <f t="shared" si="0"/>
        <v>0</v>
      </c>
      <c r="J67" s="49">
        <f t="shared" si="1"/>
        <v>0</v>
      </c>
      <c r="K67" s="49">
        <f t="shared" si="2"/>
        <v>0</v>
      </c>
      <c r="L67" s="52" t="s">
        <v>290</v>
      </c>
    </row>
    <row r="68" spans="2:12" x14ac:dyDescent="0.25">
      <c r="B68" s="40" t="s">
        <v>119</v>
      </c>
      <c r="C68" s="40" t="s">
        <v>49</v>
      </c>
      <c r="D68" s="40" t="s">
        <v>272</v>
      </c>
      <c r="E68" s="43" t="s">
        <v>16</v>
      </c>
      <c r="G68" s="49">
        <f>IF(ISNA(VLOOKUP($B68,'Other Capital Needs'!$C$51:$P$95,G$6,0)),0,VLOOKUP($B68,'Other Capital Needs'!$C$51:$P$95,G$6,0))+IF(ISNA(VLOOKUP('Project Details by Yr'!$B68,'Public Grounds'!$A$11:$N$49,G$6,0)),0,VLOOKUP('Project Details by Yr'!$B68,'Public Grounds'!$A$11:$N$49,G$6,0))+IF(ISNA(VLOOKUP('Project Details by Yr'!$B68,'Public Buildings'!$A$10:$N$96,G$6,0)),0,VLOOKUP('Project Details by Yr'!$B68,'Public Buildings'!$A$10:$N$96,G$6,0))+IF(ISNA(VLOOKUP('Project Details by Yr'!$B68,Bridges!$A$9:$N$24,G$6,0)),0,VLOOKUP('Project Details by Yr'!$B68,Bridges!$A$9:$N$24,G$6,0))+IF(ISNA(VLOOKUP('Project Details by Yr'!$B68,'Parking Lots &amp; Playgrounds'!$A$9:$N$33,G$6,0)),0,VLOOKUP('Project Details by Yr'!$B68,'Parking Lots &amp; Playgrounds'!$A$9:$N$33,G$6,0))+IF(ISNA(VLOOKUP($B68,Vehicles!$B$9:$O$50,G$6,0)),0,VLOOKUP($B68,Vehicles!$B$9:$O$50,G$6,0))</f>
        <v>0</v>
      </c>
      <c r="H68" s="50"/>
      <c r="I68" s="49">
        <f t="shared" si="0"/>
        <v>0</v>
      </c>
      <c r="J68" s="49">
        <f t="shared" si="1"/>
        <v>0</v>
      </c>
      <c r="K68" s="49">
        <f t="shared" si="2"/>
        <v>0</v>
      </c>
      <c r="L68" s="52" t="s">
        <v>290</v>
      </c>
    </row>
    <row r="69" spans="2:12" x14ac:dyDescent="0.25">
      <c r="B69" s="40" t="s">
        <v>129</v>
      </c>
      <c r="C69" s="40" t="s">
        <v>49</v>
      </c>
      <c r="D69" s="40" t="s">
        <v>272</v>
      </c>
      <c r="E69" s="43" t="s">
        <v>16</v>
      </c>
      <c r="G69" s="49">
        <f>IF(ISNA(VLOOKUP($B69,'Other Capital Needs'!$C$51:$P$95,G$6,0)),0,VLOOKUP($B69,'Other Capital Needs'!$C$51:$P$95,G$6,0))+IF(ISNA(VLOOKUP('Project Details by Yr'!$B69,'Public Grounds'!$A$11:$N$49,G$6,0)),0,VLOOKUP('Project Details by Yr'!$B69,'Public Grounds'!$A$11:$N$49,G$6,0))+IF(ISNA(VLOOKUP('Project Details by Yr'!$B69,'Public Buildings'!$A$10:$N$96,G$6,0)),0,VLOOKUP('Project Details by Yr'!$B69,'Public Buildings'!$A$10:$N$96,G$6,0))+IF(ISNA(VLOOKUP('Project Details by Yr'!$B69,Bridges!$A$9:$N$24,G$6,0)),0,VLOOKUP('Project Details by Yr'!$B69,Bridges!$A$9:$N$24,G$6,0))+IF(ISNA(VLOOKUP('Project Details by Yr'!$B69,'Parking Lots &amp; Playgrounds'!$A$9:$N$33,G$6,0)),0,VLOOKUP('Project Details by Yr'!$B69,'Parking Lots &amp; Playgrounds'!$A$9:$N$33,G$6,0))+IF(ISNA(VLOOKUP($B69,Vehicles!$B$9:$O$50,G$6,0)),0,VLOOKUP($B69,Vehicles!$B$9:$O$50,G$6,0))</f>
        <v>0</v>
      </c>
      <c r="H69" s="50"/>
      <c r="I69" s="49">
        <f t="shared" si="0"/>
        <v>0</v>
      </c>
      <c r="J69" s="49">
        <f t="shared" si="1"/>
        <v>0</v>
      </c>
      <c r="K69" s="49">
        <f t="shared" si="2"/>
        <v>0</v>
      </c>
      <c r="L69" s="52" t="s">
        <v>290</v>
      </c>
    </row>
    <row r="70" spans="2:12" x14ac:dyDescent="0.25">
      <c r="B70" s="40" t="s">
        <v>132</v>
      </c>
      <c r="C70" s="40" t="s">
        <v>49</v>
      </c>
      <c r="D70" s="40" t="s">
        <v>272</v>
      </c>
      <c r="E70" s="43" t="s">
        <v>16</v>
      </c>
      <c r="G70" s="49">
        <f>IF(ISNA(VLOOKUP($B70,'Other Capital Needs'!$C$51:$P$95,G$6,0)),0,VLOOKUP($B70,'Other Capital Needs'!$C$51:$P$95,G$6,0))+IF(ISNA(VLOOKUP('Project Details by Yr'!$B70,'Public Grounds'!$A$11:$N$49,G$6,0)),0,VLOOKUP('Project Details by Yr'!$B70,'Public Grounds'!$A$11:$N$49,G$6,0))+IF(ISNA(VLOOKUP('Project Details by Yr'!$B70,'Public Buildings'!$A$10:$N$96,G$6,0)),0,VLOOKUP('Project Details by Yr'!$B70,'Public Buildings'!$A$10:$N$96,G$6,0))+IF(ISNA(VLOOKUP('Project Details by Yr'!$B70,Bridges!$A$9:$N$24,G$6,0)),0,VLOOKUP('Project Details by Yr'!$B70,Bridges!$A$9:$N$24,G$6,0))+IF(ISNA(VLOOKUP('Project Details by Yr'!$B70,'Parking Lots &amp; Playgrounds'!$A$9:$N$33,G$6,0)),0,VLOOKUP('Project Details by Yr'!$B70,'Parking Lots &amp; Playgrounds'!$A$9:$N$33,G$6,0))+IF(ISNA(VLOOKUP($B70,Vehicles!$B$9:$O$50,G$6,0)),0,VLOOKUP($B70,Vehicles!$B$9:$O$50,G$6,0))</f>
        <v>7500</v>
      </c>
      <c r="H70" s="50"/>
      <c r="I70" s="49">
        <f t="shared" si="0"/>
        <v>0</v>
      </c>
      <c r="J70" s="49">
        <f t="shared" si="1"/>
        <v>0</v>
      </c>
      <c r="K70" s="49">
        <f t="shared" si="2"/>
        <v>0</v>
      </c>
      <c r="L70" s="52" t="s">
        <v>290</v>
      </c>
    </row>
    <row r="71" spans="2:12" x14ac:dyDescent="0.25">
      <c r="B71" s="40" t="s">
        <v>139</v>
      </c>
      <c r="C71" s="40" t="s">
        <v>49</v>
      </c>
      <c r="D71" s="40" t="s">
        <v>273</v>
      </c>
      <c r="E71" s="43" t="s">
        <v>16</v>
      </c>
      <c r="G71" s="49">
        <f>IF(ISNA(VLOOKUP($B71,'Other Capital Needs'!$C$51:$P$95,G$6,0)),0,VLOOKUP($B71,'Other Capital Needs'!$C$51:$P$95,G$6,0))+IF(ISNA(VLOOKUP('Project Details by Yr'!$B71,'Public Grounds'!$A$11:$N$49,G$6,0)),0,VLOOKUP('Project Details by Yr'!$B71,'Public Grounds'!$A$11:$N$49,G$6,0))+IF(ISNA(VLOOKUP('Project Details by Yr'!$B71,'Public Buildings'!$A$10:$N$96,G$6,0)),0,VLOOKUP('Project Details by Yr'!$B71,'Public Buildings'!$A$10:$N$96,G$6,0))+IF(ISNA(VLOOKUP('Project Details by Yr'!$B71,Bridges!$A$9:$N$24,G$6,0)),0,VLOOKUP('Project Details by Yr'!$B71,Bridges!$A$9:$N$24,G$6,0))+IF(ISNA(VLOOKUP('Project Details by Yr'!$B71,'Parking Lots &amp; Playgrounds'!$A$9:$N$33,G$6,0)),0,VLOOKUP('Project Details by Yr'!$B71,'Parking Lots &amp; Playgrounds'!$A$9:$N$33,G$6,0))+IF(ISNA(VLOOKUP($B71,Vehicles!$B$9:$O$50,G$6,0)),0,VLOOKUP($B71,Vehicles!$B$9:$O$50,G$6,0))</f>
        <v>98000</v>
      </c>
      <c r="H71" s="50">
        <v>1</v>
      </c>
      <c r="I71" s="49">
        <f t="shared" ref="I71:I72" si="3">IF($H71=1,IF($E71="Bond",$G71,0),0)</f>
        <v>0</v>
      </c>
      <c r="J71" s="49">
        <f t="shared" ref="J71:J72" si="4">IF($H71=1,IF($E71="GF",$G71,0),0)</f>
        <v>98000</v>
      </c>
      <c r="K71" s="49">
        <f t="shared" ref="K71:K72" si="5">IF($H71=1,IF($E71="Grant",$G71,0),0)</f>
        <v>0</v>
      </c>
    </row>
    <row r="72" spans="2:12" x14ac:dyDescent="0.25">
      <c r="B72" s="40" t="s">
        <v>140</v>
      </c>
      <c r="C72" s="40" t="s">
        <v>49</v>
      </c>
      <c r="D72" s="40" t="s">
        <v>273</v>
      </c>
      <c r="E72" s="43" t="s">
        <v>16</v>
      </c>
      <c r="G72" s="49">
        <f>IF(ISNA(VLOOKUP($B72,'Other Capital Needs'!$C$51:$P$95,G$6,0)),0,VLOOKUP($B72,'Other Capital Needs'!$C$51:$P$95,G$6,0))+IF(ISNA(VLOOKUP('Project Details by Yr'!$B72,'Public Grounds'!$A$11:$N$49,G$6,0)),0,VLOOKUP('Project Details by Yr'!$B72,'Public Grounds'!$A$11:$N$49,G$6,0))+IF(ISNA(VLOOKUP('Project Details by Yr'!$B72,'Public Buildings'!$A$10:$N$96,G$6,0)),0,VLOOKUP('Project Details by Yr'!$B72,'Public Buildings'!$A$10:$N$96,G$6,0))+IF(ISNA(VLOOKUP('Project Details by Yr'!$B72,Bridges!$A$9:$N$24,G$6,0)),0,VLOOKUP('Project Details by Yr'!$B72,Bridges!$A$9:$N$24,G$6,0))+IF(ISNA(VLOOKUP('Project Details by Yr'!$B72,'Parking Lots &amp; Playgrounds'!$A$9:$N$33,G$6,0)),0,VLOOKUP('Project Details by Yr'!$B72,'Parking Lots &amp; Playgrounds'!$A$9:$N$33,G$6,0))+IF(ISNA(VLOOKUP($B72,Vehicles!$B$9:$O$50,G$6,0)),0,VLOOKUP($B72,Vehicles!$B$9:$O$50,G$6,0))</f>
        <v>0</v>
      </c>
      <c r="H72" s="50">
        <v>1</v>
      </c>
      <c r="I72" s="49">
        <f t="shared" si="3"/>
        <v>0</v>
      </c>
      <c r="J72" s="49">
        <f t="shared" si="4"/>
        <v>0</v>
      </c>
      <c r="K72" s="49">
        <f t="shared" si="5"/>
        <v>0</v>
      </c>
    </row>
    <row r="73" spans="2:12" x14ac:dyDescent="0.25">
      <c r="E73" s="43"/>
      <c r="G73" s="49"/>
      <c r="H73" s="50"/>
      <c r="I73" s="49"/>
      <c r="J73" s="49"/>
      <c r="K73" s="49"/>
    </row>
    <row r="74" spans="2:12" x14ac:dyDescent="0.25">
      <c r="B74" s="40" t="s">
        <v>274</v>
      </c>
      <c r="C74" s="40" t="s">
        <v>250</v>
      </c>
      <c r="D74" s="40" t="s">
        <v>272</v>
      </c>
      <c r="E74" s="43" t="s">
        <v>19</v>
      </c>
      <c r="G74" s="49">
        <f>Summary!E41</f>
        <v>1500000</v>
      </c>
      <c r="H74" s="50">
        <v>1</v>
      </c>
      <c r="I74" s="49">
        <f>IF($H74=1,IF($E74="Bond",$G74,0),0)</f>
        <v>1500000</v>
      </c>
      <c r="J74" s="49">
        <f>IF($H74=1,IF($E74="GF",$G74,0),0)</f>
        <v>0</v>
      </c>
      <c r="K74" s="49">
        <f>IF($H74=1,IF($E74="Grant",$G74,0),0)</f>
        <v>0</v>
      </c>
    </row>
    <row r="75" spans="2:12" x14ac:dyDescent="0.25">
      <c r="B75" s="40" t="s">
        <v>99</v>
      </c>
      <c r="C75" s="40" t="s">
        <v>48</v>
      </c>
      <c r="D75" s="40" t="s">
        <v>272</v>
      </c>
      <c r="E75" s="43" t="s">
        <v>19</v>
      </c>
      <c r="G75" s="49">
        <f>IF(ISNA(VLOOKUP($B75,'Other Capital Needs'!$C$51:$P$95,G$6,0)),0,VLOOKUP($B75,'Other Capital Needs'!$C$51:$P$95,G$6,0))+IF(ISNA(VLOOKUP('Project Details by Yr'!$B75,'Public Grounds'!$A$11:$N$49,G$6,0)),0,VLOOKUP('Project Details by Yr'!$B75,'Public Grounds'!$A$11:$N$49,G$6,0))+IF(ISNA(VLOOKUP('Project Details by Yr'!$B75,'Public Buildings'!$A$10:$N$96,G$6,0)),0,VLOOKUP('Project Details by Yr'!$B75,'Public Buildings'!$A$10:$N$96,G$6,0))+IF(ISNA(VLOOKUP('Project Details by Yr'!$B75,Bridges!$A$9:$N$24,G$6,0)),0,VLOOKUP('Project Details by Yr'!$B75,Bridges!$A$9:$N$24,G$6,0))+IF(ISNA(VLOOKUP('Project Details by Yr'!$B75,'Parking Lots &amp; Playgrounds'!$A$9:$N$33,G$6,0)),0,VLOOKUP('Project Details by Yr'!$B75,'Parking Lots &amp; Playgrounds'!$A$9:$N$33,G$6,0))+IF(ISNA(VLOOKUP($B75,Vehicles!$B$9:$O$50,G$6,0)),0,VLOOKUP($B75,Vehicles!$B$9:$O$50,G$6,0))</f>
        <v>0</v>
      </c>
      <c r="H75" s="50"/>
      <c r="I75" s="49">
        <f t="shared" ref="I75:I78" si="6">IF($H75=1,IF($E75="Bond",$G75,0),0)</f>
        <v>0</v>
      </c>
      <c r="J75" s="49">
        <f t="shared" ref="J75:J78" si="7">IF($H75=1,IF($E75="GF",$G75,0),0)</f>
        <v>0</v>
      </c>
      <c r="K75" s="49">
        <f t="shared" ref="K75:K78" si="8">IF($H75=1,IF($E75="Grant",$G75,0),0)</f>
        <v>0</v>
      </c>
      <c r="L75" s="52" t="s">
        <v>289</v>
      </c>
    </row>
    <row r="76" spans="2:12" x14ac:dyDescent="0.25">
      <c r="B76" s="40" t="s">
        <v>302</v>
      </c>
      <c r="C76" s="40" t="s">
        <v>48</v>
      </c>
      <c r="D76" s="40" t="s">
        <v>272</v>
      </c>
      <c r="E76" s="43" t="s">
        <v>19</v>
      </c>
      <c r="G76" s="49">
        <f>IF(ISNA(VLOOKUP($B76,'Other Capital Needs'!$C$51:$P$95,G$6,0)),0,VLOOKUP($B76,'Other Capital Needs'!$C$51:$P$95,G$6,0))+IF(ISNA(VLOOKUP('Project Details by Yr'!$B76,'Public Grounds'!$A$11:$N$49,G$6,0)),0,VLOOKUP('Project Details by Yr'!$B76,'Public Grounds'!$A$11:$N$49,G$6,0))+IF(ISNA(VLOOKUP('Project Details by Yr'!$B76,'Public Buildings'!$A$10:$N$96,G$6,0)),0,VLOOKUP('Project Details by Yr'!$B76,'Public Buildings'!$A$10:$N$96,G$6,0))+IF(ISNA(VLOOKUP('Project Details by Yr'!$B76,Bridges!$A$9:$N$24,G$6,0)),0,VLOOKUP('Project Details by Yr'!$B76,Bridges!$A$9:$N$24,G$6,0))+IF(ISNA(VLOOKUP('Project Details by Yr'!$B76,'Parking Lots &amp; Playgrounds'!$A$9:$N$33,G$6,0)),0,VLOOKUP('Project Details by Yr'!$B76,'Parking Lots &amp; Playgrounds'!$A$9:$N$33,G$6,0))+IF(ISNA(VLOOKUP($B76,Vehicles!$B$9:$O$50,G$6,0)),0,VLOOKUP($B76,Vehicles!$B$9:$O$50,G$6,0))</f>
        <v>907800</v>
      </c>
      <c r="H76" s="50">
        <v>1</v>
      </c>
      <c r="I76" s="49">
        <f t="shared" si="6"/>
        <v>907800</v>
      </c>
      <c r="J76" s="49">
        <f t="shared" si="7"/>
        <v>0</v>
      </c>
      <c r="K76" s="49">
        <f t="shared" si="8"/>
        <v>0</v>
      </c>
    </row>
    <row r="77" spans="2:12" x14ac:dyDescent="0.25">
      <c r="B77" s="40" t="s">
        <v>288</v>
      </c>
      <c r="C77" s="40" t="s">
        <v>48</v>
      </c>
      <c r="D77" s="40" t="s">
        <v>272</v>
      </c>
      <c r="E77" s="43" t="s">
        <v>16</v>
      </c>
      <c r="G77" s="49">
        <f>IF(ISNA(VLOOKUP($B77,'Other Capital Needs'!$C$51:$P$95,G$6,0)),0,VLOOKUP($B77,'Other Capital Needs'!$C$51:$P$95,G$6,0))+IF(ISNA(VLOOKUP('Project Details by Yr'!$B77,'Public Grounds'!$A$11:$N$49,G$6,0)),0,VLOOKUP('Project Details by Yr'!$B77,'Public Grounds'!$A$11:$N$49,G$6,0))+IF(ISNA(VLOOKUP('Project Details by Yr'!$B77,'Public Buildings'!$A$10:$N$96,G$6,0)),0,VLOOKUP('Project Details by Yr'!$B77,'Public Buildings'!$A$10:$N$96,G$6,0))+IF(ISNA(VLOOKUP('Project Details by Yr'!$B77,Bridges!$A$9:$N$24,G$6,0)),0,VLOOKUP('Project Details by Yr'!$B77,Bridges!$A$9:$N$24,G$6,0))+IF(ISNA(VLOOKUP('Project Details by Yr'!$B77,'Parking Lots &amp; Playgrounds'!$A$9:$N$33,G$6,0)),0,VLOOKUP('Project Details by Yr'!$B77,'Parking Lots &amp; Playgrounds'!$A$9:$N$33,G$6,0))+IF(ISNA(VLOOKUP($B77,Vehicles!$B$9:$O$50,G$6,0)),0,VLOOKUP($B77,Vehicles!$B$9:$O$50,G$6,0))</f>
        <v>782400</v>
      </c>
      <c r="H77" s="50">
        <v>1</v>
      </c>
      <c r="I77" s="49">
        <f t="shared" si="6"/>
        <v>0</v>
      </c>
      <c r="J77" s="49">
        <f t="shared" si="7"/>
        <v>782400</v>
      </c>
      <c r="K77" s="49">
        <f t="shared" si="8"/>
        <v>0</v>
      </c>
    </row>
    <row r="78" spans="2:12" x14ac:dyDescent="0.25">
      <c r="B78" s="40" t="s">
        <v>301</v>
      </c>
      <c r="C78" s="40" t="s">
        <v>48</v>
      </c>
      <c r="D78" s="40" t="s">
        <v>272</v>
      </c>
      <c r="E78" s="43" t="s">
        <v>19</v>
      </c>
      <c r="G78" s="49">
        <f>IF(ISNA(VLOOKUP($B78,'Other Capital Needs'!$C$51:$P$95,G$6,0)),0,VLOOKUP($B78,'Other Capital Needs'!$C$51:$P$95,G$6,0))+IF(ISNA(VLOOKUP('Project Details by Yr'!$B78,'Public Grounds'!$A$11:$N$49,G$6,0)),0,VLOOKUP('Project Details by Yr'!$B78,'Public Grounds'!$A$11:$N$49,G$6,0))+IF(ISNA(VLOOKUP('Project Details by Yr'!$B78,'Public Buildings'!$A$10:$N$96,G$6,0)),0,VLOOKUP('Project Details by Yr'!$B78,'Public Buildings'!$A$10:$N$96,G$6,0))+IF(ISNA(VLOOKUP('Project Details by Yr'!$B78,Bridges!$A$9:$N$24,G$6,0)),0,VLOOKUP('Project Details by Yr'!$B78,Bridges!$A$9:$N$24,G$6,0))+IF(ISNA(VLOOKUP('Project Details by Yr'!$B78,'Parking Lots &amp; Playgrounds'!$A$9:$N$33,G$6,0)),0,VLOOKUP('Project Details by Yr'!$B78,'Parking Lots &amp; Playgrounds'!$A$9:$N$33,G$6,0))+IF(ISNA(VLOOKUP($B78,Vehicles!$B$9:$O$50,G$6,0)),0,VLOOKUP($B78,Vehicles!$B$9:$O$50,G$6,0))</f>
        <v>425000</v>
      </c>
      <c r="H78" s="50"/>
      <c r="I78" s="49">
        <f t="shared" si="6"/>
        <v>0</v>
      </c>
      <c r="J78" s="49">
        <f t="shared" si="7"/>
        <v>0</v>
      </c>
      <c r="K78" s="49">
        <f t="shared" si="8"/>
        <v>0</v>
      </c>
      <c r="L78" s="52" t="s">
        <v>300</v>
      </c>
    </row>
    <row r="79" spans="2:12" x14ac:dyDescent="0.25">
      <c r="E79" s="43"/>
      <c r="G79" s="49"/>
      <c r="H79" s="50"/>
      <c r="I79" s="49"/>
      <c r="J79" s="49"/>
      <c r="K79" s="49"/>
    </row>
    <row r="80" spans="2:12" ht="15.75" thickBot="1" x14ac:dyDescent="0.3">
      <c r="G80" s="58">
        <f>SUM(G9:G79)</f>
        <v>7833828</v>
      </c>
      <c r="H80" s="59">
        <f>SUM(H9:H79)</f>
        <v>37</v>
      </c>
      <c r="I80" s="58">
        <f>SUM(I9:I79)</f>
        <v>3807800</v>
      </c>
      <c r="J80" s="58">
        <f>SUM(J9:J79)</f>
        <v>3218329</v>
      </c>
      <c r="K80" s="58">
        <f>SUM(K9:K79)</f>
        <v>120000</v>
      </c>
    </row>
    <row r="81" spans="1:12" ht="15.75" thickTop="1" x14ac:dyDescent="0.25">
      <c r="G81" s="60" t="e">
        <f>G80-Summary!E96</f>
        <v>#REF!</v>
      </c>
      <c r="I81" s="60"/>
      <c r="J81" s="60"/>
      <c r="K81" s="60"/>
    </row>
    <row r="84" spans="1:12" x14ac:dyDescent="0.25">
      <c r="B84" s="46" t="s">
        <v>275</v>
      </c>
      <c r="C84" s="46" t="s">
        <v>246</v>
      </c>
      <c r="D84" s="46" t="s">
        <v>276</v>
      </c>
      <c r="E84" s="46" t="s">
        <v>271</v>
      </c>
      <c r="G84" s="46" t="s">
        <v>4</v>
      </c>
      <c r="H84" s="47" t="s">
        <v>285</v>
      </c>
      <c r="I84" s="46" t="s">
        <v>19</v>
      </c>
      <c r="J84" s="46" t="s">
        <v>16</v>
      </c>
      <c r="K84" s="46" t="s">
        <v>286</v>
      </c>
    </row>
    <row r="85" spans="1:12" x14ac:dyDescent="0.25">
      <c r="E85" s="43"/>
      <c r="I85" s="61"/>
      <c r="J85" s="61"/>
      <c r="K85" s="61"/>
    </row>
    <row r="86" spans="1:12" x14ac:dyDescent="0.25">
      <c r="A86" s="48" t="s">
        <v>210</v>
      </c>
      <c r="B86" s="40" t="s">
        <v>204</v>
      </c>
      <c r="C86" s="40" t="s">
        <v>101</v>
      </c>
      <c r="D86" s="40" t="s">
        <v>272</v>
      </c>
      <c r="E86" s="43" t="s">
        <v>16</v>
      </c>
      <c r="G86" s="49">
        <f>IF(ISNA(VLOOKUP($B86,'Other Capital Needs'!$C$51:$P$95,H$6,0)),0,VLOOKUP($B86,'Other Capital Needs'!$C$51:$P$95,H$6,0))+IF(ISNA(VLOOKUP('Project Details by Yr'!$B86,'Public Grounds'!$A$11:$N$49,H$6,0)),0,VLOOKUP('Project Details by Yr'!$B86,'Public Grounds'!$A$11:$N$49,H$6,0))+IF(ISNA(VLOOKUP('Project Details by Yr'!$B86,'Public Buildings'!$A$10:$N$96,H$6,0)),0,VLOOKUP('Project Details by Yr'!$B86,'Public Buildings'!$A$10:$N$96,H$6,0))+IF(ISNA(VLOOKUP('Project Details by Yr'!$B86,Bridges!$A$9:$N$24,H$6,0)),0,VLOOKUP('Project Details by Yr'!$B86,Bridges!$A$9:$N$24,H$6,0))+IF(ISNA(VLOOKUP('Project Details by Yr'!$B86,'Parking Lots &amp; Playgrounds'!$A$9:$N$33,H$6,0)),0,VLOOKUP('Project Details by Yr'!$B86,'Parking Lots &amp; Playgrounds'!$A$9:$N$33,H$6,0))+IF(ISNA(VLOOKUP($B86,Vehicles!$B$9:$O$50,H$6,0)),0,VLOOKUP($B86,Vehicles!$B$9:$O$50,H$6,0))</f>
        <v>181679</v>
      </c>
      <c r="H86" s="50">
        <v>1</v>
      </c>
      <c r="I86" s="49">
        <f t="shared" ref="I86:I140" si="9">IF($H86=1,IF($E86="Bond",$G86,0),0)</f>
        <v>0</v>
      </c>
      <c r="J86" s="49">
        <f t="shared" ref="J86:J140" si="10">IF($H86=1,IF($E86="GF",$G86,0),0)</f>
        <v>181679</v>
      </c>
      <c r="K86" s="49">
        <f t="shared" ref="K86:K140" si="11">IF($H86=1,IF($E86="Grant",$G86,0),0)</f>
        <v>0</v>
      </c>
    </row>
    <row r="87" spans="1:12" x14ac:dyDescent="0.25">
      <c r="A87" s="48" t="s">
        <v>209</v>
      </c>
      <c r="B87" s="40" t="s">
        <v>107</v>
      </c>
      <c r="C87" s="40" t="s">
        <v>101</v>
      </c>
      <c r="D87" s="40" t="s">
        <v>272</v>
      </c>
      <c r="E87" s="43" t="s">
        <v>16</v>
      </c>
      <c r="G87" s="49">
        <f>IF(ISNA(VLOOKUP($B87,'Other Capital Needs'!$C$51:$P$95,H$6,0)),0,VLOOKUP($B87,'Other Capital Needs'!$C$51:$P$95,H$6,0))+IF(ISNA(VLOOKUP('Project Details by Yr'!$B87,'Public Grounds'!$A$11:$N$49,H$6,0)),0,VLOOKUP('Project Details by Yr'!$B87,'Public Grounds'!$A$11:$N$49,H$6,0))+IF(ISNA(VLOOKUP('Project Details by Yr'!$B87,'Public Buildings'!$A$10:$N$96,H$6,0)),0,VLOOKUP('Project Details by Yr'!$B87,'Public Buildings'!$A$10:$N$96,H$6,0))+IF(ISNA(VLOOKUP('Project Details by Yr'!$B87,Bridges!$A$9:$N$24,H$6,0)),0,VLOOKUP('Project Details by Yr'!$B87,Bridges!$A$9:$N$24,H$6,0))+IF(ISNA(VLOOKUP('Project Details by Yr'!$B87,'Parking Lots &amp; Playgrounds'!$A$9:$N$33,H$6,0)),0,VLOOKUP('Project Details by Yr'!$B87,'Parking Lots &amp; Playgrounds'!$A$9:$N$33,H$6,0))+IF(ISNA(VLOOKUP($B87,Vehicles!$B$9:$O$50,H$6,0)),0,VLOOKUP($B87,Vehicles!$B$9:$O$50,H$6,0))</f>
        <v>50000</v>
      </c>
      <c r="H87" s="50">
        <v>1</v>
      </c>
      <c r="I87" s="49">
        <f t="shared" si="9"/>
        <v>0</v>
      </c>
      <c r="J87" s="49">
        <f t="shared" si="10"/>
        <v>50000</v>
      </c>
      <c r="K87" s="49">
        <f t="shared" si="11"/>
        <v>0</v>
      </c>
    </row>
    <row r="88" spans="1:12" x14ac:dyDescent="0.25">
      <c r="A88" s="48">
        <v>17</v>
      </c>
      <c r="B88" s="40" t="s">
        <v>149</v>
      </c>
      <c r="C88" s="40" t="s">
        <v>101</v>
      </c>
      <c r="D88" s="40" t="s">
        <v>272</v>
      </c>
      <c r="E88" s="43" t="s">
        <v>16</v>
      </c>
      <c r="G88" s="49">
        <f>IF(ISNA(VLOOKUP($B88,'Other Capital Needs'!$C$51:$P$95,H$6,0)),0,VLOOKUP($B88,'Other Capital Needs'!$C$51:$P$95,H$6,0))+IF(ISNA(VLOOKUP('Project Details by Yr'!$B88,'Public Grounds'!$A$11:$N$49,H$6,0)),0,VLOOKUP('Project Details by Yr'!$B88,'Public Grounds'!$A$11:$N$49,H$6,0))+IF(ISNA(VLOOKUP('Project Details by Yr'!$B88,'Public Buildings'!$A$10:$N$96,H$6,0)),0,VLOOKUP('Project Details by Yr'!$B88,'Public Buildings'!$A$10:$N$96,H$6,0))+IF(ISNA(VLOOKUP('Project Details by Yr'!$B88,Bridges!$A$9:$N$24,H$6,0)),0,VLOOKUP('Project Details by Yr'!$B88,Bridges!$A$9:$N$24,H$6,0))+IF(ISNA(VLOOKUP('Project Details by Yr'!$B88,'Parking Lots &amp; Playgrounds'!$A$9:$N$33,H$6,0)),0,VLOOKUP('Project Details by Yr'!$B88,'Parking Lots &amp; Playgrounds'!$A$9:$N$33,H$6,0))+IF(ISNA(VLOOKUP($B88,Vehicles!$B$9:$O$50,H$6,0)),0,VLOOKUP($B88,Vehicles!$B$9:$O$50,H$6,0))</f>
        <v>0</v>
      </c>
      <c r="H88" s="50"/>
      <c r="I88" s="49">
        <f t="shared" si="9"/>
        <v>0</v>
      </c>
      <c r="J88" s="49">
        <f t="shared" si="10"/>
        <v>0</v>
      </c>
      <c r="K88" s="49">
        <f t="shared" si="11"/>
        <v>0</v>
      </c>
      <c r="L88" s="52" t="s">
        <v>290</v>
      </c>
    </row>
    <row r="89" spans="1:12" x14ac:dyDescent="0.25">
      <c r="A89" s="48">
        <v>31</v>
      </c>
      <c r="B89" s="40" t="s">
        <v>150</v>
      </c>
      <c r="C89" s="40" t="s">
        <v>101</v>
      </c>
      <c r="D89" s="40" t="s">
        <v>272</v>
      </c>
      <c r="E89" s="53" t="s">
        <v>286</v>
      </c>
      <c r="G89" s="49">
        <f>IF(ISNA(VLOOKUP($B89,'Other Capital Needs'!$C$51:$P$95,H$6,0)),0,VLOOKUP($B89,'Other Capital Needs'!$C$51:$P$95,H$6,0))+IF(ISNA(VLOOKUP('Project Details by Yr'!$B89,'Public Grounds'!$A$11:$N$49,H$6,0)),0,VLOOKUP('Project Details by Yr'!$B89,'Public Grounds'!$A$11:$N$49,H$6,0))+IF(ISNA(VLOOKUP('Project Details by Yr'!$B89,'Public Buildings'!$A$10:$N$96,H$6,0)),0,VLOOKUP('Project Details by Yr'!$B89,'Public Buildings'!$A$10:$N$96,H$6,0))+IF(ISNA(VLOOKUP('Project Details by Yr'!$B89,Bridges!$A$9:$N$24,H$6,0)),0,VLOOKUP('Project Details by Yr'!$B89,Bridges!$A$9:$N$24,H$6,0))+IF(ISNA(VLOOKUP('Project Details by Yr'!$B89,'Parking Lots &amp; Playgrounds'!$A$9:$N$33,H$6,0)),0,VLOOKUP('Project Details by Yr'!$B89,'Parking Lots &amp; Playgrounds'!$A$9:$N$33,H$6,0))+IF(ISNA(VLOOKUP($B89,Vehicles!$B$9:$O$50,H$6,0)),0,VLOOKUP($B89,Vehicles!$B$9:$O$50,H$6,0))</f>
        <v>100000</v>
      </c>
      <c r="H89" s="50">
        <v>1</v>
      </c>
      <c r="I89" s="49">
        <f t="shared" si="9"/>
        <v>0</v>
      </c>
      <c r="J89" s="49">
        <f t="shared" si="10"/>
        <v>0</v>
      </c>
      <c r="K89" s="49">
        <f t="shared" si="11"/>
        <v>100000</v>
      </c>
    </row>
    <row r="90" spans="1:12" x14ac:dyDescent="0.25">
      <c r="A90" s="48">
        <v>31</v>
      </c>
      <c r="B90" s="40" t="s">
        <v>154</v>
      </c>
      <c r="C90" s="40" t="s">
        <v>101</v>
      </c>
      <c r="D90" s="40" t="s">
        <v>272</v>
      </c>
      <c r="E90" s="43" t="s">
        <v>16</v>
      </c>
      <c r="G90" s="49">
        <f>IF(ISNA(VLOOKUP($B90,'Other Capital Needs'!$C$51:$P$95,H$6,0)),0,VLOOKUP($B90,'Other Capital Needs'!$C$51:$P$95,H$6,0))+IF(ISNA(VLOOKUP('Project Details by Yr'!$B90,'Public Grounds'!$A$11:$N$49,H$6,0)),0,VLOOKUP('Project Details by Yr'!$B90,'Public Grounds'!$A$11:$N$49,H$6,0))+IF(ISNA(VLOOKUP('Project Details by Yr'!$B90,'Public Buildings'!$A$10:$N$96,H$6,0)),0,VLOOKUP('Project Details by Yr'!$B90,'Public Buildings'!$A$10:$N$96,H$6,0))+IF(ISNA(VLOOKUP('Project Details by Yr'!$B90,Bridges!$A$9:$N$24,H$6,0)),0,VLOOKUP('Project Details by Yr'!$B90,Bridges!$A$9:$N$24,H$6,0))+IF(ISNA(VLOOKUP('Project Details by Yr'!$B90,'Parking Lots &amp; Playgrounds'!$A$9:$N$33,H$6,0)),0,VLOOKUP('Project Details by Yr'!$B90,'Parking Lots &amp; Playgrounds'!$A$9:$N$33,H$6,0))+IF(ISNA(VLOOKUP($B90,Vehicles!$B$9:$O$50,H$6,0)),0,VLOOKUP($B90,Vehicles!$B$9:$O$50,H$6,0))</f>
        <v>50000</v>
      </c>
      <c r="H90" s="50">
        <v>1</v>
      </c>
      <c r="I90" s="49">
        <f t="shared" si="9"/>
        <v>0</v>
      </c>
      <c r="J90" s="49">
        <f t="shared" si="10"/>
        <v>50000</v>
      </c>
      <c r="K90" s="49">
        <f t="shared" si="11"/>
        <v>0</v>
      </c>
    </row>
    <row r="91" spans="1:12" x14ac:dyDescent="0.25">
      <c r="A91" s="43">
        <v>32</v>
      </c>
      <c r="B91" s="40" t="s">
        <v>160</v>
      </c>
      <c r="C91" s="40" t="s">
        <v>101</v>
      </c>
      <c r="D91" s="40" t="s">
        <v>272</v>
      </c>
      <c r="E91" s="43" t="s">
        <v>16</v>
      </c>
      <c r="G91" s="49">
        <f>IF(ISNA(VLOOKUP($B91,'Other Capital Needs'!$C$51:$P$95,H$6,0)),0,VLOOKUP($B91,'Other Capital Needs'!$C$51:$P$95,H$6,0))+IF(ISNA(VLOOKUP('Project Details by Yr'!$B91,'Public Grounds'!$A$11:$N$49,H$6,0)),0,VLOOKUP('Project Details by Yr'!$B91,'Public Grounds'!$A$11:$N$49,H$6,0))+IF(ISNA(VLOOKUP('Project Details by Yr'!$B91,'Public Buildings'!$A$10:$N$96,H$6,0)),0,VLOOKUP('Project Details by Yr'!$B91,'Public Buildings'!$A$10:$N$96,H$6,0))+IF(ISNA(VLOOKUP('Project Details by Yr'!$B91,Bridges!$A$9:$N$24,H$6,0)),0,VLOOKUP('Project Details by Yr'!$B91,Bridges!$A$9:$N$24,H$6,0))+IF(ISNA(VLOOKUP('Project Details by Yr'!$B91,'Parking Lots &amp; Playgrounds'!$A$9:$N$33,H$6,0)),0,VLOOKUP('Project Details by Yr'!$B91,'Parking Lots &amp; Playgrounds'!$A$9:$N$33,H$6,0))+IF(ISNA(VLOOKUP($B91,Vehicles!$B$9:$O$50,H$6,0)),0,VLOOKUP($B91,Vehicles!$B$9:$O$50,H$6,0))</f>
        <v>60000</v>
      </c>
      <c r="H91" s="50">
        <v>1</v>
      </c>
      <c r="I91" s="49">
        <f t="shared" si="9"/>
        <v>0</v>
      </c>
      <c r="J91" s="49">
        <f t="shared" si="10"/>
        <v>60000</v>
      </c>
      <c r="K91" s="49">
        <f t="shared" si="11"/>
        <v>0</v>
      </c>
    </row>
    <row r="92" spans="1:12" x14ac:dyDescent="0.25">
      <c r="A92" s="48">
        <v>32</v>
      </c>
      <c r="B92" s="40" t="s">
        <v>158</v>
      </c>
      <c r="C92" s="40" t="s">
        <v>101</v>
      </c>
      <c r="D92" s="40" t="s">
        <v>272</v>
      </c>
      <c r="E92" s="43" t="s">
        <v>16</v>
      </c>
      <c r="G92" s="49">
        <f>IF(ISNA(VLOOKUP($B92,'Other Capital Needs'!$C$51:$P$95,H$6,0)),0,VLOOKUP($B92,'Other Capital Needs'!$C$51:$P$95,H$6,0))+IF(ISNA(VLOOKUP('Project Details by Yr'!$B92,'Public Grounds'!$A$11:$N$49,H$6,0)),0,VLOOKUP('Project Details by Yr'!$B92,'Public Grounds'!$A$11:$N$49,H$6,0))+IF(ISNA(VLOOKUP('Project Details by Yr'!$B92,'Public Buildings'!$A$10:$N$96,H$6,0)),0,VLOOKUP('Project Details by Yr'!$B92,'Public Buildings'!$A$10:$N$96,H$6,0))+IF(ISNA(VLOOKUP('Project Details by Yr'!$B92,Bridges!$A$9:$N$24,H$6,0)),0,VLOOKUP('Project Details by Yr'!$B92,Bridges!$A$9:$N$24,H$6,0))+IF(ISNA(VLOOKUP('Project Details by Yr'!$B92,'Parking Lots &amp; Playgrounds'!$A$9:$N$33,H$6,0)),0,VLOOKUP('Project Details by Yr'!$B92,'Parking Lots &amp; Playgrounds'!$A$9:$N$33,H$6,0))+IF(ISNA(VLOOKUP($B92,Vehicles!$B$9:$O$50,H$6,0)),0,VLOOKUP($B92,Vehicles!$B$9:$O$50,H$6,0))</f>
        <v>0</v>
      </c>
      <c r="H92" s="50">
        <v>1</v>
      </c>
      <c r="I92" s="49">
        <f t="shared" si="9"/>
        <v>0</v>
      </c>
      <c r="J92" s="49">
        <f t="shared" si="10"/>
        <v>0</v>
      </c>
      <c r="K92" s="49">
        <f t="shared" si="11"/>
        <v>0</v>
      </c>
    </row>
    <row r="93" spans="1:12" x14ac:dyDescent="0.25">
      <c r="A93" s="48">
        <v>32</v>
      </c>
      <c r="B93" s="40" t="s">
        <v>161</v>
      </c>
      <c r="C93" s="40" t="s">
        <v>101</v>
      </c>
      <c r="D93" s="40" t="s">
        <v>272</v>
      </c>
      <c r="E93" s="43" t="s">
        <v>16</v>
      </c>
      <c r="G93" s="49">
        <f>IF(ISNA(VLOOKUP($B93,'Other Capital Needs'!$C$51:$P$95,H$6,0)),0,VLOOKUP($B93,'Other Capital Needs'!$C$51:$P$95,H$6,0))+IF(ISNA(VLOOKUP('Project Details by Yr'!$B93,'Public Grounds'!$A$11:$N$49,H$6,0)),0,VLOOKUP('Project Details by Yr'!$B93,'Public Grounds'!$A$11:$N$49,H$6,0))+IF(ISNA(VLOOKUP('Project Details by Yr'!$B93,'Public Buildings'!$A$10:$N$96,H$6,0)),0,VLOOKUP('Project Details by Yr'!$B93,'Public Buildings'!$A$10:$N$96,H$6,0))+IF(ISNA(VLOOKUP('Project Details by Yr'!$B93,Bridges!$A$9:$N$24,H$6,0)),0,VLOOKUP('Project Details by Yr'!$B93,Bridges!$A$9:$N$24,H$6,0))+IF(ISNA(VLOOKUP('Project Details by Yr'!$B93,'Parking Lots &amp; Playgrounds'!$A$9:$N$33,H$6,0)),0,VLOOKUP('Project Details by Yr'!$B93,'Parking Lots &amp; Playgrounds'!$A$9:$N$33,H$6,0))+IF(ISNA(VLOOKUP($B93,Vehicles!$B$9:$O$50,H$6,0)),0,VLOOKUP($B93,Vehicles!$B$9:$O$50,H$6,0))</f>
        <v>0</v>
      </c>
      <c r="H93" s="50">
        <v>1</v>
      </c>
      <c r="I93" s="49">
        <f t="shared" si="9"/>
        <v>0</v>
      </c>
      <c r="J93" s="49">
        <f t="shared" si="10"/>
        <v>0</v>
      </c>
      <c r="K93" s="49">
        <f t="shared" si="11"/>
        <v>0</v>
      </c>
    </row>
    <row r="94" spans="1:12" x14ac:dyDescent="0.25">
      <c r="A94" s="48">
        <v>32</v>
      </c>
      <c r="B94" s="40" t="s">
        <v>162</v>
      </c>
      <c r="C94" s="40" t="s">
        <v>101</v>
      </c>
      <c r="D94" s="40" t="s">
        <v>272</v>
      </c>
      <c r="E94" s="43" t="s">
        <v>16</v>
      </c>
      <c r="G94" s="49">
        <f>IF(ISNA(VLOOKUP($B94,'Other Capital Needs'!$C$51:$P$95,H$6,0)),0,VLOOKUP($B94,'Other Capital Needs'!$C$51:$P$95,H$6,0))+IF(ISNA(VLOOKUP('Project Details by Yr'!$B94,'Public Grounds'!$A$11:$N$49,H$6,0)),0,VLOOKUP('Project Details by Yr'!$B94,'Public Grounds'!$A$11:$N$49,H$6,0))+IF(ISNA(VLOOKUP('Project Details by Yr'!$B94,'Public Buildings'!$A$10:$N$96,H$6,0)),0,VLOOKUP('Project Details by Yr'!$B94,'Public Buildings'!$A$10:$N$96,H$6,0))+IF(ISNA(VLOOKUP('Project Details by Yr'!$B94,Bridges!$A$9:$N$24,H$6,0)),0,VLOOKUP('Project Details by Yr'!$B94,Bridges!$A$9:$N$24,H$6,0))+IF(ISNA(VLOOKUP('Project Details by Yr'!$B94,'Parking Lots &amp; Playgrounds'!$A$9:$N$33,H$6,0)),0,VLOOKUP('Project Details by Yr'!$B94,'Parking Lots &amp; Playgrounds'!$A$9:$N$33,H$6,0))+IF(ISNA(VLOOKUP($B94,Vehicles!$B$9:$O$50,H$6,0)),0,VLOOKUP($B94,Vehicles!$B$9:$O$50,H$6,0))</f>
        <v>0</v>
      </c>
      <c r="H94" s="50">
        <v>1</v>
      </c>
      <c r="I94" s="49">
        <f t="shared" si="9"/>
        <v>0</v>
      </c>
      <c r="J94" s="49">
        <f t="shared" si="10"/>
        <v>0</v>
      </c>
      <c r="K94" s="49">
        <f t="shared" si="11"/>
        <v>0</v>
      </c>
    </row>
    <row r="95" spans="1:12" x14ac:dyDescent="0.25">
      <c r="A95" s="48">
        <v>32</v>
      </c>
      <c r="B95" s="40" t="s">
        <v>163</v>
      </c>
      <c r="C95" s="40" t="s">
        <v>101</v>
      </c>
      <c r="D95" s="40" t="s">
        <v>272</v>
      </c>
      <c r="E95" s="43" t="s">
        <v>16</v>
      </c>
      <c r="G95" s="49">
        <f>IF(ISNA(VLOOKUP($B95,'Other Capital Needs'!$C$51:$P$95,H$6,0)),0,VLOOKUP($B95,'Other Capital Needs'!$C$51:$P$95,H$6,0))+IF(ISNA(VLOOKUP('Project Details by Yr'!$B95,'Public Grounds'!$A$11:$N$49,H$6,0)),0,VLOOKUP('Project Details by Yr'!$B95,'Public Grounds'!$A$11:$N$49,H$6,0))+IF(ISNA(VLOOKUP('Project Details by Yr'!$B95,'Public Buildings'!$A$10:$N$96,H$6,0)),0,VLOOKUP('Project Details by Yr'!$B95,'Public Buildings'!$A$10:$N$96,H$6,0))+IF(ISNA(VLOOKUP('Project Details by Yr'!$B95,Bridges!$A$9:$N$24,H$6,0)),0,VLOOKUP('Project Details by Yr'!$B95,Bridges!$A$9:$N$24,H$6,0))+IF(ISNA(VLOOKUP('Project Details by Yr'!$B95,'Parking Lots &amp; Playgrounds'!$A$9:$N$33,H$6,0)),0,VLOOKUP('Project Details by Yr'!$B95,'Parking Lots &amp; Playgrounds'!$A$9:$N$33,H$6,0))+IF(ISNA(VLOOKUP($B95,Vehicles!$B$9:$O$50,H$6,0)),0,VLOOKUP($B95,Vehicles!$B$9:$O$50,H$6,0))</f>
        <v>0</v>
      </c>
      <c r="H95" s="50">
        <v>1</v>
      </c>
      <c r="I95" s="49">
        <f t="shared" si="9"/>
        <v>0</v>
      </c>
      <c r="J95" s="49">
        <f t="shared" si="10"/>
        <v>0</v>
      </c>
      <c r="K95" s="49">
        <f t="shared" si="11"/>
        <v>0</v>
      </c>
    </row>
    <row r="96" spans="1:12" x14ac:dyDescent="0.25">
      <c r="A96" s="48">
        <v>32</v>
      </c>
      <c r="B96" s="54" t="s">
        <v>168</v>
      </c>
      <c r="C96" s="40" t="s">
        <v>101</v>
      </c>
      <c r="D96" s="40" t="s">
        <v>272</v>
      </c>
      <c r="E96" s="53" t="s">
        <v>16</v>
      </c>
      <c r="G96" s="49">
        <f>IF(ISNA(VLOOKUP($B96,'Other Capital Needs'!$C$51:$P$95,H$6,0)),0,VLOOKUP($B96,'Other Capital Needs'!$C$51:$P$95,H$6,0))+IF(ISNA(VLOOKUP('Project Details by Yr'!$B96,'Public Grounds'!$A$11:$N$49,H$6,0)),0,VLOOKUP('Project Details by Yr'!$B96,'Public Grounds'!$A$11:$N$49,H$6,0))+IF(ISNA(VLOOKUP('Project Details by Yr'!$B96,'Public Buildings'!$A$10:$N$96,H$6,0)),0,VLOOKUP('Project Details by Yr'!$B96,'Public Buildings'!$A$10:$N$96,H$6,0))+IF(ISNA(VLOOKUP('Project Details by Yr'!$B96,Bridges!$A$9:$N$24,H$6,0)),0,VLOOKUP('Project Details by Yr'!$B96,Bridges!$A$9:$N$24,H$6,0))+IF(ISNA(VLOOKUP('Project Details by Yr'!$B96,'Parking Lots &amp; Playgrounds'!$A$9:$N$33,H$6,0)),0,VLOOKUP('Project Details by Yr'!$B96,'Parking Lots &amp; Playgrounds'!$A$9:$N$33,H$6,0))+IF(ISNA(VLOOKUP($B96,Vehicles!$B$9:$O$50,H$6,0)),0,VLOOKUP($B96,Vehicles!$B$9:$O$50,H$6,0))</f>
        <v>0</v>
      </c>
      <c r="H96" s="50">
        <v>1</v>
      </c>
      <c r="I96" s="49">
        <f t="shared" si="9"/>
        <v>0</v>
      </c>
      <c r="J96" s="49">
        <f t="shared" si="10"/>
        <v>0</v>
      </c>
      <c r="K96" s="49">
        <f t="shared" si="11"/>
        <v>0</v>
      </c>
    </row>
    <row r="97" spans="1:12" x14ac:dyDescent="0.25">
      <c r="A97" s="48">
        <v>32</v>
      </c>
      <c r="B97" s="54" t="s">
        <v>169</v>
      </c>
      <c r="C97" s="40" t="s">
        <v>101</v>
      </c>
      <c r="D97" s="40" t="s">
        <v>272</v>
      </c>
      <c r="E97" s="53" t="s">
        <v>16</v>
      </c>
      <c r="G97" s="49">
        <f>IF(ISNA(VLOOKUP($B97,'Other Capital Needs'!$C$51:$P$95,H$6,0)),0,VLOOKUP($B97,'Other Capital Needs'!$C$51:$P$95,H$6,0))+IF(ISNA(VLOOKUP('Project Details by Yr'!$B97,'Public Grounds'!$A$11:$N$49,H$6,0)),0,VLOOKUP('Project Details by Yr'!$B97,'Public Grounds'!$A$11:$N$49,H$6,0))+IF(ISNA(VLOOKUP('Project Details by Yr'!$B97,'Public Buildings'!$A$10:$N$96,H$6,0)),0,VLOOKUP('Project Details by Yr'!$B97,'Public Buildings'!$A$10:$N$96,H$6,0))+IF(ISNA(VLOOKUP('Project Details by Yr'!$B97,Bridges!$A$9:$N$24,H$6,0)),0,VLOOKUP('Project Details by Yr'!$B97,Bridges!$A$9:$N$24,H$6,0))+IF(ISNA(VLOOKUP('Project Details by Yr'!$B97,'Parking Lots &amp; Playgrounds'!$A$9:$N$33,H$6,0)),0,VLOOKUP('Project Details by Yr'!$B97,'Parking Lots &amp; Playgrounds'!$A$9:$N$33,H$6,0))+IF(ISNA(VLOOKUP($B97,Vehicles!$B$9:$O$50,H$6,0)),0,VLOOKUP($B97,Vehicles!$B$9:$O$50,H$6,0))</f>
        <v>0</v>
      </c>
      <c r="H97" s="50">
        <v>1</v>
      </c>
      <c r="I97" s="49">
        <f t="shared" si="9"/>
        <v>0</v>
      </c>
      <c r="J97" s="49">
        <f t="shared" si="10"/>
        <v>0</v>
      </c>
      <c r="K97" s="49">
        <f t="shared" si="11"/>
        <v>0</v>
      </c>
    </row>
    <row r="98" spans="1:12" x14ac:dyDescent="0.25">
      <c r="A98" s="48">
        <v>32</v>
      </c>
      <c r="B98" s="54" t="s">
        <v>171</v>
      </c>
      <c r="C98" s="40" t="s">
        <v>101</v>
      </c>
      <c r="D98" s="40" t="s">
        <v>272</v>
      </c>
      <c r="E98" s="53" t="s">
        <v>16</v>
      </c>
      <c r="G98" s="49">
        <f>IF(ISNA(VLOOKUP($B98,'Other Capital Needs'!$C$51:$P$95,H$6,0)),0,VLOOKUP($B98,'Other Capital Needs'!$C$51:$P$95,H$6,0))+IF(ISNA(VLOOKUP('Project Details by Yr'!$B98,'Public Grounds'!$A$11:$N$49,H$6,0)),0,VLOOKUP('Project Details by Yr'!$B98,'Public Grounds'!$A$11:$N$49,H$6,0))+IF(ISNA(VLOOKUP('Project Details by Yr'!$B98,'Public Buildings'!$A$10:$N$96,H$6,0)),0,VLOOKUP('Project Details by Yr'!$B98,'Public Buildings'!$A$10:$N$96,H$6,0))+IF(ISNA(VLOOKUP('Project Details by Yr'!$B98,Bridges!$A$9:$N$24,H$6,0)),0,VLOOKUP('Project Details by Yr'!$B98,Bridges!$A$9:$N$24,H$6,0))+IF(ISNA(VLOOKUP('Project Details by Yr'!$B98,'Parking Lots &amp; Playgrounds'!$A$9:$N$33,H$6,0)),0,VLOOKUP('Project Details by Yr'!$B98,'Parking Lots &amp; Playgrounds'!$A$9:$N$33,H$6,0))+IF(ISNA(VLOOKUP($B98,Vehicles!$B$9:$O$50,H$6,0)),0,VLOOKUP($B98,Vehicles!$B$9:$O$50,H$6,0))</f>
        <v>0</v>
      </c>
      <c r="H98" s="50">
        <v>1</v>
      </c>
      <c r="I98" s="49">
        <f t="shared" si="9"/>
        <v>0</v>
      </c>
      <c r="J98" s="49">
        <f t="shared" si="10"/>
        <v>0</v>
      </c>
      <c r="K98" s="49">
        <f t="shared" si="11"/>
        <v>0</v>
      </c>
    </row>
    <row r="99" spans="1:12" x14ac:dyDescent="0.25">
      <c r="A99" s="48">
        <v>32</v>
      </c>
      <c r="B99" s="54" t="s">
        <v>172</v>
      </c>
      <c r="C99" s="40" t="s">
        <v>101</v>
      </c>
      <c r="D99" s="40" t="s">
        <v>272</v>
      </c>
      <c r="E99" s="53" t="s">
        <v>16</v>
      </c>
      <c r="G99" s="49">
        <f>IF(ISNA(VLOOKUP($B99,'Other Capital Needs'!$C$51:$P$95,H$6,0)),0,VLOOKUP($B99,'Other Capital Needs'!$C$51:$P$95,H$6,0))+IF(ISNA(VLOOKUP('Project Details by Yr'!$B99,'Public Grounds'!$A$11:$N$49,H$6,0)),0,VLOOKUP('Project Details by Yr'!$B99,'Public Grounds'!$A$11:$N$49,H$6,0))+IF(ISNA(VLOOKUP('Project Details by Yr'!$B99,'Public Buildings'!$A$10:$N$96,H$6,0)),0,VLOOKUP('Project Details by Yr'!$B99,'Public Buildings'!$A$10:$N$96,H$6,0))+IF(ISNA(VLOOKUP('Project Details by Yr'!$B99,Bridges!$A$9:$N$24,H$6,0)),0,VLOOKUP('Project Details by Yr'!$B99,Bridges!$A$9:$N$24,H$6,0))+IF(ISNA(VLOOKUP('Project Details by Yr'!$B99,'Parking Lots &amp; Playgrounds'!$A$9:$N$33,H$6,0)),0,VLOOKUP('Project Details by Yr'!$B99,'Parking Lots &amp; Playgrounds'!$A$9:$N$33,H$6,0))+IF(ISNA(VLOOKUP($B99,Vehicles!$B$9:$O$50,H$6,0)),0,VLOOKUP($B99,Vehicles!$B$9:$O$50,H$6,0))</f>
        <v>0</v>
      </c>
      <c r="H99" s="50">
        <v>1</v>
      </c>
      <c r="I99" s="49">
        <f t="shared" si="9"/>
        <v>0</v>
      </c>
      <c r="J99" s="49">
        <f t="shared" si="10"/>
        <v>0</v>
      </c>
      <c r="K99" s="49">
        <f t="shared" si="11"/>
        <v>0</v>
      </c>
    </row>
    <row r="100" spans="1:12" x14ac:dyDescent="0.25">
      <c r="A100" s="48">
        <v>32</v>
      </c>
      <c r="B100" s="54" t="s">
        <v>174</v>
      </c>
      <c r="C100" s="40" t="s">
        <v>101</v>
      </c>
      <c r="D100" s="40" t="s">
        <v>272</v>
      </c>
      <c r="E100" s="53" t="s">
        <v>16</v>
      </c>
      <c r="G100" s="49">
        <f>IF(ISNA(VLOOKUP($B100,'Other Capital Needs'!$C$51:$P$95,H$6,0)),0,VLOOKUP($B100,'Other Capital Needs'!$C$51:$P$95,H$6,0))+IF(ISNA(VLOOKUP('Project Details by Yr'!$B100,'Public Grounds'!$A$11:$N$49,H$6,0)),0,VLOOKUP('Project Details by Yr'!$B100,'Public Grounds'!$A$11:$N$49,H$6,0))+IF(ISNA(VLOOKUP('Project Details by Yr'!$B100,'Public Buildings'!$A$10:$N$96,H$6,0)),0,VLOOKUP('Project Details by Yr'!$B100,'Public Buildings'!$A$10:$N$96,H$6,0))+IF(ISNA(VLOOKUP('Project Details by Yr'!$B100,Bridges!$A$9:$N$24,H$6,0)),0,VLOOKUP('Project Details by Yr'!$B100,Bridges!$A$9:$N$24,H$6,0))+IF(ISNA(VLOOKUP('Project Details by Yr'!$B100,'Parking Lots &amp; Playgrounds'!$A$9:$N$33,H$6,0)),0,VLOOKUP('Project Details by Yr'!$B100,'Parking Lots &amp; Playgrounds'!$A$9:$N$33,H$6,0))+IF(ISNA(VLOOKUP($B100,Vehicles!$B$9:$O$50,H$6,0)),0,VLOOKUP($B100,Vehicles!$B$9:$O$50,H$6,0))</f>
        <v>0</v>
      </c>
      <c r="H100" s="50">
        <v>1</v>
      </c>
      <c r="I100" s="49">
        <f t="shared" si="9"/>
        <v>0</v>
      </c>
      <c r="J100" s="49">
        <f t="shared" si="10"/>
        <v>0</v>
      </c>
      <c r="K100" s="49">
        <f t="shared" si="11"/>
        <v>0</v>
      </c>
    </row>
    <row r="101" spans="1:12" x14ac:dyDescent="0.25">
      <c r="A101" s="48">
        <v>36</v>
      </c>
      <c r="B101" s="54" t="s">
        <v>177</v>
      </c>
      <c r="C101" s="54" t="s">
        <v>101</v>
      </c>
      <c r="D101" s="54" t="s">
        <v>272</v>
      </c>
      <c r="E101" s="53" t="s">
        <v>16</v>
      </c>
      <c r="F101" s="54"/>
      <c r="G101" s="49">
        <f>IF(ISNA(VLOOKUP($B101,'Other Capital Needs'!$C$51:$P$95,H$6,0)),0,VLOOKUP($B101,'Other Capital Needs'!$C$51:$P$95,H$6,0))+IF(ISNA(VLOOKUP('Project Details by Yr'!$B101,'Public Grounds'!$A$11:$N$49,H$6,0)),0,VLOOKUP('Project Details by Yr'!$B101,'Public Grounds'!$A$11:$N$49,H$6,0))+IF(ISNA(VLOOKUP('Project Details by Yr'!$B101,'Public Buildings'!$A$10:$N$96,H$6,0)),0,VLOOKUP('Project Details by Yr'!$B101,'Public Buildings'!$A$10:$N$96,H$6,0))+IF(ISNA(VLOOKUP('Project Details by Yr'!$B101,Bridges!$A$9:$N$24,H$6,0)),0,VLOOKUP('Project Details by Yr'!$B101,Bridges!$A$9:$N$24,H$6,0))+IF(ISNA(VLOOKUP('Project Details by Yr'!$B101,'Parking Lots &amp; Playgrounds'!$A$9:$N$33,H$6,0)),0,VLOOKUP('Project Details by Yr'!$B101,'Parking Lots &amp; Playgrounds'!$A$9:$N$33,H$6,0))+IF(ISNA(VLOOKUP($B101,Vehicles!$B$9:$O$50,H$6,0)),0,VLOOKUP($B101,Vehicles!$B$9:$O$50,H$6,0))</f>
        <v>0</v>
      </c>
      <c r="H101" s="50">
        <v>1</v>
      </c>
      <c r="I101" s="49">
        <f t="shared" si="9"/>
        <v>0</v>
      </c>
      <c r="J101" s="49">
        <f t="shared" si="10"/>
        <v>0</v>
      </c>
      <c r="K101" s="49">
        <f t="shared" si="11"/>
        <v>0</v>
      </c>
    </row>
    <row r="102" spans="1:12" x14ac:dyDescent="0.25">
      <c r="A102" s="48">
        <v>36</v>
      </c>
      <c r="B102" s="54" t="s">
        <v>179</v>
      </c>
      <c r="C102" s="54" t="s">
        <v>101</v>
      </c>
      <c r="D102" s="54" t="s">
        <v>272</v>
      </c>
      <c r="E102" s="53" t="s">
        <v>286</v>
      </c>
      <c r="F102" s="54"/>
      <c r="G102" s="49">
        <f>IF(ISNA(VLOOKUP($B102,'Other Capital Needs'!$C$51:$P$95,H$6,0)),0,VLOOKUP($B102,'Other Capital Needs'!$C$51:$P$95,H$6,0))+IF(ISNA(VLOOKUP('Project Details by Yr'!$B102,'Public Grounds'!$A$11:$N$49,H$6,0)),0,VLOOKUP('Project Details by Yr'!$B102,'Public Grounds'!$A$11:$N$49,H$6,0))+IF(ISNA(VLOOKUP('Project Details by Yr'!$B102,'Public Buildings'!$A$10:$N$96,H$6,0)),0,VLOOKUP('Project Details by Yr'!$B102,'Public Buildings'!$A$10:$N$96,H$6,0))+IF(ISNA(VLOOKUP('Project Details by Yr'!$B102,Bridges!$A$9:$N$24,H$6,0)),0,VLOOKUP('Project Details by Yr'!$B102,Bridges!$A$9:$N$24,H$6,0))+IF(ISNA(VLOOKUP('Project Details by Yr'!$B102,'Parking Lots &amp; Playgrounds'!$A$9:$N$33,H$6,0)),0,VLOOKUP('Project Details by Yr'!$B102,'Parking Lots &amp; Playgrounds'!$A$9:$N$33,H$6,0))+IF(ISNA(VLOOKUP($B102,Vehicles!$B$9:$O$50,H$6,0)),0,VLOOKUP($B102,Vehicles!$B$9:$O$50,H$6,0))</f>
        <v>120000</v>
      </c>
      <c r="H102" s="50">
        <v>1</v>
      </c>
      <c r="I102" s="49">
        <f t="shared" si="9"/>
        <v>0</v>
      </c>
      <c r="J102" s="49">
        <f t="shared" si="10"/>
        <v>0</v>
      </c>
      <c r="K102" s="49">
        <f t="shared" si="11"/>
        <v>120000</v>
      </c>
    </row>
    <row r="103" spans="1:12" x14ac:dyDescent="0.25">
      <c r="A103" s="48">
        <v>36</v>
      </c>
      <c r="B103" s="54" t="s">
        <v>180</v>
      </c>
      <c r="C103" s="54" t="s">
        <v>101</v>
      </c>
      <c r="D103" s="54" t="s">
        <v>272</v>
      </c>
      <c r="E103" s="53" t="s">
        <v>16</v>
      </c>
      <c r="F103" s="54"/>
      <c r="G103" s="49">
        <f>IF(ISNA(VLOOKUP($B103,'Other Capital Needs'!$C$51:$P$95,H$6,0)),0,VLOOKUP($B103,'Other Capital Needs'!$C$51:$P$95,H$6,0))+IF(ISNA(VLOOKUP('Project Details by Yr'!$B103,'Public Grounds'!$A$11:$N$49,H$6,0)),0,VLOOKUP('Project Details by Yr'!$B103,'Public Grounds'!$A$11:$N$49,H$6,0))+IF(ISNA(VLOOKUP('Project Details by Yr'!$B103,'Public Buildings'!$A$10:$N$96,H$6,0)),0,VLOOKUP('Project Details by Yr'!$B103,'Public Buildings'!$A$10:$N$96,H$6,0))+IF(ISNA(VLOOKUP('Project Details by Yr'!$B103,Bridges!$A$9:$N$24,H$6,0)),0,VLOOKUP('Project Details by Yr'!$B103,Bridges!$A$9:$N$24,H$6,0))+IF(ISNA(VLOOKUP('Project Details by Yr'!$B103,'Parking Lots &amp; Playgrounds'!$A$9:$N$33,H$6,0)),0,VLOOKUP('Project Details by Yr'!$B103,'Parking Lots &amp; Playgrounds'!$A$9:$N$33,H$6,0))+IF(ISNA(VLOOKUP($B103,Vehicles!$B$9:$O$50,H$6,0)),0,VLOOKUP($B103,Vehicles!$B$9:$O$50,H$6,0))</f>
        <v>0</v>
      </c>
      <c r="H103" s="50">
        <v>1</v>
      </c>
      <c r="I103" s="49">
        <f t="shared" si="9"/>
        <v>0</v>
      </c>
      <c r="J103" s="49">
        <f t="shared" si="10"/>
        <v>0</v>
      </c>
      <c r="K103" s="49">
        <f t="shared" si="11"/>
        <v>0</v>
      </c>
    </row>
    <row r="104" spans="1:12" x14ac:dyDescent="0.25">
      <c r="A104" s="53">
        <v>43</v>
      </c>
      <c r="B104" t="s">
        <v>308</v>
      </c>
      <c r="C104" s="54" t="s">
        <v>101</v>
      </c>
      <c r="D104" s="54" t="s">
        <v>272</v>
      </c>
      <c r="E104" s="53" t="s">
        <v>16</v>
      </c>
      <c r="F104" s="54"/>
      <c r="G104" s="49">
        <f>IF(ISNA(VLOOKUP($B104,'Other Capital Needs'!$C$51:$P$95,H$6,0)),0,VLOOKUP($B104,'Other Capital Needs'!$C$51:$P$95,H$6,0))+IF(ISNA(VLOOKUP('Project Details by Yr'!$B104,'Public Grounds'!$A$11:$N$49,H$6,0)),0,VLOOKUP('Project Details by Yr'!$B104,'Public Grounds'!$A$11:$N$49,H$6,0))+IF(ISNA(VLOOKUP('Project Details by Yr'!$B104,'Public Buildings'!$A$10:$N$96,H$6,0)),0,VLOOKUP('Project Details by Yr'!$B104,'Public Buildings'!$A$10:$N$96,H$6,0))+IF(ISNA(VLOOKUP('Project Details by Yr'!$B104,Bridges!$A$9:$N$24,H$6,0)),0,VLOOKUP('Project Details by Yr'!$B104,Bridges!$A$9:$N$24,H$6,0))+IF(ISNA(VLOOKUP('Project Details by Yr'!$B104,'Parking Lots &amp; Playgrounds'!$A$9:$N$33,H$6,0)),0,VLOOKUP('Project Details by Yr'!$B104,'Parking Lots &amp; Playgrounds'!$A$9:$N$33,H$6,0))+IF(ISNA(VLOOKUP($B104,Vehicles!$B$9:$O$50,H$6,0)),0,VLOOKUP($B104,Vehicles!$B$9:$O$50,H$6,0))</f>
        <v>0</v>
      </c>
      <c r="H104" s="50">
        <v>1</v>
      </c>
      <c r="I104" s="49">
        <f t="shared" si="9"/>
        <v>0</v>
      </c>
      <c r="J104" s="49">
        <f t="shared" si="10"/>
        <v>0</v>
      </c>
      <c r="K104" s="49">
        <f t="shared" si="11"/>
        <v>0</v>
      </c>
    </row>
    <row r="105" spans="1:12" x14ac:dyDescent="0.25">
      <c r="A105" s="48">
        <v>43</v>
      </c>
      <c r="B105" s="40" t="s">
        <v>185</v>
      </c>
      <c r="C105" s="40" t="s">
        <v>101</v>
      </c>
      <c r="D105" s="40" t="s">
        <v>272</v>
      </c>
      <c r="E105" s="43" t="s">
        <v>16</v>
      </c>
      <c r="G105" s="49">
        <f>IF(ISNA(VLOOKUP($B105,'Other Capital Needs'!$C$51:$P$95,H$6,0)),0,VLOOKUP($B105,'Other Capital Needs'!$C$51:$P$95,H$6,0))+IF(ISNA(VLOOKUP('Project Details by Yr'!$B105,'Public Grounds'!$A$11:$N$49,H$6,0)),0,VLOOKUP('Project Details by Yr'!$B105,'Public Grounds'!$A$11:$N$49,H$6,0))+IF(ISNA(VLOOKUP('Project Details by Yr'!$B105,'Public Buildings'!$A$10:$N$96,H$6,0)),0,VLOOKUP('Project Details by Yr'!$B105,'Public Buildings'!$A$10:$N$96,H$6,0))+IF(ISNA(VLOOKUP('Project Details by Yr'!$B105,Bridges!$A$9:$N$24,H$6,0)),0,VLOOKUP('Project Details by Yr'!$B105,Bridges!$A$9:$N$24,H$6,0))+IF(ISNA(VLOOKUP('Project Details by Yr'!$B105,'Parking Lots &amp; Playgrounds'!$A$9:$N$33,H$6,0)),0,VLOOKUP('Project Details by Yr'!$B105,'Parking Lots &amp; Playgrounds'!$A$9:$N$33,H$6,0))+IF(ISNA(VLOOKUP($B105,Vehicles!$B$9:$O$50,H$6,0)),0,VLOOKUP($B105,Vehicles!$B$9:$O$50,H$6,0))</f>
        <v>0</v>
      </c>
      <c r="H105" s="50"/>
      <c r="I105" s="49">
        <f t="shared" si="9"/>
        <v>0</v>
      </c>
      <c r="J105" s="49">
        <f t="shared" si="10"/>
        <v>0</v>
      </c>
      <c r="K105" s="49">
        <f t="shared" si="11"/>
        <v>0</v>
      </c>
      <c r="L105" s="52" t="s">
        <v>294</v>
      </c>
    </row>
    <row r="106" spans="1:12" x14ac:dyDescent="0.25">
      <c r="A106" s="48">
        <v>53</v>
      </c>
      <c r="B106" s="40" t="s">
        <v>189</v>
      </c>
      <c r="C106" s="40" t="s">
        <v>101</v>
      </c>
      <c r="D106" s="40" t="s">
        <v>272</v>
      </c>
      <c r="E106" s="43" t="s">
        <v>16</v>
      </c>
      <c r="G106" s="49">
        <f>IF(ISNA(VLOOKUP($B106,'Other Capital Needs'!$C$51:$P$95,H$6,0)),0,VLOOKUP($B106,'Other Capital Needs'!$C$51:$P$95,H$6,0))+IF(ISNA(VLOOKUP('Project Details by Yr'!$B106,'Public Grounds'!$A$11:$N$49,H$6,0)),0,VLOOKUP('Project Details by Yr'!$B106,'Public Grounds'!$A$11:$N$49,H$6,0))+IF(ISNA(VLOOKUP('Project Details by Yr'!$B106,'Public Buildings'!$A$10:$N$96,H$6,0)),0,VLOOKUP('Project Details by Yr'!$B106,'Public Buildings'!$A$10:$N$96,H$6,0))+IF(ISNA(VLOOKUP('Project Details by Yr'!$B106,Bridges!$A$9:$N$24,H$6,0)),0,VLOOKUP('Project Details by Yr'!$B106,Bridges!$A$9:$N$24,H$6,0))+IF(ISNA(VLOOKUP('Project Details by Yr'!$B106,'Parking Lots &amp; Playgrounds'!$A$9:$N$33,H$6,0)),0,VLOOKUP('Project Details by Yr'!$B106,'Parking Lots &amp; Playgrounds'!$A$9:$N$33,H$6,0))+IF(ISNA(VLOOKUP($B106,Vehicles!$B$9:$O$50,H$6,0)),0,VLOOKUP($B106,Vehicles!$B$9:$O$50,H$6,0))</f>
        <v>0</v>
      </c>
      <c r="H106" s="50"/>
      <c r="I106" s="49">
        <f t="shared" si="9"/>
        <v>0</v>
      </c>
      <c r="J106" s="49">
        <f t="shared" si="10"/>
        <v>0</v>
      </c>
      <c r="K106" s="49">
        <f t="shared" si="11"/>
        <v>0</v>
      </c>
    </row>
    <row r="107" spans="1:12" x14ac:dyDescent="0.25">
      <c r="A107" s="48">
        <v>53</v>
      </c>
      <c r="B107" s="40" t="s">
        <v>190</v>
      </c>
      <c r="C107" s="40" t="s">
        <v>101</v>
      </c>
      <c r="D107" s="40" t="s">
        <v>272</v>
      </c>
      <c r="E107" s="43" t="s">
        <v>16</v>
      </c>
      <c r="G107" s="49">
        <f>IF(ISNA(VLOOKUP($B107,'Other Capital Needs'!$C$51:$P$95,H$6,0)),0,VLOOKUP($B107,'Other Capital Needs'!$C$51:$P$95,H$6,0))+IF(ISNA(VLOOKUP('Project Details by Yr'!$B107,'Public Grounds'!$A$11:$N$49,H$6,0)),0,VLOOKUP('Project Details by Yr'!$B107,'Public Grounds'!$A$11:$N$49,H$6,0))+IF(ISNA(VLOOKUP('Project Details by Yr'!$B107,'Public Buildings'!$A$10:$N$96,H$6,0)),0,VLOOKUP('Project Details by Yr'!$B107,'Public Buildings'!$A$10:$N$96,H$6,0))+IF(ISNA(VLOOKUP('Project Details by Yr'!$B107,Bridges!$A$9:$N$24,H$6,0)),0,VLOOKUP('Project Details by Yr'!$B107,Bridges!$A$9:$N$24,H$6,0))+IF(ISNA(VLOOKUP('Project Details by Yr'!$B107,'Parking Lots &amp; Playgrounds'!$A$9:$N$33,H$6,0)),0,VLOOKUP('Project Details by Yr'!$B107,'Parking Lots &amp; Playgrounds'!$A$9:$N$33,H$6,0))+IF(ISNA(VLOOKUP($B107,Vehicles!$B$9:$O$50,H$6,0)),0,VLOOKUP($B107,Vehicles!$B$9:$O$50,H$6,0))</f>
        <v>0</v>
      </c>
      <c r="H107" s="50"/>
      <c r="I107" s="49">
        <f t="shared" si="9"/>
        <v>0</v>
      </c>
      <c r="J107" s="49">
        <f t="shared" si="10"/>
        <v>0</v>
      </c>
      <c r="K107" s="49">
        <f t="shared" si="11"/>
        <v>0</v>
      </c>
    </row>
    <row r="108" spans="1:12" x14ac:dyDescent="0.25">
      <c r="B108" s="40" t="s">
        <v>20</v>
      </c>
      <c r="C108" s="54" t="s">
        <v>46</v>
      </c>
      <c r="D108" s="54" t="s">
        <v>272</v>
      </c>
      <c r="E108" s="43" t="s">
        <v>16</v>
      </c>
      <c r="G108" s="49">
        <f>IF(ISNA(VLOOKUP($B108,'Other Capital Needs'!$C$51:$P$95,H$6,0)),0,VLOOKUP($B108,'Other Capital Needs'!$C$51:$P$95,H$6,0))+IF(ISNA(VLOOKUP('Project Details by Yr'!$B108,'Public Grounds'!$A$11:$N$49,H$6,0)),0,VLOOKUP('Project Details by Yr'!$B108,'Public Grounds'!$A$11:$N$49,H$6,0))+IF(ISNA(VLOOKUP('Project Details by Yr'!$B108,'Public Buildings'!$A$10:$N$96,H$6,0)),0,VLOOKUP('Project Details by Yr'!$B108,'Public Buildings'!$A$10:$N$96,H$6,0))+IF(ISNA(VLOOKUP('Project Details by Yr'!$B108,Bridges!$A$9:$N$24,H$6,0)),0,VLOOKUP('Project Details by Yr'!$B108,Bridges!$A$9:$N$24,H$6,0))+IF(ISNA(VLOOKUP('Project Details by Yr'!$B108,'Parking Lots &amp; Playgrounds'!$A$9:$N$33,H$6,0)),0,VLOOKUP('Project Details by Yr'!$B108,'Parking Lots &amp; Playgrounds'!$A$9:$N$33,H$6,0))+IF(ISNA(VLOOKUP($B108,Vehicles!$B$9:$O$50,H$6,0)),0,VLOOKUP($B108,Vehicles!$B$9:$O$50,H$6,0))</f>
        <v>0</v>
      </c>
      <c r="H108" s="50">
        <v>1</v>
      </c>
      <c r="I108" s="49">
        <f t="shared" si="9"/>
        <v>0</v>
      </c>
      <c r="J108" s="49">
        <f t="shared" si="10"/>
        <v>0</v>
      </c>
      <c r="K108" s="49">
        <f t="shared" si="11"/>
        <v>0</v>
      </c>
    </row>
    <row r="109" spans="1:12" x14ac:dyDescent="0.25">
      <c r="B109" s="40" t="s">
        <v>21</v>
      </c>
      <c r="C109" s="54" t="s">
        <v>46</v>
      </c>
      <c r="D109" s="54" t="s">
        <v>272</v>
      </c>
      <c r="E109" s="43" t="s">
        <v>16</v>
      </c>
      <c r="G109" s="49">
        <f>IF(ISNA(VLOOKUP($B109,'Other Capital Needs'!$C$51:$P$95,H$6,0)),0,VLOOKUP($B109,'Other Capital Needs'!$C$51:$P$95,H$6,0))+IF(ISNA(VLOOKUP('Project Details by Yr'!$B109,'Public Grounds'!$A$11:$N$49,H$6,0)),0,VLOOKUP('Project Details by Yr'!$B109,'Public Grounds'!$A$11:$N$49,H$6,0))+IF(ISNA(VLOOKUP('Project Details by Yr'!$B109,'Public Buildings'!$A$10:$N$96,H$6,0)),0,VLOOKUP('Project Details by Yr'!$B109,'Public Buildings'!$A$10:$N$96,H$6,0))+IF(ISNA(VLOOKUP('Project Details by Yr'!$B109,Bridges!$A$9:$N$24,H$6,0)),0,VLOOKUP('Project Details by Yr'!$B109,Bridges!$A$9:$N$24,H$6,0))+IF(ISNA(VLOOKUP('Project Details by Yr'!$B109,'Parking Lots &amp; Playgrounds'!$A$9:$N$33,H$6,0)),0,VLOOKUP('Project Details by Yr'!$B109,'Parking Lots &amp; Playgrounds'!$A$9:$N$33,H$6,0))+IF(ISNA(VLOOKUP($B109,Vehicles!$B$9:$O$50,H$6,0)),0,VLOOKUP($B109,Vehicles!$B$9:$O$50,H$6,0))</f>
        <v>23500</v>
      </c>
      <c r="H109" s="50">
        <v>1</v>
      </c>
      <c r="I109" s="49">
        <f t="shared" si="9"/>
        <v>0</v>
      </c>
      <c r="J109" s="49">
        <f t="shared" si="10"/>
        <v>23500</v>
      </c>
      <c r="K109" s="49">
        <f t="shared" si="11"/>
        <v>0</v>
      </c>
    </row>
    <row r="110" spans="1:12" x14ac:dyDescent="0.25">
      <c r="B110" s="40" t="s">
        <v>25</v>
      </c>
      <c r="C110" s="54" t="s">
        <v>46</v>
      </c>
      <c r="D110" s="54" t="s">
        <v>272</v>
      </c>
      <c r="E110" s="43" t="s">
        <v>16</v>
      </c>
      <c r="G110" s="49">
        <f>IF(ISNA(VLOOKUP($B110,'Other Capital Needs'!$C$51:$P$95,H$6,0)),0,VLOOKUP($B110,'Other Capital Needs'!$C$51:$P$95,H$6,0))+IF(ISNA(VLOOKUP('Project Details by Yr'!$B110,'Public Grounds'!$A$11:$N$49,H$6,0)),0,VLOOKUP('Project Details by Yr'!$B110,'Public Grounds'!$A$11:$N$49,H$6,0))+IF(ISNA(VLOOKUP('Project Details by Yr'!$B110,'Public Buildings'!$A$10:$N$96,H$6,0)),0,VLOOKUP('Project Details by Yr'!$B110,'Public Buildings'!$A$10:$N$96,H$6,0))+IF(ISNA(VLOOKUP('Project Details by Yr'!$B110,Bridges!$A$9:$N$24,H$6,0)),0,VLOOKUP('Project Details by Yr'!$B110,Bridges!$A$9:$N$24,H$6,0))+IF(ISNA(VLOOKUP('Project Details by Yr'!$B110,'Parking Lots &amp; Playgrounds'!$A$9:$N$33,H$6,0)),0,VLOOKUP('Project Details by Yr'!$B110,'Parking Lots &amp; Playgrounds'!$A$9:$N$33,H$6,0))+IF(ISNA(VLOOKUP($B110,Vehicles!$B$9:$O$50,H$6,0)),0,VLOOKUP($B110,Vehicles!$B$9:$O$50,H$6,0))</f>
        <v>70000</v>
      </c>
      <c r="H110" s="50">
        <v>1</v>
      </c>
      <c r="I110" s="49">
        <f t="shared" si="9"/>
        <v>0</v>
      </c>
      <c r="J110" s="49">
        <f t="shared" si="10"/>
        <v>70000</v>
      </c>
      <c r="K110" s="49">
        <f t="shared" si="11"/>
        <v>0</v>
      </c>
    </row>
    <row r="111" spans="1:12" x14ac:dyDescent="0.25">
      <c r="B111" s="40" t="s">
        <v>216</v>
      </c>
      <c r="C111" s="40" t="s">
        <v>47</v>
      </c>
      <c r="D111" s="40" t="s">
        <v>272</v>
      </c>
      <c r="E111" s="43" t="s">
        <v>16</v>
      </c>
      <c r="G111" s="49">
        <f>IF(ISNA(VLOOKUP($B111,'Other Capital Needs'!$C$51:$P$95,H$6,0)),0,VLOOKUP($B111,'Other Capital Needs'!$C$51:$P$95,H$6,0))+IF(ISNA(VLOOKUP('Project Details by Yr'!$B111,'Public Grounds'!$A$11:$N$49,H$6,0)),0,VLOOKUP('Project Details by Yr'!$B111,'Public Grounds'!$A$11:$N$49,H$6,0))+IF(ISNA(VLOOKUP('Project Details by Yr'!$B111,'Public Buildings'!$A$10:$N$96,H$6,0)),0,VLOOKUP('Project Details by Yr'!$B111,'Public Buildings'!$A$10:$N$96,H$6,0))+IF(ISNA(VLOOKUP('Project Details by Yr'!$B111,Bridges!$A$9:$N$24,H$6,0)),0,VLOOKUP('Project Details by Yr'!$B111,Bridges!$A$9:$N$24,H$6,0))+IF(ISNA(VLOOKUP('Project Details by Yr'!$B111,'Parking Lots &amp; Playgrounds'!$A$9:$N$33,H$6,0)),0,VLOOKUP('Project Details by Yr'!$B111,'Parking Lots &amp; Playgrounds'!$A$9:$N$33,H$6,0))+IF(ISNA(VLOOKUP($B111,Vehicles!$B$9:$O$50,H$6,0)),0,VLOOKUP($B111,Vehicles!$B$9:$O$50,H$6,0))</f>
        <v>0</v>
      </c>
      <c r="H111" s="50"/>
      <c r="I111" s="49">
        <f t="shared" si="9"/>
        <v>0</v>
      </c>
      <c r="J111" s="49">
        <f t="shared" si="10"/>
        <v>0</v>
      </c>
      <c r="K111" s="49">
        <f t="shared" si="11"/>
        <v>0</v>
      </c>
      <c r="L111" s="52" t="s">
        <v>290</v>
      </c>
    </row>
    <row r="112" spans="1:12" x14ac:dyDescent="0.25">
      <c r="B112" s="40" t="s">
        <v>224</v>
      </c>
      <c r="C112" s="40" t="s">
        <v>47</v>
      </c>
      <c r="D112" s="40" t="s">
        <v>272</v>
      </c>
      <c r="E112" s="43" t="s">
        <v>16</v>
      </c>
      <c r="G112" s="49">
        <f>IF(ISNA(VLOOKUP($B112,'Other Capital Needs'!$C$51:$P$95,H$6,0)),0,VLOOKUP($B112,'Other Capital Needs'!$C$51:$P$95,H$6,0))+IF(ISNA(VLOOKUP('Project Details by Yr'!$B112,'Public Grounds'!$A$11:$N$49,H$6,0)),0,VLOOKUP('Project Details by Yr'!$B112,'Public Grounds'!$A$11:$N$49,H$6,0))+IF(ISNA(VLOOKUP('Project Details by Yr'!$B112,'Public Buildings'!$A$10:$N$96,H$6,0)),0,VLOOKUP('Project Details by Yr'!$B112,'Public Buildings'!$A$10:$N$96,H$6,0))+IF(ISNA(VLOOKUP('Project Details by Yr'!$B112,Bridges!$A$9:$N$24,H$6,0)),0,VLOOKUP('Project Details by Yr'!$B112,Bridges!$A$9:$N$24,H$6,0))+IF(ISNA(VLOOKUP('Project Details by Yr'!$B112,'Parking Lots &amp; Playgrounds'!$A$9:$N$33,H$6,0)),0,VLOOKUP('Project Details by Yr'!$B112,'Parking Lots &amp; Playgrounds'!$A$9:$N$33,H$6,0))+IF(ISNA(VLOOKUP($B112,Vehicles!$B$9:$O$50,H$6,0)),0,VLOOKUP($B112,Vehicles!$B$9:$O$50,H$6,0))</f>
        <v>45000</v>
      </c>
      <c r="H112" s="50"/>
      <c r="I112" s="49">
        <f t="shared" si="9"/>
        <v>0</v>
      </c>
      <c r="J112" s="49">
        <f t="shared" si="10"/>
        <v>0</v>
      </c>
      <c r="K112" s="49">
        <f t="shared" si="11"/>
        <v>0</v>
      </c>
    </row>
    <row r="113" spans="2:12" x14ac:dyDescent="0.25">
      <c r="B113" s="54" t="s">
        <v>221</v>
      </c>
      <c r="C113" s="54" t="s">
        <v>280</v>
      </c>
      <c r="D113" s="54" t="s">
        <v>272</v>
      </c>
      <c r="E113" s="53" t="s">
        <v>16</v>
      </c>
      <c r="F113" s="54"/>
      <c r="G113" s="49">
        <f>IF(ISNA(VLOOKUP($B113,'Other Capital Needs'!$C$51:$P$95,H$6,0)),0,VLOOKUP($B113,'Other Capital Needs'!$C$51:$P$95,H$6,0))+IF(ISNA(VLOOKUP('Project Details by Yr'!$B113,'Public Grounds'!$A$11:$N$49,H$6,0)),0,VLOOKUP('Project Details by Yr'!$B113,'Public Grounds'!$A$11:$N$49,H$6,0))+IF(ISNA(VLOOKUP('Project Details by Yr'!$B113,'Public Buildings'!$A$10:$N$96,H$6,0)),0,VLOOKUP('Project Details by Yr'!$B113,'Public Buildings'!$A$10:$N$96,H$6,0))+IF(ISNA(VLOOKUP('Project Details by Yr'!$B113,Bridges!$A$9:$N$24,H$6,0)),0,VLOOKUP('Project Details by Yr'!$B113,Bridges!$A$9:$N$24,H$6,0))+IF(ISNA(VLOOKUP('Project Details by Yr'!$B113,'Parking Lots &amp; Playgrounds'!$A$9:$N$33,H$6,0)),0,VLOOKUP('Project Details by Yr'!$B113,'Parking Lots &amp; Playgrounds'!$A$9:$N$33,H$6,0))+IF(ISNA(VLOOKUP($B113,Vehicles!$B$9:$O$50,H$6,0)),0,VLOOKUP($B113,Vehicles!$B$9:$O$50,H$6,0))</f>
        <v>0</v>
      </c>
      <c r="H113" s="50"/>
      <c r="I113" s="49">
        <f t="shared" si="9"/>
        <v>0</v>
      </c>
      <c r="J113" s="49">
        <f t="shared" si="10"/>
        <v>0</v>
      </c>
      <c r="K113" s="49">
        <f t="shared" si="11"/>
        <v>0</v>
      </c>
      <c r="L113" s="52" t="s">
        <v>290</v>
      </c>
    </row>
    <row r="114" spans="2:12" x14ac:dyDescent="0.25">
      <c r="B114" s="57" t="s">
        <v>232</v>
      </c>
      <c r="C114" s="40" t="s">
        <v>281</v>
      </c>
      <c r="D114" s="40" t="s">
        <v>272</v>
      </c>
      <c r="E114" s="43" t="s">
        <v>16</v>
      </c>
      <c r="G114" s="49">
        <f>IF(ISNA(VLOOKUP($B114,'Other Capital Needs'!$C$51:$P$95,H$6,0)),0,VLOOKUP($B114,'Other Capital Needs'!$C$51:$P$95,H$6,0))+IF(ISNA(VLOOKUP('Project Details by Yr'!$B114,'Public Grounds'!$A$11:$N$49,H$6,0)),0,VLOOKUP('Project Details by Yr'!$B114,'Public Grounds'!$A$11:$N$49,H$6,0))+IF(ISNA(VLOOKUP('Project Details by Yr'!$B114,'Public Buildings'!$A$10:$N$96,H$6,0)),0,VLOOKUP('Project Details by Yr'!$B114,'Public Buildings'!$A$10:$N$96,H$6,0))+IF(ISNA(VLOOKUP('Project Details by Yr'!$B114,Bridges!$A$9:$N$24,H$6,0)),0,VLOOKUP('Project Details by Yr'!$B114,Bridges!$A$9:$N$24,H$6,0))+IF(ISNA(VLOOKUP('Project Details by Yr'!$B114,'Parking Lots &amp; Playgrounds'!$A$9:$N$33,H$6,0)),0,VLOOKUP('Project Details by Yr'!$B114,'Parking Lots &amp; Playgrounds'!$A$9:$N$33,H$6,0))+IF(ISNA(VLOOKUP($B114,Vehicles!$B$9:$O$50,H$6,0)),0,VLOOKUP($B114,Vehicles!$B$9:$O$50,H$6,0))</f>
        <v>95000</v>
      </c>
      <c r="H114" s="50"/>
      <c r="I114" s="49">
        <f t="shared" si="9"/>
        <v>0</v>
      </c>
      <c r="J114" s="49">
        <f t="shared" si="10"/>
        <v>0</v>
      </c>
      <c r="K114" s="49">
        <f t="shared" si="11"/>
        <v>0</v>
      </c>
      <c r="L114" s="52" t="s">
        <v>290</v>
      </c>
    </row>
    <row r="115" spans="2:12" x14ac:dyDescent="0.25">
      <c r="B115" s="40" t="s">
        <v>225</v>
      </c>
      <c r="C115" s="40" t="s">
        <v>47</v>
      </c>
      <c r="D115" s="40" t="s">
        <v>272</v>
      </c>
      <c r="E115" s="43" t="s">
        <v>16</v>
      </c>
      <c r="G115" s="49">
        <f>IF(ISNA(VLOOKUP($B115,'Other Capital Needs'!$C$51:$P$95,H$6,0)),0,VLOOKUP($B115,'Other Capital Needs'!$C$51:$P$95,H$6,0))+IF(ISNA(VLOOKUP('Project Details by Yr'!$B115,'Public Grounds'!$A$11:$N$49,H$6,0)),0,VLOOKUP('Project Details by Yr'!$B115,'Public Grounds'!$A$11:$N$49,H$6,0))+IF(ISNA(VLOOKUP('Project Details by Yr'!$B115,'Public Buildings'!$A$10:$N$96,H$6,0)),0,VLOOKUP('Project Details by Yr'!$B115,'Public Buildings'!$A$10:$N$96,H$6,0))+IF(ISNA(VLOOKUP('Project Details by Yr'!$B115,Bridges!$A$9:$N$24,H$6,0)),0,VLOOKUP('Project Details by Yr'!$B115,Bridges!$A$9:$N$24,H$6,0))+IF(ISNA(VLOOKUP('Project Details by Yr'!$B115,'Parking Lots &amp; Playgrounds'!$A$9:$N$33,H$6,0)),0,VLOOKUP('Project Details by Yr'!$B115,'Parking Lots &amp; Playgrounds'!$A$9:$N$33,H$6,0))+IF(ISNA(VLOOKUP($B115,Vehicles!$B$9:$O$50,H$6,0)),0,VLOOKUP($B115,Vehicles!$B$9:$O$50,H$6,0))</f>
        <v>25000</v>
      </c>
      <c r="H115" s="50">
        <v>1</v>
      </c>
      <c r="I115" s="49">
        <f t="shared" si="9"/>
        <v>0</v>
      </c>
      <c r="J115" s="49">
        <f t="shared" si="10"/>
        <v>25000</v>
      </c>
      <c r="K115" s="49">
        <f t="shared" si="11"/>
        <v>0</v>
      </c>
    </row>
    <row r="116" spans="2:12" x14ac:dyDescent="0.25">
      <c r="B116" s="40" t="s">
        <v>199</v>
      </c>
      <c r="C116" s="40" t="s">
        <v>47</v>
      </c>
      <c r="D116" s="40" t="s">
        <v>273</v>
      </c>
      <c r="E116" s="43" t="s">
        <v>19</v>
      </c>
      <c r="G116" s="49">
        <f>IF(ISNA(VLOOKUP($B116,'Other Capital Needs'!$C$51:$P$95,H$6,0)),0,VLOOKUP($B116,'Other Capital Needs'!$C$51:$P$95,H$6,0))+IF(ISNA(VLOOKUP('Project Details by Yr'!$B116,'Public Grounds'!$A$11:$N$49,H$6,0)),0,VLOOKUP('Project Details by Yr'!$B116,'Public Grounds'!$A$11:$N$49,H$6,0))+IF(ISNA(VLOOKUP('Project Details by Yr'!$B116,'Public Buildings'!$A$10:$N$96,H$6,0)),0,VLOOKUP('Project Details by Yr'!$B116,'Public Buildings'!$A$10:$N$96,H$6,0))+IF(ISNA(VLOOKUP('Project Details by Yr'!$B116,Bridges!$A$9:$N$24,H$6,0)),0,VLOOKUP('Project Details by Yr'!$B116,Bridges!$A$9:$N$24,H$6,0))+IF(ISNA(VLOOKUP('Project Details by Yr'!$B116,'Parking Lots &amp; Playgrounds'!$A$9:$N$33,H$6,0)),0,VLOOKUP('Project Details by Yr'!$B116,'Parking Lots &amp; Playgrounds'!$A$9:$N$33,H$6,0))+IF(ISNA(VLOOKUP($B116,Vehicles!$B$9:$O$50,H$6,0)),0,VLOOKUP($B116,Vehicles!$B$9:$O$50,H$6,0))</f>
        <v>0</v>
      </c>
      <c r="H116" s="50">
        <v>1</v>
      </c>
      <c r="I116" s="49">
        <f t="shared" si="9"/>
        <v>0</v>
      </c>
      <c r="J116" s="49">
        <f t="shared" si="10"/>
        <v>0</v>
      </c>
      <c r="K116" s="49">
        <f t="shared" si="11"/>
        <v>0</v>
      </c>
    </row>
    <row r="117" spans="2:12" x14ac:dyDescent="0.25">
      <c r="B117" s="40" t="s">
        <v>191</v>
      </c>
      <c r="C117" s="40" t="s">
        <v>47</v>
      </c>
      <c r="D117" s="40" t="s">
        <v>273</v>
      </c>
      <c r="E117" s="43" t="s">
        <v>16</v>
      </c>
      <c r="G117" s="49">
        <f>IF(ISNA(VLOOKUP($B117,'Other Capital Needs'!$C$51:$P$95,H$6,0)),0,VLOOKUP($B117,'Other Capital Needs'!$C$51:$P$95,H$6,0))+IF(ISNA(VLOOKUP('Project Details by Yr'!$B117,'Public Grounds'!$A$11:$N$49,H$6,0)),0,VLOOKUP('Project Details by Yr'!$B117,'Public Grounds'!$A$11:$N$49,H$6,0))+IF(ISNA(VLOOKUP('Project Details by Yr'!$B117,'Public Buildings'!$A$10:$N$96,H$6,0)),0,VLOOKUP('Project Details by Yr'!$B117,'Public Buildings'!$A$10:$N$96,H$6,0))+IF(ISNA(VLOOKUP('Project Details by Yr'!$B117,Bridges!$A$9:$N$24,H$6,0)),0,VLOOKUP('Project Details by Yr'!$B117,Bridges!$A$9:$N$24,H$6,0))+IF(ISNA(VLOOKUP('Project Details by Yr'!$B117,'Parking Lots &amp; Playgrounds'!$A$9:$N$33,H$6,0)),0,VLOOKUP('Project Details by Yr'!$B117,'Parking Lots &amp; Playgrounds'!$A$9:$N$33,H$6,0))+IF(ISNA(VLOOKUP($B117,Vehicles!$B$9:$O$50,H$6,0)),0,VLOOKUP($B117,Vehicles!$B$9:$O$50,H$6,0))</f>
        <v>10000</v>
      </c>
      <c r="H117" s="50">
        <v>1</v>
      </c>
      <c r="I117" s="49">
        <f t="shared" si="9"/>
        <v>0</v>
      </c>
      <c r="J117" s="49">
        <f t="shared" si="10"/>
        <v>10000</v>
      </c>
      <c r="K117" s="49">
        <f t="shared" si="11"/>
        <v>0</v>
      </c>
    </row>
    <row r="118" spans="2:12" x14ac:dyDescent="0.25">
      <c r="B118" s="40" t="s">
        <v>192</v>
      </c>
      <c r="C118" s="40" t="s">
        <v>47</v>
      </c>
      <c r="D118" s="40" t="s">
        <v>273</v>
      </c>
      <c r="E118" s="43" t="s">
        <v>16</v>
      </c>
      <c r="G118" s="49">
        <f>IF(ISNA(VLOOKUP($B118,'Other Capital Needs'!$C$51:$P$95,H$6,0)),0,VLOOKUP($B118,'Other Capital Needs'!$C$51:$P$95,H$6,0))+IF(ISNA(VLOOKUP('Project Details by Yr'!$B118,'Public Grounds'!$A$11:$N$49,H$6,0)),0,VLOOKUP('Project Details by Yr'!$B118,'Public Grounds'!$A$11:$N$49,H$6,0))+IF(ISNA(VLOOKUP('Project Details by Yr'!$B118,'Public Buildings'!$A$10:$N$96,H$6,0)),0,VLOOKUP('Project Details by Yr'!$B118,'Public Buildings'!$A$10:$N$96,H$6,0))+IF(ISNA(VLOOKUP('Project Details by Yr'!$B118,Bridges!$A$9:$N$24,H$6,0)),0,VLOOKUP('Project Details by Yr'!$B118,Bridges!$A$9:$N$24,H$6,0))+IF(ISNA(VLOOKUP('Project Details by Yr'!$B118,'Parking Lots &amp; Playgrounds'!$A$9:$N$33,H$6,0)),0,VLOOKUP('Project Details by Yr'!$B118,'Parking Lots &amp; Playgrounds'!$A$9:$N$33,H$6,0))+IF(ISNA(VLOOKUP($B118,Vehicles!$B$9:$O$50,H$6,0)),0,VLOOKUP($B118,Vehicles!$B$9:$O$50,H$6,0))</f>
        <v>25000</v>
      </c>
      <c r="H118" s="50">
        <v>1</v>
      </c>
      <c r="I118" s="49">
        <f t="shared" si="9"/>
        <v>0</v>
      </c>
      <c r="J118" s="49">
        <f t="shared" si="10"/>
        <v>25000</v>
      </c>
      <c r="K118" s="49">
        <f t="shared" si="11"/>
        <v>0</v>
      </c>
    </row>
    <row r="119" spans="2:12" x14ac:dyDescent="0.25">
      <c r="B119" s="40" t="s">
        <v>193</v>
      </c>
      <c r="C119" s="40" t="s">
        <v>47</v>
      </c>
      <c r="D119" s="40" t="s">
        <v>273</v>
      </c>
      <c r="E119" s="43" t="s">
        <v>16</v>
      </c>
      <c r="G119" s="49">
        <f>IF(ISNA(VLOOKUP($B119,'Other Capital Needs'!$C$51:$P$95,H$6,0)),0,VLOOKUP($B119,'Other Capital Needs'!$C$51:$P$95,H$6,0))+IF(ISNA(VLOOKUP('Project Details by Yr'!$B119,'Public Grounds'!$A$11:$N$49,H$6,0)),0,VLOOKUP('Project Details by Yr'!$B119,'Public Grounds'!$A$11:$N$49,H$6,0))+IF(ISNA(VLOOKUP('Project Details by Yr'!$B119,'Public Buildings'!$A$10:$N$96,H$6,0)),0,VLOOKUP('Project Details by Yr'!$B119,'Public Buildings'!$A$10:$N$96,H$6,0))+IF(ISNA(VLOOKUP('Project Details by Yr'!$B119,Bridges!$A$9:$N$24,H$6,0)),0,VLOOKUP('Project Details by Yr'!$B119,Bridges!$A$9:$N$24,H$6,0))+IF(ISNA(VLOOKUP('Project Details by Yr'!$B119,'Parking Lots &amp; Playgrounds'!$A$9:$N$33,H$6,0)),0,VLOOKUP('Project Details by Yr'!$B119,'Parking Lots &amp; Playgrounds'!$A$9:$N$33,H$6,0))+IF(ISNA(VLOOKUP($B119,Vehicles!$B$9:$O$50,H$6,0)),0,VLOOKUP($B119,Vehicles!$B$9:$O$50,H$6,0))</f>
        <v>10000</v>
      </c>
      <c r="H119" s="50">
        <v>1</v>
      </c>
      <c r="I119" s="49">
        <f t="shared" si="9"/>
        <v>0</v>
      </c>
      <c r="J119" s="49">
        <f t="shared" si="10"/>
        <v>10000</v>
      </c>
      <c r="K119" s="49">
        <f t="shared" si="11"/>
        <v>0</v>
      </c>
    </row>
    <row r="120" spans="2:12" x14ac:dyDescent="0.25">
      <c r="B120" s="40" t="s">
        <v>201</v>
      </c>
      <c r="C120" s="40" t="s">
        <v>47</v>
      </c>
      <c r="D120" s="40" t="s">
        <v>273</v>
      </c>
      <c r="E120" s="43" t="s">
        <v>16</v>
      </c>
      <c r="G120" s="49">
        <f>IF(ISNA(VLOOKUP($B120,'Other Capital Needs'!$C$51:$P$95,H$6,0)),0,VLOOKUP($B120,'Other Capital Needs'!$C$51:$P$95,H$6,0))+IF(ISNA(VLOOKUP('Project Details by Yr'!$B120,'Public Grounds'!$A$11:$N$49,H$6,0)),0,VLOOKUP('Project Details by Yr'!$B120,'Public Grounds'!$A$11:$N$49,H$6,0))+IF(ISNA(VLOOKUP('Project Details by Yr'!$B120,'Public Buildings'!$A$10:$N$96,H$6,0)),0,VLOOKUP('Project Details by Yr'!$B120,'Public Buildings'!$A$10:$N$96,H$6,0))+IF(ISNA(VLOOKUP('Project Details by Yr'!$B120,Bridges!$A$9:$N$24,H$6,0)),0,VLOOKUP('Project Details by Yr'!$B120,Bridges!$A$9:$N$24,H$6,0))+IF(ISNA(VLOOKUP('Project Details by Yr'!$B120,'Parking Lots &amp; Playgrounds'!$A$9:$N$33,H$6,0)),0,VLOOKUP('Project Details by Yr'!$B120,'Parking Lots &amp; Playgrounds'!$A$9:$N$33,H$6,0))+IF(ISNA(VLOOKUP($B120,Vehicles!$B$9:$O$50,H$6,0)),0,VLOOKUP($B120,Vehicles!$B$9:$O$50,H$6,0))</f>
        <v>35000</v>
      </c>
      <c r="H120" s="50">
        <v>1</v>
      </c>
      <c r="I120" s="49">
        <f t="shared" si="9"/>
        <v>0</v>
      </c>
      <c r="J120" s="49">
        <f t="shared" si="10"/>
        <v>35000</v>
      </c>
      <c r="K120" s="49">
        <f t="shared" si="11"/>
        <v>0</v>
      </c>
    </row>
    <row r="121" spans="2:12" x14ac:dyDescent="0.25">
      <c r="B121" s="40" t="s">
        <v>82</v>
      </c>
      <c r="C121" s="40" t="s">
        <v>91</v>
      </c>
      <c r="D121" s="40" t="s">
        <v>272</v>
      </c>
      <c r="E121" s="43" t="s">
        <v>16</v>
      </c>
      <c r="G121" s="49">
        <f>IF(ISNA(VLOOKUP($B121,'Other Capital Needs'!$C$51:$P$95,H$6,0)),0,VLOOKUP($B121,'Other Capital Needs'!$C$51:$P$95,H$6,0))+IF(ISNA(VLOOKUP('Project Details by Yr'!$B121,'Public Grounds'!$A$11:$N$49,H$6,0)),0,VLOOKUP('Project Details by Yr'!$B121,'Public Grounds'!$A$11:$N$49,H$6,0))+IF(ISNA(VLOOKUP('Project Details by Yr'!$B121,'Public Buildings'!$A$10:$N$96,H$6,0)),0,VLOOKUP('Project Details by Yr'!$B121,'Public Buildings'!$A$10:$N$96,H$6,0))+IF(ISNA(VLOOKUP('Project Details by Yr'!$B121,Bridges!$A$9:$N$24,H$6,0)),0,VLOOKUP('Project Details by Yr'!$B121,Bridges!$A$9:$N$24,H$6,0))+IF(ISNA(VLOOKUP('Project Details by Yr'!$B121,'Parking Lots &amp; Playgrounds'!$A$9:$N$33,H$6,0)),0,VLOOKUP('Project Details by Yr'!$B121,'Parking Lots &amp; Playgrounds'!$A$9:$N$33,H$6,0))+IF(ISNA(VLOOKUP($B121,Vehicles!$B$9:$O$50,H$6,0)),0,VLOOKUP($B121,Vehicles!$B$9:$O$50,H$6,0))</f>
        <v>275000</v>
      </c>
      <c r="H121" s="50">
        <v>1</v>
      </c>
      <c r="I121" s="49">
        <f t="shared" si="9"/>
        <v>0</v>
      </c>
      <c r="J121" s="49">
        <f t="shared" si="10"/>
        <v>275000</v>
      </c>
      <c r="K121" s="49">
        <f t="shared" si="11"/>
        <v>0</v>
      </c>
    </row>
    <row r="122" spans="2:12" x14ac:dyDescent="0.25">
      <c r="B122" s="40" t="str">
        <f>B56</f>
        <v>East Berlin Pool</v>
      </c>
      <c r="C122" s="40" t="str">
        <f t="shared" ref="C122:G122" si="12">C56</f>
        <v>Parking Lots &amp; Playgrounds</v>
      </c>
      <c r="D122" s="40" t="str">
        <f t="shared" si="12"/>
        <v>Town</v>
      </c>
      <c r="E122" s="43" t="str">
        <f t="shared" si="12"/>
        <v>GF</v>
      </c>
      <c r="G122" s="49">
        <f t="shared" si="12"/>
        <v>0</v>
      </c>
      <c r="H122" s="50">
        <v>1</v>
      </c>
      <c r="I122" s="49">
        <f t="shared" si="9"/>
        <v>0</v>
      </c>
      <c r="J122" s="49">
        <f t="shared" si="10"/>
        <v>0</v>
      </c>
      <c r="K122" s="49">
        <f t="shared" si="11"/>
        <v>0</v>
      </c>
    </row>
    <row r="123" spans="2:12" x14ac:dyDescent="0.25">
      <c r="B123" s="40" t="str">
        <f>B57</f>
        <v>Dennehy Field</v>
      </c>
      <c r="C123" s="40" t="str">
        <f t="shared" ref="C123:G123" si="13">C57</f>
        <v>Parking Lots &amp; Playgrounds</v>
      </c>
      <c r="D123" s="40" t="str">
        <f t="shared" si="13"/>
        <v>Town</v>
      </c>
      <c r="E123" s="43" t="str">
        <f t="shared" si="13"/>
        <v>GF</v>
      </c>
      <c r="G123" s="49">
        <f t="shared" si="13"/>
        <v>0</v>
      </c>
      <c r="H123" s="50">
        <v>1</v>
      </c>
      <c r="I123" s="49">
        <f t="shared" si="9"/>
        <v>0</v>
      </c>
      <c r="J123" s="49">
        <f t="shared" si="10"/>
        <v>0</v>
      </c>
      <c r="K123" s="49">
        <f t="shared" si="11"/>
        <v>0</v>
      </c>
    </row>
    <row r="124" spans="2:12" x14ac:dyDescent="0.25">
      <c r="B124" s="40" t="s">
        <v>124</v>
      </c>
      <c r="C124" s="40" t="s">
        <v>49</v>
      </c>
      <c r="D124" s="40" t="s">
        <v>272</v>
      </c>
      <c r="E124" s="43" t="s">
        <v>16</v>
      </c>
      <c r="G124" s="49">
        <f>IF(ISNA(VLOOKUP($B124,'Other Capital Needs'!$C$51:$P$95,H$6,0)),0,VLOOKUP($B124,'Other Capital Needs'!$C$51:$P$95,H$6,0))+IF(ISNA(VLOOKUP('Project Details by Yr'!$B124,'Public Grounds'!$A$11:$N$49,H$6,0)),0,VLOOKUP('Project Details by Yr'!$B124,'Public Grounds'!$A$11:$N$49,H$6,0))+IF(ISNA(VLOOKUP('Project Details by Yr'!$B124,'Public Buildings'!$A$10:$N$96,H$6,0)),0,VLOOKUP('Project Details by Yr'!$B124,'Public Buildings'!$A$10:$N$96,H$6,0))+IF(ISNA(VLOOKUP('Project Details by Yr'!$B124,Bridges!$A$9:$N$24,H$6,0)),0,VLOOKUP('Project Details by Yr'!$B124,Bridges!$A$9:$N$24,H$6,0))+IF(ISNA(VLOOKUP('Project Details by Yr'!$B124,'Parking Lots &amp; Playgrounds'!$A$9:$N$33,H$6,0)),0,VLOOKUP('Project Details by Yr'!$B124,'Parking Lots &amp; Playgrounds'!$A$9:$N$33,H$6,0))+IF(ISNA(VLOOKUP($B124,Vehicles!$B$9:$O$50,H$6,0)),0,VLOOKUP($B124,Vehicles!$B$9:$O$50,H$6,0))</f>
        <v>125000</v>
      </c>
      <c r="H124" s="50">
        <v>1</v>
      </c>
      <c r="I124" s="49">
        <f t="shared" si="9"/>
        <v>0</v>
      </c>
      <c r="J124" s="49">
        <f t="shared" si="10"/>
        <v>125000</v>
      </c>
      <c r="K124" s="49">
        <f t="shared" si="11"/>
        <v>0</v>
      </c>
    </row>
    <row r="125" spans="2:12" x14ac:dyDescent="0.25">
      <c r="B125" s="40" t="s">
        <v>125</v>
      </c>
      <c r="C125" s="40" t="s">
        <v>49</v>
      </c>
      <c r="D125" s="40" t="s">
        <v>272</v>
      </c>
      <c r="E125" s="43" t="s">
        <v>16</v>
      </c>
      <c r="G125" s="49">
        <f>IF(ISNA(VLOOKUP($B125,'Other Capital Needs'!$C$51:$P$95,H$6,0)),0,VLOOKUP($B125,'Other Capital Needs'!$C$51:$P$95,H$6,0))+IF(ISNA(VLOOKUP('Project Details by Yr'!$B125,'Public Grounds'!$A$11:$N$49,H$6,0)),0,VLOOKUP('Project Details by Yr'!$B125,'Public Grounds'!$A$11:$N$49,H$6,0))+IF(ISNA(VLOOKUP('Project Details by Yr'!$B125,'Public Buildings'!$A$10:$N$96,H$6,0)),0,VLOOKUP('Project Details by Yr'!$B125,'Public Buildings'!$A$10:$N$96,H$6,0))+IF(ISNA(VLOOKUP('Project Details by Yr'!$B125,Bridges!$A$9:$N$24,H$6,0)),0,VLOOKUP('Project Details by Yr'!$B125,Bridges!$A$9:$N$24,H$6,0))+IF(ISNA(VLOOKUP('Project Details by Yr'!$B125,'Parking Lots &amp; Playgrounds'!$A$9:$N$33,H$6,0)),0,VLOOKUP('Project Details by Yr'!$B125,'Parking Lots &amp; Playgrounds'!$A$9:$N$33,H$6,0))+IF(ISNA(VLOOKUP($B125,Vehicles!$B$9:$O$50,H$6,0)),0,VLOOKUP($B125,Vehicles!$B$9:$O$50,H$6,0))</f>
        <v>29327</v>
      </c>
      <c r="H125" s="50">
        <v>1</v>
      </c>
      <c r="I125" s="49">
        <f t="shared" si="9"/>
        <v>0</v>
      </c>
      <c r="J125" s="49">
        <f t="shared" si="10"/>
        <v>29327</v>
      </c>
      <c r="K125" s="49">
        <f t="shared" si="11"/>
        <v>0</v>
      </c>
    </row>
    <row r="126" spans="2:12" x14ac:dyDescent="0.25">
      <c r="B126" s="40" t="s">
        <v>126</v>
      </c>
      <c r="C126" s="40" t="s">
        <v>49</v>
      </c>
      <c r="D126" s="40" t="s">
        <v>272</v>
      </c>
      <c r="E126" s="43" t="s">
        <v>16</v>
      </c>
      <c r="G126" s="49">
        <f>IF(ISNA(VLOOKUP($B126,'Other Capital Needs'!$C$51:$P$95,H$6,0)),0,VLOOKUP($B126,'Other Capital Needs'!$C$51:$P$95,H$6,0))+IF(ISNA(VLOOKUP('Project Details by Yr'!$B126,'Public Grounds'!$A$11:$N$49,H$6,0)),0,VLOOKUP('Project Details by Yr'!$B126,'Public Grounds'!$A$11:$N$49,H$6,0))+IF(ISNA(VLOOKUP('Project Details by Yr'!$B126,'Public Buildings'!$A$10:$N$96,H$6,0)),0,VLOOKUP('Project Details by Yr'!$B126,'Public Buildings'!$A$10:$N$96,H$6,0))+IF(ISNA(VLOOKUP('Project Details by Yr'!$B126,Bridges!$A$9:$N$24,H$6,0)),0,VLOOKUP('Project Details by Yr'!$B126,Bridges!$A$9:$N$24,H$6,0))+IF(ISNA(VLOOKUP('Project Details by Yr'!$B126,'Parking Lots &amp; Playgrounds'!$A$9:$N$33,H$6,0)),0,VLOOKUP('Project Details by Yr'!$B126,'Parking Lots &amp; Playgrounds'!$A$9:$N$33,H$6,0))+IF(ISNA(VLOOKUP($B126,Vehicles!$B$9:$O$50,H$6,0)),0,VLOOKUP($B126,Vehicles!$B$9:$O$50,H$6,0))</f>
        <v>29327</v>
      </c>
      <c r="H126" s="50">
        <v>1</v>
      </c>
      <c r="I126" s="49">
        <f t="shared" si="9"/>
        <v>0</v>
      </c>
      <c r="J126" s="49">
        <f t="shared" si="10"/>
        <v>29327</v>
      </c>
      <c r="K126" s="49">
        <f t="shared" si="11"/>
        <v>0</v>
      </c>
    </row>
    <row r="127" spans="2:12" x14ac:dyDescent="0.25">
      <c r="B127" s="40" t="s">
        <v>127</v>
      </c>
      <c r="C127" s="40" t="s">
        <v>49</v>
      </c>
      <c r="D127" s="40" t="s">
        <v>272</v>
      </c>
      <c r="E127" s="43" t="s">
        <v>16</v>
      </c>
      <c r="G127" s="49">
        <f>IF(ISNA(VLOOKUP($B127,'Other Capital Needs'!$C$51:$P$95,H$6,0)),0,VLOOKUP($B127,'Other Capital Needs'!$C$51:$P$95,H$6,0))+IF(ISNA(VLOOKUP('Project Details by Yr'!$B127,'Public Grounds'!$A$11:$N$49,H$6,0)),0,VLOOKUP('Project Details by Yr'!$B127,'Public Grounds'!$A$11:$N$49,H$6,0))+IF(ISNA(VLOOKUP('Project Details by Yr'!$B127,'Public Buildings'!$A$10:$N$96,H$6,0)),0,VLOOKUP('Project Details by Yr'!$B127,'Public Buildings'!$A$10:$N$96,H$6,0))+IF(ISNA(VLOOKUP('Project Details by Yr'!$B127,Bridges!$A$9:$N$24,H$6,0)),0,VLOOKUP('Project Details by Yr'!$B127,Bridges!$A$9:$N$24,H$6,0))+IF(ISNA(VLOOKUP('Project Details by Yr'!$B127,'Parking Lots &amp; Playgrounds'!$A$9:$N$33,H$6,0)),0,VLOOKUP('Project Details by Yr'!$B127,'Parking Lots &amp; Playgrounds'!$A$9:$N$33,H$6,0))+IF(ISNA(VLOOKUP($B127,Vehicles!$B$9:$O$50,H$6,0)),0,VLOOKUP($B127,Vehicles!$B$9:$O$50,H$6,0))</f>
        <v>0</v>
      </c>
      <c r="H127" s="50">
        <v>1</v>
      </c>
      <c r="I127" s="49">
        <f t="shared" si="9"/>
        <v>0</v>
      </c>
      <c r="J127" s="49">
        <f t="shared" si="10"/>
        <v>0</v>
      </c>
      <c r="K127" s="49">
        <f t="shared" si="11"/>
        <v>0</v>
      </c>
    </row>
    <row r="128" spans="2:12" x14ac:dyDescent="0.25">
      <c r="B128" s="40" t="s">
        <v>128</v>
      </c>
      <c r="C128" s="40" t="s">
        <v>49</v>
      </c>
      <c r="D128" s="40" t="s">
        <v>272</v>
      </c>
      <c r="E128" s="43" t="s">
        <v>16</v>
      </c>
      <c r="G128" s="49">
        <f>IF(ISNA(VLOOKUP($B128,'Other Capital Needs'!$C$51:$P$95,H$6,0)),0,VLOOKUP($B128,'Other Capital Needs'!$C$51:$P$95,H$6,0))+IF(ISNA(VLOOKUP('Project Details by Yr'!$B128,'Public Grounds'!$A$11:$N$49,H$6,0)),0,VLOOKUP('Project Details by Yr'!$B128,'Public Grounds'!$A$11:$N$49,H$6,0))+IF(ISNA(VLOOKUP('Project Details by Yr'!$B128,'Public Buildings'!$A$10:$N$96,H$6,0)),0,VLOOKUP('Project Details by Yr'!$B128,'Public Buildings'!$A$10:$N$96,H$6,0))+IF(ISNA(VLOOKUP('Project Details by Yr'!$B128,Bridges!$A$9:$N$24,H$6,0)),0,VLOOKUP('Project Details by Yr'!$B128,Bridges!$A$9:$N$24,H$6,0))+IF(ISNA(VLOOKUP('Project Details by Yr'!$B128,'Parking Lots &amp; Playgrounds'!$A$9:$N$33,H$6,0)),0,VLOOKUP('Project Details by Yr'!$B128,'Parking Lots &amp; Playgrounds'!$A$9:$N$33,H$6,0))+IF(ISNA(VLOOKUP($B128,Vehicles!$B$9:$O$50,H$6,0)),0,VLOOKUP($B128,Vehicles!$B$9:$O$50,H$6,0))</f>
        <v>28000</v>
      </c>
      <c r="H128" s="50">
        <v>1</v>
      </c>
      <c r="I128" s="49">
        <f t="shared" si="9"/>
        <v>0</v>
      </c>
      <c r="J128" s="49">
        <f t="shared" si="10"/>
        <v>28000</v>
      </c>
      <c r="K128" s="49">
        <f t="shared" si="11"/>
        <v>0</v>
      </c>
    </row>
    <row r="129" spans="2:12" x14ac:dyDescent="0.25">
      <c r="B129" t="s">
        <v>309</v>
      </c>
      <c r="C129" s="40" t="s">
        <v>49</v>
      </c>
      <c r="D129" s="40" t="s">
        <v>272</v>
      </c>
      <c r="E129" s="43" t="s">
        <v>16</v>
      </c>
      <c r="G129" s="49">
        <f>IF(ISNA(VLOOKUP($B129,'Other Capital Needs'!$C$51:$P$95,H$6,0)),0,VLOOKUP($B129,'Other Capital Needs'!$C$51:$P$95,H$6,0))+IF(ISNA(VLOOKUP('Project Details by Yr'!$B129,'Public Grounds'!$A$11:$N$49,H$6,0)),0,VLOOKUP('Project Details by Yr'!$B129,'Public Grounds'!$A$11:$N$49,H$6,0))+IF(ISNA(VLOOKUP('Project Details by Yr'!$B129,'Public Buildings'!$A$10:$N$96,H$6,0)),0,VLOOKUP('Project Details by Yr'!$B129,'Public Buildings'!$A$10:$N$96,H$6,0))+IF(ISNA(VLOOKUP('Project Details by Yr'!$B129,Bridges!$A$9:$N$24,H$6,0)),0,VLOOKUP('Project Details by Yr'!$B129,Bridges!$A$9:$N$24,H$6,0))+IF(ISNA(VLOOKUP('Project Details by Yr'!$B129,'Parking Lots &amp; Playgrounds'!$A$9:$N$33,H$6,0)),0,VLOOKUP('Project Details by Yr'!$B129,'Parking Lots &amp; Playgrounds'!$A$9:$N$33,H$6,0))+IF(ISNA(VLOOKUP($B129,Vehicles!$B$9:$O$50,H$6,0)),0,VLOOKUP($B129,Vehicles!$B$9:$O$50,H$6,0))</f>
        <v>60000</v>
      </c>
      <c r="H129" s="50">
        <v>1</v>
      </c>
      <c r="I129" s="49">
        <f t="shared" si="9"/>
        <v>0</v>
      </c>
      <c r="J129" s="49">
        <f t="shared" si="10"/>
        <v>60000</v>
      </c>
      <c r="K129" s="49">
        <f t="shared" si="11"/>
        <v>0</v>
      </c>
    </row>
    <row r="130" spans="2:12" x14ac:dyDescent="0.25">
      <c r="B130" s="40" t="s">
        <v>120</v>
      </c>
      <c r="C130" s="40" t="s">
        <v>49</v>
      </c>
      <c r="D130" s="40" t="s">
        <v>272</v>
      </c>
      <c r="E130" s="43" t="s">
        <v>16</v>
      </c>
      <c r="G130" s="49">
        <f>IF(ISNA(VLOOKUP($B130,'Other Capital Needs'!$C$51:$P$95,H$6,0)),0,VLOOKUP($B130,'Other Capital Needs'!$C$51:$P$95,H$6,0))+IF(ISNA(VLOOKUP('Project Details by Yr'!$B130,'Public Grounds'!$A$11:$N$49,H$6,0)),0,VLOOKUP('Project Details by Yr'!$B130,'Public Grounds'!$A$11:$N$49,H$6,0))+IF(ISNA(VLOOKUP('Project Details by Yr'!$B130,'Public Buildings'!$A$10:$N$96,H$6,0)),0,VLOOKUP('Project Details by Yr'!$B130,'Public Buildings'!$A$10:$N$96,H$6,0))+IF(ISNA(VLOOKUP('Project Details by Yr'!$B130,Bridges!$A$9:$N$24,H$6,0)),0,VLOOKUP('Project Details by Yr'!$B130,Bridges!$A$9:$N$24,H$6,0))+IF(ISNA(VLOOKUP('Project Details by Yr'!$B130,'Parking Lots &amp; Playgrounds'!$A$9:$N$33,H$6,0)),0,VLOOKUP('Project Details by Yr'!$B130,'Parking Lots &amp; Playgrounds'!$A$9:$N$33,H$6,0))+IF(ISNA(VLOOKUP($B130,Vehicles!$B$9:$O$50,H$6,0)),0,VLOOKUP($B130,Vehicles!$B$9:$O$50,H$6,0))</f>
        <v>200000</v>
      </c>
      <c r="H130" s="50">
        <v>1</v>
      </c>
      <c r="I130" s="49">
        <f t="shared" si="9"/>
        <v>0</v>
      </c>
      <c r="J130" s="49">
        <f t="shared" si="10"/>
        <v>200000</v>
      </c>
      <c r="K130" s="49">
        <f t="shared" si="11"/>
        <v>0</v>
      </c>
    </row>
    <row r="131" spans="2:12" x14ac:dyDescent="0.25">
      <c r="B131" s="40" t="s">
        <v>123</v>
      </c>
      <c r="C131" s="40" t="s">
        <v>49</v>
      </c>
      <c r="D131" s="40" t="s">
        <v>272</v>
      </c>
      <c r="E131" s="43" t="s">
        <v>16</v>
      </c>
      <c r="G131" s="49">
        <f>IF(ISNA(VLOOKUP($B131,'Other Capital Needs'!$C$51:$P$95,H$6,0)),0,VLOOKUP($B131,'Other Capital Needs'!$C$51:$P$95,H$6,0))+IF(ISNA(VLOOKUP('Project Details by Yr'!$B131,'Public Grounds'!$A$11:$N$49,H$6,0)),0,VLOOKUP('Project Details by Yr'!$B131,'Public Grounds'!$A$11:$N$49,H$6,0))+IF(ISNA(VLOOKUP('Project Details by Yr'!$B131,'Public Buildings'!$A$10:$N$96,H$6,0)),0,VLOOKUP('Project Details by Yr'!$B131,'Public Buildings'!$A$10:$N$96,H$6,0))+IF(ISNA(VLOOKUP('Project Details by Yr'!$B131,Bridges!$A$9:$N$24,H$6,0)),0,VLOOKUP('Project Details by Yr'!$B131,Bridges!$A$9:$N$24,H$6,0))+IF(ISNA(VLOOKUP('Project Details by Yr'!$B131,'Parking Lots &amp; Playgrounds'!$A$9:$N$33,H$6,0)),0,VLOOKUP('Project Details by Yr'!$B131,'Parking Lots &amp; Playgrounds'!$A$9:$N$33,H$6,0))+IF(ISNA(VLOOKUP($B131,Vehicles!$B$9:$O$50,H$6,0)),0,VLOOKUP($B131,Vehicles!$B$9:$O$50,H$6,0))</f>
        <v>0</v>
      </c>
      <c r="H131" s="50">
        <v>1</v>
      </c>
      <c r="I131" s="49">
        <f t="shared" si="9"/>
        <v>0</v>
      </c>
      <c r="J131" s="49">
        <f t="shared" si="10"/>
        <v>0</v>
      </c>
      <c r="K131" s="49">
        <f t="shared" si="11"/>
        <v>0</v>
      </c>
    </row>
    <row r="132" spans="2:12" x14ac:dyDescent="0.25">
      <c r="B132" s="40" t="s">
        <v>113</v>
      </c>
      <c r="C132" s="40" t="s">
        <v>49</v>
      </c>
      <c r="D132" s="40" t="s">
        <v>272</v>
      </c>
      <c r="E132" s="43" t="s">
        <v>19</v>
      </c>
      <c r="G132" s="49">
        <f>IF(ISNA(VLOOKUP($B132,'Other Capital Needs'!$C$51:$P$95,H$6,0)),0,VLOOKUP($B132,'Other Capital Needs'!$C$51:$P$95,H$6,0))+IF(ISNA(VLOOKUP('Project Details by Yr'!$B132,'Public Grounds'!$A$11:$N$49,H$6,0)),0,VLOOKUP('Project Details by Yr'!$B132,'Public Grounds'!$A$11:$N$49,H$6,0))+IF(ISNA(VLOOKUP('Project Details by Yr'!$B132,'Public Buildings'!$A$10:$N$96,H$6,0)),0,VLOOKUP('Project Details by Yr'!$B132,'Public Buildings'!$A$10:$N$96,H$6,0))+IF(ISNA(VLOOKUP('Project Details by Yr'!$B132,Bridges!$A$9:$N$24,H$6,0)),0,VLOOKUP('Project Details by Yr'!$B132,Bridges!$A$9:$N$24,H$6,0))+IF(ISNA(VLOOKUP('Project Details by Yr'!$B132,'Parking Lots &amp; Playgrounds'!$A$9:$N$33,H$6,0)),0,VLOOKUP('Project Details by Yr'!$B132,'Parking Lots &amp; Playgrounds'!$A$9:$N$33,H$6,0))+IF(ISNA(VLOOKUP($B132,Vehicles!$B$9:$O$50,H$6,0)),0,VLOOKUP($B132,Vehicles!$B$9:$O$50,H$6,0))</f>
        <v>700000</v>
      </c>
      <c r="H132" s="50">
        <v>1</v>
      </c>
      <c r="I132" s="49">
        <f t="shared" si="9"/>
        <v>700000</v>
      </c>
      <c r="J132" s="49">
        <f t="shared" si="10"/>
        <v>0</v>
      </c>
      <c r="K132" s="49">
        <f t="shared" si="11"/>
        <v>0</v>
      </c>
    </row>
    <row r="133" spans="2:12" x14ac:dyDescent="0.25">
      <c r="B133" s="40" t="s">
        <v>115</v>
      </c>
      <c r="C133" s="40" t="s">
        <v>49</v>
      </c>
      <c r="D133" s="40" t="s">
        <v>272</v>
      </c>
      <c r="E133" s="43" t="s">
        <v>19</v>
      </c>
      <c r="G133" s="49">
        <f>IF(ISNA(VLOOKUP($B133,'Other Capital Needs'!$C$51:$P$95,H$6,0)),0,VLOOKUP($B133,'Other Capital Needs'!$C$51:$P$95,H$6,0))+IF(ISNA(VLOOKUP('Project Details by Yr'!$B133,'Public Grounds'!$A$11:$N$49,H$6,0)),0,VLOOKUP('Project Details by Yr'!$B133,'Public Grounds'!$A$11:$N$49,H$6,0))+IF(ISNA(VLOOKUP('Project Details by Yr'!$B133,'Public Buildings'!$A$10:$N$96,H$6,0)),0,VLOOKUP('Project Details by Yr'!$B133,'Public Buildings'!$A$10:$N$96,H$6,0))+IF(ISNA(VLOOKUP('Project Details by Yr'!$B133,Bridges!$A$9:$N$24,H$6,0)),0,VLOOKUP('Project Details by Yr'!$B133,Bridges!$A$9:$N$24,H$6,0))+IF(ISNA(VLOOKUP('Project Details by Yr'!$B133,'Parking Lots &amp; Playgrounds'!$A$9:$N$33,H$6,0)),0,VLOOKUP('Project Details by Yr'!$B133,'Parking Lots &amp; Playgrounds'!$A$9:$N$33,H$6,0))+IF(ISNA(VLOOKUP($B133,Vehicles!$B$9:$O$50,H$6,0)),0,VLOOKUP($B133,Vehicles!$B$9:$O$50,H$6,0))</f>
        <v>600000</v>
      </c>
      <c r="H133" s="50">
        <v>1</v>
      </c>
      <c r="I133" s="49">
        <f t="shared" si="9"/>
        <v>600000</v>
      </c>
      <c r="J133" s="49">
        <f t="shared" si="10"/>
        <v>0</v>
      </c>
      <c r="K133" s="49">
        <f t="shared" si="11"/>
        <v>0</v>
      </c>
    </row>
    <row r="134" spans="2:12" x14ac:dyDescent="0.25">
      <c r="B134" s="40" t="s">
        <v>132</v>
      </c>
      <c r="C134" s="40" t="s">
        <v>49</v>
      </c>
      <c r="D134" s="40" t="s">
        <v>272</v>
      </c>
      <c r="E134" s="43" t="s">
        <v>16</v>
      </c>
      <c r="G134" s="49">
        <f>IF(ISNA(VLOOKUP($B134,'Other Capital Needs'!$C$51:$P$95,H$6,0)),0,VLOOKUP($B134,'Other Capital Needs'!$C$51:$P$95,H$6,0))+IF(ISNA(VLOOKUP('Project Details by Yr'!$B134,'Public Grounds'!$A$11:$N$49,H$6,0)),0,VLOOKUP('Project Details by Yr'!$B134,'Public Grounds'!$A$11:$N$49,H$6,0))+IF(ISNA(VLOOKUP('Project Details by Yr'!$B134,'Public Buildings'!$A$10:$N$96,H$6,0)),0,VLOOKUP('Project Details by Yr'!$B134,'Public Buildings'!$A$10:$N$96,H$6,0))+IF(ISNA(VLOOKUP('Project Details by Yr'!$B134,Bridges!$A$9:$N$24,H$6,0)),0,VLOOKUP('Project Details by Yr'!$B134,Bridges!$A$9:$N$24,H$6,0))+IF(ISNA(VLOOKUP('Project Details by Yr'!$B134,'Parking Lots &amp; Playgrounds'!$A$9:$N$33,H$6,0)),0,VLOOKUP('Project Details by Yr'!$B134,'Parking Lots &amp; Playgrounds'!$A$9:$N$33,H$6,0))+IF(ISNA(VLOOKUP($B134,Vehicles!$B$9:$O$50,H$6,0)),0,VLOOKUP($B134,Vehicles!$B$9:$O$50,H$6,0))</f>
        <v>7500</v>
      </c>
      <c r="H134" s="50">
        <v>1</v>
      </c>
      <c r="I134" s="49">
        <f t="shared" si="9"/>
        <v>0</v>
      </c>
      <c r="J134" s="49">
        <f t="shared" si="10"/>
        <v>7500</v>
      </c>
      <c r="K134" s="49">
        <f t="shared" si="11"/>
        <v>0</v>
      </c>
    </row>
    <row r="135" spans="2:12" x14ac:dyDescent="0.25">
      <c r="B135" s="40" t="s">
        <v>136</v>
      </c>
      <c r="C135" s="40" t="s">
        <v>49</v>
      </c>
      <c r="D135" s="40" t="s">
        <v>272</v>
      </c>
      <c r="E135" s="43" t="s">
        <v>16</v>
      </c>
      <c r="G135" s="49">
        <f>IF(ISNA(VLOOKUP($B135,'Other Capital Needs'!$C$51:$P$95,H$6,0)),0,VLOOKUP($B135,'Other Capital Needs'!$C$51:$P$95,H$6,0))+IF(ISNA(VLOOKUP('Project Details by Yr'!$B135,'Public Grounds'!$A$11:$N$49,H$6,0)),0,VLOOKUP('Project Details by Yr'!$B135,'Public Grounds'!$A$11:$N$49,H$6,0))+IF(ISNA(VLOOKUP('Project Details by Yr'!$B135,'Public Buildings'!$A$10:$N$96,H$6,0)),0,VLOOKUP('Project Details by Yr'!$B135,'Public Buildings'!$A$10:$N$96,H$6,0))+IF(ISNA(VLOOKUP('Project Details by Yr'!$B135,Bridges!$A$9:$N$24,H$6,0)),0,VLOOKUP('Project Details by Yr'!$B135,Bridges!$A$9:$N$24,H$6,0))+IF(ISNA(VLOOKUP('Project Details by Yr'!$B135,'Parking Lots &amp; Playgrounds'!$A$9:$N$33,H$6,0)),0,VLOOKUP('Project Details by Yr'!$B135,'Parking Lots &amp; Playgrounds'!$A$9:$N$33,H$6,0))+IF(ISNA(VLOOKUP($B135,Vehicles!$B$9:$O$50,H$6,0)),0,VLOOKUP($B135,Vehicles!$B$9:$O$50,H$6,0))</f>
        <v>25000</v>
      </c>
      <c r="H135" s="50">
        <v>1</v>
      </c>
      <c r="I135" s="49">
        <f t="shared" si="9"/>
        <v>0</v>
      </c>
      <c r="J135" s="49">
        <f t="shared" si="10"/>
        <v>25000</v>
      </c>
      <c r="K135" s="49">
        <f t="shared" si="11"/>
        <v>0</v>
      </c>
    </row>
    <row r="136" spans="2:12" x14ac:dyDescent="0.25">
      <c r="B136" s="40" t="s">
        <v>139</v>
      </c>
      <c r="C136" s="40" t="s">
        <v>49</v>
      </c>
      <c r="D136" s="40" t="s">
        <v>273</v>
      </c>
      <c r="E136" s="43" t="s">
        <v>16</v>
      </c>
      <c r="G136" s="49">
        <f>IF(ISNA(VLOOKUP($B136,'Other Capital Needs'!$C$51:$P$95,H$6,0)),0,VLOOKUP($B136,'Other Capital Needs'!$C$51:$P$95,H$6,0))+IF(ISNA(VLOOKUP('Project Details by Yr'!$B136,'Public Grounds'!$A$11:$N$49,H$6,0)),0,VLOOKUP('Project Details by Yr'!$B136,'Public Grounds'!$A$11:$N$49,H$6,0))+IF(ISNA(VLOOKUP('Project Details by Yr'!$B136,'Public Buildings'!$A$10:$N$96,H$6,0)),0,VLOOKUP('Project Details by Yr'!$B136,'Public Buildings'!$A$10:$N$96,H$6,0))+IF(ISNA(VLOOKUP('Project Details by Yr'!$B136,Bridges!$A$9:$N$24,H$6,0)),0,VLOOKUP('Project Details by Yr'!$B136,Bridges!$A$9:$N$24,H$6,0))+IF(ISNA(VLOOKUP('Project Details by Yr'!$B136,'Parking Lots &amp; Playgrounds'!$A$9:$N$33,H$6,0)),0,VLOOKUP('Project Details by Yr'!$B136,'Parking Lots &amp; Playgrounds'!$A$9:$N$33,H$6,0))+IF(ISNA(VLOOKUP($B136,Vehicles!$B$9:$O$50,H$6,0)),0,VLOOKUP($B136,Vehicles!$B$9:$O$50,H$6,0))</f>
        <v>44588</v>
      </c>
      <c r="H136" s="50">
        <v>1</v>
      </c>
      <c r="I136" s="49">
        <f t="shared" si="9"/>
        <v>0</v>
      </c>
      <c r="J136" s="49">
        <f t="shared" si="10"/>
        <v>44588</v>
      </c>
      <c r="K136" s="49">
        <f t="shared" si="11"/>
        <v>0</v>
      </c>
    </row>
    <row r="137" spans="2:12" x14ac:dyDescent="0.25">
      <c r="E137" s="43"/>
      <c r="G137" s="49"/>
      <c r="I137" s="62"/>
      <c r="J137" s="62"/>
      <c r="K137" s="62"/>
    </row>
    <row r="138" spans="2:12" x14ac:dyDescent="0.25">
      <c r="B138" s="40" t="s">
        <v>274</v>
      </c>
      <c r="C138" s="40" t="s">
        <v>250</v>
      </c>
      <c r="D138" s="40" t="s">
        <v>272</v>
      </c>
      <c r="E138" s="43" t="s">
        <v>19</v>
      </c>
      <c r="G138" s="49">
        <f>Summary!F41</f>
        <v>1500000</v>
      </c>
      <c r="H138" s="50">
        <v>1</v>
      </c>
      <c r="I138" s="49">
        <f t="shared" si="9"/>
        <v>1500000</v>
      </c>
      <c r="J138" s="49">
        <f t="shared" si="10"/>
        <v>0</v>
      </c>
      <c r="K138" s="49">
        <f t="shared" si="11"/>
        <v>0</v>
      </c>
    </row>
    <row r="139" spans="2:12" x14ac:dyDescent="0.25">
      <c r="B139" s="40" t="s">
        <v>205</v>
      </c>
      <c r="C139" s="40" t="s">
        <v>48</v>
      </c>
      <c r="D139" s="40" t="s">
        <v>272</v>
      </c>
      <c r="E139" s="43" t="s">
        <v>16</v>
      </c>
      <c r="G139" s="49">
        <f>IF(ISNA(VLOOKUP($B139,'Other Capital Needs'!$C$51:$P$95,H$6,0)),0,VLOOKUP($B139,'Other Capital Needs'!$C$51:$P$95,H$6,0))+IF(ISNA(VLOOKUP('Project Details by Yr'!$B139,'Public Grounds'!$A$11:$N$49,H$6,0)),0,VLOOKUP('Project Details by Yr'!$B139,'Public Grounds'!$A$11:$N$49,H$6,0))+IF(ISNA(VLOOKUP('Project Details by Yr'!$B139,'Public Buildings'!$A$10:$N$96,H$6,0)),0,VLOOKUP('Project Details by Yr'!$B139,'Public Buildings'!$A$10:$N$96,H$6,0))+IF(ISNA(VLOOKUP('Project Details by Yr'!$B139,Bridges!$A$9:$N$24,H$6,0)),0,VLOOKUP('Project Details by Yr'!$B139,Bridges!$A$9:$N$24,H$6,0))+IF(ISNA(VLOOKUP('Project Details by Yr'!$B139,'Parking Lots &amp; Playgrounds'!$A$9:$N$33,H$6,0)),0,VLOOKUP('Project Details by Yr'!$B139,'Parking Lots &amp; Playgrounds'!$A$9:$N$33,H$6,0))+IF(ISNA(VLOOKUP($B139,Vehicles!$B$9:$O$50,H$6,0)),0,VLOOKUP($B139,Vehicles!$B$9:$O$50,H$6,0))</f>
        <v>500000</v>
      </c>
      <c r="H139" s="50">
        <v>1</v>
      </c>
      <c r="I139" s="49">
        <f t="shared" si="9"/>
        <v>0</v>
      </c>
      <c r="J139" s="49">
        <f t="shared" si="10"/>
        <v>500000</v>
      </c>
      <c r="K139" s="49">
        <f t="shared" si="11"/>
        <v>0</v>
      </c>
      <c r="L139" s="52" t="s">
        <v>303</v>
      </c>
    </row>
    <row r="140" spans="2:12" x14ac:dyDescent="0.25">
      <c r="B140" s="40" t="str">
        <f>B78</f>
        <v>Burnham Street</v>
      </c>
      <c r="C140" s="40" t="str">
        <f t="shared" ref="C140:E140" si="14">C78</f>
        <v>Bridges</v>
      </c>
      <c r="D140" s="40" t="str">
        <f t="shared" si="14"/>
        <v>Town</v>
      </c>
      <c r="E140" s="43" t="str">
        <f t="shared" si="14"/>
        <v>Bond</v>
      </c>
      <c r="G140" s="49">
        <f>G78</f>
        <v>425000</v>
      </c>
      <c r="H140" s="50">
        <v>1</v>
      </c>
      <c r="I140" s="49">
        <f t="shared" si="9"/>
        <v>425000</v>
      </c>
      <c r="J140" s="49">
        <f t="shared" si="10"/>
        <v>0</v>
      </c>
      <c r="K140" s="49">
        <f t="shared" si="11"/>
        <v>0</v>
      </c>
    </row>
    <row r="141" spans="2:12" ht="15.75" thickBot="1" x14ac:dyDescent="0.3">
      <c r="G141" s="58">
        <f>SUM(G86:G140)</f>
        <v>5448921</v>
      </c>
      <c r="H141" s="59">
        <f t="shared" ref="H141:K141" si="15">SUM(H86:H140)</f>
        <v>46</v>
      </c>
      <c r="I141" s="58">
        <f t="shared" si="15"/>
        <v>3225000</v>
      </c>
      <c r="J141" s="58">
        <f t="shared" si="15"/>
        <v>1863921</v>
      </c>
      <c r="K141" s="58">
        <f t="shared" si="15"/>
        <v>220000</v>
      </c>
    </row>
    <row r="142" spans="2:12" ht="15.75" thickTop="1" x14ac:dyDescent="0.25">
      <c r="G142" s="60" t="e">
        <f>G141-Summary!F96</f>
        <v>#REF!</v>
      </c>
      <c r="I142" s="63"/>
      <c r="J142" s="63"/>
      <c r="L142" s="64" t="s">
        <v>296</v>
      </c>
    </row>
    <row r="143" spans="2:12" x14ac:dyDescent="0.25">
      <c r="G143" s="60"/>
    </row>
    <row r="145" spans="1:12" x14ac:dyDescent="0.25">
      <c r="B145" s="46" t="s">
        <v>275</v>
      </c>
      <c r="C145" s="46" t="s">
        <v>246</v>
      </c>
      <c r="D145" s="46" t="s">
        <v>276</v>
      </c>
      <c r="E145" s="46" t="s">
        <v>271</v>
      </c>
      <c r="G145" s="46" t="s">
        <v>5</v>
      </c>
      <c r="H145" s="47" t="s">
        <v>285</v>
      </c>
      <c r="I145" s="46" t="s">
        <v>19</v>
      </c>
      <c r="J145" s="46" t="s">
        <v>16</v>
      </c>
      <c r="K145" s="46" t="s">
        <v>286</v>
      </c>
    </row>
    <row r="146" spans="1:12" x14ac:dyDescent="0.25">
      <c r="E146" s="43"/>
      <c r="J146" s="61"/>
      <c r="K146" s="61"/>
    </row>
    <row r="147" spans="1:12" x14ac:dyDescent="0.25">
      <c r="A147" s="48" t="s">
        <v>210</v>
      </c>
      <c r="B147" s="40" t="s">
        <v>204</v>
      </c>
      <c r="C147" s="40" t="s">
        <v>101</v>
      </c>
      <c r="D147" s="40" t="s">
        <v>272</v>
      </c>
      <c r="E147" s="43" t="s">
        <v>16</v>
      </c>
      <c r="G147" s="49">
        <f>IF(ISNA(VLOOKUP($B147,'Other Capital Needs'!$C$51:$P$95,I$6,0)),0,VLOOKUP($B147,'Other Capital Needs'!$C$51:$P$95,I$6,0))+IF(ISNA(VLOOKUP('Project Details by Yr'!$B147,'Public Grounds'!$A$11:$N$49,I$6,0)),0,VLOOKUP('Project Details by Yr'!$B147,'Public Grounds'!$A$11:$N$49,I$6,0))+IF(ISNA(VLOOKUP('Project Details by Yr'!$B147,'Public Buildings'!$A$10:$N$96,I$6,0)),0,VLOOKUP('Project Details by Yr'!$B147,'Public Buildings'!$A$10:$N$96,I$6,0))+IF(ISNA(VLOOKUP('Project Details by Yr'!$B147,Bridges!$A$9:$N$24,I$6,0)),0,VLOOKUP('Project Details by Yr'!$B147,Bridges!$A$9:$N$24,I$6,0))+IF(ISNA(VLOOKUP('Project Details by Yr'!$B147,'Parking Lots &amp; Playgrounds'!$A$9:$N$33,I$6,0)),0,VLOOKUP('Project Details by Yr'!$B147,'Parking Lots &amp; Playgrounds'!$A$9:$N$33,I$6,0))+IF(ISNA(VLOOKUP($B147,Vehicles!$B$9:$O$50,I$6,0)),0,VLOOKUP($B147,Vehicles!$B$9:$O$50,I$6,0))</f>
        <v>43640</v>
      </c>
      <c r="H147" s="50">
        <v>1</v>
      </c>
      <c r="I147" s="49">
        <f t="shared" ref="I147:I165" si="16">IF($H147=1,IF($E147="Bond",$G147,IF(E147="BAN",$G147,0)),0)</f>
        <v>0</v>
      </c>
      <c r="J147" s="49">
        <f t="shared" ref="J147:J197" si="17">IF($H147=1,IF($E147="GF",$G147,0),0)</f>
        <v>43640</v>
      </c>
      <c r="K147" s="49">
        <f t="shared" ref="K147:K197" si="18">IF($H147=1,IF($E147="Grant",$G147,0),0)</f>
        <v>0</v>
      </c>
    </row>
    <row r="148" spans="1:12" x14ac:dyDescent="0.25">
      <c r="A148" s="48" t="s">
        <v>209</v>
      </c>
      <c r="B148" s="40" t="s">
        <v>107</v>
      </c>
      <c r="C148" s="40" t="s">
        <v>101</v>
      </c>
      <c r="D148" s="40" t="s">
        <v>272</v>
      </c>
      <c r="E148" s="43" t="s">
        <v>16</v>
      </c>
      <c r="G148" s="49">
        <f>IF(ISNA(VLOOKUP($B148,'Other Capital Needs'!$C$51:$P$95,I$6,0)),0,VLOOKUP($B148,'Other Capital Needs'!$C$51:$P$95,I$6,0))+IF(ISNA(VLOOKUP('Project Details by Yr'!$B148,'Public Grounds'!$A$11:$N$49,I$6,0)),0,VLOOKUP('Project Details by Yr'!$B148,'Public Grounds'!$A$11:$N$49,I$6,0))+IF(ISNA(VLOOKUP('Project Details by Yr'!$B148,'Public Buildings'!$A$10:$N$96,I$6,0)),0,VLOOKUP('Project Details by Yr'!$B148,'Public Buildings'!$A$10:$N$96,I$6,0))+IF(ISNA(VLOOKUP('Project Details by Yr'!$B148,Bridges!$A$9:$N$24,I$6,0)),0,VLOOKUP('Project Details by Yr'!$B148,Bridges!$A$9:$N$24,I$6,0))+IF(ISNA(VLOOKUP('Project Details by Yr'!$B148,'Parking Lots &amp; Playgrounds'!$A$9:$N$33,I$6,0)),0,VLOOKUP('Project Details by Yr'!$B148,'Parking Lots &amp; Playgrounds'!$A$9:$N$33,I$6,0))+IF(ISNA(VLOOKUP($B148,Vehicles!$B$9:$O$50,I$6,0)),0,VLOOKUP($B148,Vehicles!$B$9:$O$50,I$6,0))</f>
        <v>50000</v>
      </c>
      <c r="H148" s="50">
        <v>1</v>
      </c>
      <c r="I148" s="49">
        <f t="shared" si="16"/>
        <v>0</v>
      </c>
      <c r="J148" s="49">
        <f t="shared" si="17"/>
        <v>50000</v>
      </c>
      <c r="K148" s="49">
        <f t="shared" si="18"/>
        <v>0</v>
      </c>
    </row>
    <row r="149" spans="1:12" x14ac:dyDescent="0.25">
      <c r="A149" s="48">
        <v>17</v>
      </c>
      <c r="B149" s="40" t="s">
        <v>146</v>
      </c>
      <c r="C149" s="40" t="s">
        <v>101</v>
      </c>
      <c r="D149" s="40" t="s">
        <v>272</v>
      </c>
      <c r="E149" s="43" t="s">
        <v>286</v>
      </c>
      <c r="G149" s="49">
        <f>IF(ISNA(VLOOKUP($B149,'Other Capital Needs'!$C$51:$P$95,I$6,0)),0,VLOOKUP($B149,'Other Capital Needs'!$C$51:$P$95,I$6,0))+IF(ISNA(VLOOKUP('Project Details by Yr'!$B149,'Public Grounds'!$A$11:$N$49,I$6,0)),0,VLOOKUP('Project Details by Yr'!$B149,'Public Grounds'!$A$11:$N$49,I$6,0))+IF(ISNA(VLOOKUP('Project Details by Yr'!$B149,'Public Buildings'!$A$10:$N$96,I$6,0)),0,VLOOKUP('Project Details by Yr'!$B149,'Public Buildings'!$A$10:$N$96,I$6,0))+IF(ISNA(VLOOKUP('Project Details by Yr'!$B149,Bridges!$A$9:$N$24,I$6,0)),0,VLOOKUP('Project Details by Yr'!$B149,Bridges!$A$9:$N$24,I$6,0))+IF(ISNA(VLOOKUP('Project Details by Yr'!$B149,'Parking Lots &amp; Playgrounds'!$A$9:$N$33,I$6,0)),0,VLOOKUP('Project Details by Yr'!$B149,'Parking Lots &amp; Playgrounds'!$A$9:$N$33,I$6,0))+IF(ISNA(VLOOKUP($B149,Vehicles!$B$9:$O$50,I$6,0)),0,VLOOKUP($B149,Vehicles!$B$9:$O$50,I$6,0))</f>
        <v>0</v>
      </c>
      <c r="H149" s="50">
        <v>1</v>
      </c>
      <c r="I149" s="49">
        <f t="shared" si="16"/>
        <v>0</v>
      </c>
      <c r="J149" s="49">
        <f t="shared" si="17"/>
        <v>0</v>
      </c>
      <c r="K149" s="49">
        <f t="shared" si="18"/>
        <v>0</v>
      </c>
    </row>
    <row r="150" spans="1:12" x14ac:dyDescent="0.25">
      <c r="A150" s="48">
        <v>31</v>
      </c>
      <c r="B150" s="40" t="s">
        <v>152</v>
      </c>
      <c r="C150" s="40" t="s">
        <v>101</v>
      </c>
      <c r="D150" s="40" t="s">
        <v>272</v>
      </c>
      <c r="E150" s="43" t="s">
        <v>16</v>
      </c>
      <c r="G150" s="49">
        <f>IF(ISNA(VLOOKUP($B150,'Other Capital Needs'!$C$51:$P$95,I$6,0)),0,VLOOKUP($B150,'Other Capital Needs'!$C$51:$P$95,I$6,0))+IF(ISNA(VLOOKUP('Project Details by Yr'!$B150,'Public Grounds'!$A$11:$N$49,I$6,0)),0,VLOOKUP('Project Details by Yr'!$B150,'Public Grounds'!$A$11:$N$49,I$6,0))+IF(ISNA(VLOOKUP('Project Details by Yr'!$B150,'Public Buildings'!$A$10:$N$96,I$6,0)),0,VLOOKUP('Project Details by Yr'!$B150,'Public Buildings'!$A$10:$N$96,I$6,0))+IF(ISNA(VLOOKUP('Project Details by Yr'!$B150,Bridges!$A$9:$N$24,I$6,0)),0,VLOOKUP('Project Details by Yr'!$B150,Bridges!$A$9:$N$24,I$6,0))+IF(ISNA(VLOOKUP('Project Details by Yr'!$B150,'Parking Lots &amp; Playgrounds'!$A$9:$N$33,I$6,0)),0,VLOOKUP('Project Details by Yr'!$B150,'Parking Lots &amp; Playgrounds'!$A$9:$N$33,I$6,0))+IF(ISNA(VLOOKUP($B150,Vehicles!$B$9:$O$50,I$6,0)),0,VLOOKUP($B150,Vehicles!$B$9:$O$50,I$6,0))</f>
        <v>200000</v>
      </c>
      <c r="H150" s="50">
        <v>1</v>
      </c>
      <c r="I150" s="49">
        <f t="shared" si="16"/>
        <v>0</v>
      </c>
      <c r="J150" s="49">
        <f t="shared" si="17"/>
        <v>200000</v>
      </c>
      <c r="K150" s="49">
        <f t="shared" si="18"/>
        <v>0</v>
      </c>
    </row>
    <row r="151" spans="1:12" x14ac:dyDescent="0.25">
      <c r="A151" s="48">
        <v>32</v>
      </c>
      <c r="B151" s="40" t="s">
        <v>157</v>
      </c>
      <c r="C151" s="40" t="s">
        <v>101</v>
      </c>
      <c r="D151" s="40" t="s">
        <v>272</v>
      </c>
      <c r="E151" s="43" t="s">
        <v>16</v>
      </c>
      <c r="G151" s="49">
        <f>IF(ISNA(VLOOKUP($B151,'Other Capital Needs'!$C$51:$P$95,I$6,0)),0,VLOOKUP($B151,'Other Capital Needs'!$C$51:$P$95,I$6,0))+IF(ISNA(VLOOKUP('Project Details by Yr'!$B151,'Public Grounds'!$A$11:$N$49,I$6,0)),0,VLOOKUP('Project Details by Yr'!$B151,'Public Grounds'!$A$11:$N$49,I$6,0))+IF(ISNA(VLOOKUP('Project Details by Yr'!$B151,'Public Buildings'!$A$10:$N$96,I$6,0)),0,VLOOKUP('Project Details by Yr'!$B151,'Public Buildings'!$A$10:$N$96,I$6,0))+IF(ISNA(VLOOKUP('Project Details by Yr'!$B151,Bridges!$A$9:$N$24,I$6,0)),0,VLOOKUP('Project Details by Yr'!$B151,Bridges!$A$9:$N$24,I$6,0))+IF(ISNA(VLOOKUP('Project Details by Yr'!$B151,'Parking Lots &amp; Playgrounds'!$A$9:$N$33,I$6,0)),0,VLOOKUP('Project Details by Yr'!$B151,'Parking Lots &amp; Playgrounds'!$A$9:$N$33,I$6,0))+IF(ISNA(VLOOKUP($B151,Vehicles!$B$9:$O$50,I$6,0)),0,VLOOKUP($B151,Vehicles!$B$9:$O$50,I$6,0))</f>
        <v>0</v>
      </c>
      <c r="H151" s="50">
        <v>1</v>
      </c>
      <c r="I151" s="49">
        <f t="shared" si="16"/>
        <v>0</v>
      </c>
      <c r="J151" s="49">
        <f t="shared" si="17"/>
        <v>0</v>
      </c>
      <c r="K151" s="49">
        <f t="shared" si="18"/>
        <v>0</v>
      </c>
    </row>
    <row r="152" spans="1:12" x14ac:dyDescent="0.25">
      <c r="A152" s="48">
        <v>32</v>
      </c>
      <c r="B152" s="40" t="s">
        <v>158</v>
      </c>
      <c r="C152" s="40" t="s">
        <v>101</v>
      </c>
      <c r="D152" s="40" t="s">
        <v>272</v>
      </c>
      <c r="E152" s="43" t="s">
        <v>16</v>
      </c>
      <c r="G152" s="49">
        <f>IF(ISNA(VLOOKUP($B152,'Other Capital Needs'!$C$51:$P$95,I$6,0)),0,VLOOKUP($B152,'Other Capital Needs'!$C$51:$P$95,I$6,0))+IF(ISNA(VLOOKUP('Project Details by Yr'!$B152,'Public Grounds'!$A$11:$N$49,I$6,0)),0,VLOOKUP('Project Details by Yr'!$B152,'Public Grounds'!$A$11:$N$49,I$6,0))+IF(ISNA(VLOOKUP('Project Details by Yr'!$B152,'Public Buildings'!$A$10:$N$96,I$6,0)),0,VLOOKUP('Project Details by Yr'!$B152,'Public Buildings'!$A$10:$N$96,I$6,0))+IF(ISNA(VLOOKUP('Project Details by Yr'!$B152,Bridges!$A$9:$N$24,I$6,0)),0,VLOOKUP('Project Details by Yr'!$B152,Bridges!$A$9:$N$24,I$6,0))+IF(ISNA(VLOOKUP('Project Details by Yr'!$B152,'Parking Lots &amp; Playgrounds'!$A$9:$N$33,I$6,0)),0,VLOOKUP('Project Details by Yr'!$B152,'Parking Lots &amp; Playgrounds'!$A$9:$N$33,I$6,0))+IF(ISNA(VLOOKUP($B152,Vehicles!$B$9:$O$50,I$6,0)),0,VLOOKUP($B152,Vehicles!$B$9:$O$50,I$6,0))</f>
        <v>0</v>
      </c>
      <c r="H152" s="50">
        <v>1</v>
      </c>
      <c r="I152" s="49">
        <f t="shared" si="16"/>
        <v>0</v>
      </c>
      <c r="J152" s="49">
        <f t="shared" si="17"/>
        <v>0</v>
      </c>
      <c r="K152" s="49">
        <f t="shared" si="18"/>
        <v>0</v>
      </c>
    </row>
    <row r="153" spans="1:12" x14ac:dyDescent="0.25">
      <c r="A153" s="48">
        <v>32</v>
      </c>
      <c r="B153" s="54" t="s">
        <v>166</v>
      </c>
      <c r="C153" s="40" t="s">
        <v>101</v>
      </c>
      <c r="D153" s="40" t="s">
        <v>272</v>
      </c>
      <c r="E153" s="53" t="s">
        <v>16</v>
      </c>
      <c r="G153" s="49">
        <f>IF(ISNA(VLOOKUP($B153,'Other Capital Needs'!$C$51:$P$95,I$6,0)),0,VLOOKUP($B153,'Other Capital Needs'!$C$51:$P$95,I$6,0))+IF(ISNA(VLOOKUP('Project Details by Yr'!$B153,'Public Grounds'!$A$11:$N$49,I$6,0)),0,VLOOKUP('Project Details by Yr'!$B153,'Public Grounds'!$A$11:$N$49,I$6,0))+IF(ISNA(VLOOKUP('Project Details by Yr'!$B153,'Public Buildings'!$A$10:$N$96,I$6,0)),0,VLOOKUP('Project Details by Yr'!$B153,'Public Buildings'!$A$10:$N$96,I$6,0))+IF(ISNA(VLOOKUP('Project Details by Yr'!$B153,Bridges!$A$9:$N$24,I$6,0)),0,VLOOKUP('Project Details by Yr'!$B153,Bridges!$A$9:$N$24,I$6,0))+IF(ISNA(VLOOKUP('Project Details by Yr'!$B153,'Parking Lots &amp; Playgrounds'!$A$9:$N$33,I$6,0)),0,VLOOKUP('Project Details by Yr'!$B153,'Parking Lots &amp; Playgrounds'!$A$9:$N$33,I$6,0))+IF(ISNA(VLOOKUP($B153,Vehicles!$B$9:$O$50,I$6,0)),0,VLOOKUP($B153,Vehicles!$B$9:$O$50,I$6,0))</f>
        <v>0</v>
      </c>
      <c r="H153" s="50">
        <v>1</v>
      </c>
      <c r="I153" s="49">
        <f t="shared" si="16"/>
        <v>0</v>
      </c>
      <c r="J153" s="49">
        <f t="shared" si="17"/>
        <v>0</v>
      </c>
      <c r="K153" s="49">
        <f t="shared" si="18"/>
        <v>0</v>
      </c>
    </row>
    <row r="154" spans="1:12" x14ac:dyDescent="0.25">
      <c r="A154" s="48">
        <v>32</v>
      </c>
      <c r="B154" s="54" t="s">
        <v>167</v>
      </c>
      <c r="C154" s="40" t="s">
        <v>101</v>
      </c>
      <c r="D154" s="40" t="s">
        <v>272</v>
      </c>
      <c r="E154" s="53" t="s">
        <v>16</v>
      </c>
      <c r="G154" s="49">
        <f>IF(ISNA(VLOOKUP($B154,'Other Capital Needs'!$C$51:$P$95,I$6,0)),0,VLOOKUP($B154,'Other Capital Needs'!$C$51:$P$95,I$6,0))+IF(ISNA(VLOOKUP('Project Details by Yr'!$B154,'Public Grounds'!$A$11:$N$49,I$6,0)),0,VLOOKUP('Project Details by Yr'!$B154,'Public Grounds'!$A$11:$N$49,I$6,0))+IF(ISNA(VLOOKUP('Project Details by Yr'!$B154,'Public Buildings'!$A$10:$N$96,I$6,0)),0,VLOOKUP('Project Details by Yr'!$B154,'Public Buildings'!$A$10:$N$96,I$6,0))+IF(ISNA(VLOOKUP('Project Details by Yr'!$B154,Bridges!$A$9:$N$24,I$6,0)),0,VLOOKUP('Project Details by Yr'!$B154,Bridges!$A$9:$N$24,I$6,0))+IF(ISNA(VLOOKUP('Project Details by Yr'!$B154,'Parking Lots &amp; Playgrounds'!$A$9:$N$33,I$6,0)),0,VLOOKUP('Project Details by Yr'!$B154,'Parking Lots &amp; Playgrounds'!$A$9:$N$33,I$6,0))+IF(ISNA(VLOOKUP($B154,Vehicles!$B$9:$O$50,I$6,0)),0,VLOOKUP($B154,Vehicles!$B$9:$O$50,I$6,0))</f>
        <v>0</v>
      </c>
      <c r="H154" s="50">
        <v>1</v>
      </c>
      <c r="I154" s="49">
        <f t="shared" si="16"/>
        <v>0</v>
      </c>
      <c r="J154" s="49">
        <f t="shared" si="17"/>
        <v>0</v>
      </c>
      <c r="K154" s="49">
        <f t="shared" si="18"/>
        <v>0</v>
      </c>
    </row>
    <row r="155" spans="1:12" x14ac:dyDescent="0.25">
      <c r="A155" s="48">
        <v>32</v>
      </c>
      <c r="B155" s="54" t="s">
        <v>168</v>
      </c>
      <c r="C155" s="40" t="s">
        <v>101</v>
      </c>
      <c r="D155" s="40" t="s">
        <v>272</v>
      </c>
      <c r="E155" s="53" t="s">
        <v>16</v>
      </c>
      <c r="G155" s="49">
        <f>IF(ISNA(VLOOKUP($B155,'Other Capital Needs'!$C$51:$P$95,I$6,0)),0,VLOOKUP($B155,'Other Capital Needs'!$C$51:$P$95,I$6,0))+IF(ISNA(VLOOKUP('Project Details by Yr'!$B155,'Public Grounds'!$A$11:$N$49,I$6,0)),0,VLOOKUP('Project Details by Yr'!$B155,'Public Grounds'!$A$11:$N$49,I$6,0))+IF(ISNA(VLOOKUP('Project Details by Yr'!$B155,'Public Buildings'!$A$10:$N$96,I$6,0)),0,VLOOKUP('Project Details by Yr'!$B155,'Public Buildings'!$A$10:$N$96,I$6,0))+IF(ISNA(VLOOKUP('Project Details by Yr'!$B155,Bridges!$A$9:$N$24,I$6,0)),0,VLOOKUP('Project Details by Yr'!$B155,Bridges!$A$9:$N$24,I$6,0))+IF(ISNA(VLOOKUP('Project Details by Yr'!$B155,'Parking Lots &amp; Playgrounds'!$A$9:$N$33,I$6,0)),0,VLOOKUP('Project Details by Yr'!$B155,'Parking Lots &amp; Playgrounds'!$A$9:$N$33,I$6,0))+IF(ISNA(VLOOKUP($B155,Vehicles!$B$9:$O$50,I$6,0)),0,VLOOKUP($B155,Vehicles!$B$9:$O$50,I$6,0))</f>
        <v>0</v>
      </c>
      <c r="H155" s="50">
        <v>1</v>
      </c>
      <c r="I155" s="49">
        <f t="shared" si="16"/>
        <v>0</v>
      </c>
      <c r="J155" s="49">
        <f t="shared" si="17"/>
        <v>0</v>
      </c>
      <c r="K155" s="49">
        <f t="shared" si="18"/>
        <v>0</v>
      </c>
    </row>
    <row r="156" spans="1:12" x14ac:dyDescent="0.25">
      <c r="A156" s="48">
        <v>36</v>
      </c>
      <c r="B156" s="54" t="s">
        <v>177</v>
      </c>
      <c r="C156" s="54" t="s">
        <v>101</v>
      </c>
      <c r="D156" s="54" t="s">
        <v>272</v>
      </c>
      <c r="E156" s="53" t="s">
        <v>16</v>
      </c>
      <c r="F156" s="54"/>
      <c r="G156" s="49">
        <f>IF(ISNA(VLOOKUP($B156,'Other Capital Needs'!$C$51:$P$95,I$6,0)),0,VLOOKUP($B156,'Other Capital Needs'!$C$51:$P$95,I$6,0))+IF(ISNA(VLOOKUP('Project Details by Yr'!$B156,'Public Grounds'!$A$11:$N$49,I$6,0)),0,VLOOKUP('Project Details by Yr'!$B156,'Public Grounds'!$A$11:$N$49,I$6,0))+IF(ISNA(VLOOKUP('Project Details by Yr'!$B156,'Public Buildings'!$A$10:$N$96,I$6,0)),0,VLOOKUP('Project Details by Yr'!$B156,'Public Buildings'!$A$10:$N$96,I$6,0))+IF(ISNA(VLOOKUP('Project Details by Yr'!$B156,Bridges!$A$9:$N$24,I$6,0)),0,VLOOKUP('Project Details by Yr'!$B156,Bridges!$A$9:$N$24,I$6,0))+IF(ISNA(VLOOKUP('Project Details by Yr'!$B156,'Parking Lots &amp; Playgrounds'!$A$9:$N$33,I$6,0)),0,VLOOKUP('Project Details by Yr'!$B156,'Parking Lots &amp; Playgrounds'!$A$9:$N$33,I$6,0))+IF(ISNA(VLOOKUP($B156,Vehicles!$B$9:$O$50,I$6,0)),0,VLOOKUP($B156,Vehicles!$B$9:$O$50,I$6,0))</f>
        <v>0</v>
      </c>
      <c r="H156" s="50">
        <v>1</v>
      </c>
      <c r="I156" s="49">
        <f t="shared" si="16"/>
        <v>0</v>
      </c>
      <c r="J156" s="49">
        <f t="shared" si="17"/>
        <v>0</v>
      </c>
      <c r="K156" s="49">
        <f t="shared" si="18"/>
        <v>0</v>
      </c>
    </row>
    <row r="157" spans="1:12" x14ac:dyDescent="0.25">
      <c r="A157" s="48">
        <v>36</v>
      </c>
      <c r="B157" s="54" t="s">
        <v>179</v>
      </c>
      <c r="C157" s="54" t="s">
        <v>101</v>
      </c>
      <c r="D157" s="54" t="s">
        <v>272</v>
      </c>
      <c r="E157" s="53" t="s">
        <v>286</v>
      </c>
      <c r="F157" s="54"/>
      <c r="G157" s="49">
        <f>IF(ISNA(VLOOKUP($B157,'Other Capital Needs'!$C$51:$P$95,I$6,0)),0,VLOOKUP($B157,'Other Capital Needs'!$C$51:$P$95,I$6,0))+IF(ISNA(VLOOKUP('Project Details by Yr'!$B157,'Public Grounds'!$A$11:$N$49,I$6,0)),0,VLOOKUP('Project Details by Yr'!$B157,'Public Grounds'!$A$11:$N$49,I$6,0))+IF(ISNA(VLOOKUP('Project Details by Yr'!$B157,'Public Buildings'!$A$10:$N$96,I$6,0)),0,VLOOKUP('Project Details by Yr'!$B157,'Public Buildings'!$A$10:$N$96,I$6,0))+IF(ISNA(VLOOKUP('Project Details by Yr'!$B157,Bridges!$A$9:$N$24,I$6,0)),0,VLOOKUP('Project Details by Yr'!$B157,Bridges!$A$9:$N$24,I$6,0))+IF(ISNA(VLOOKUP('Project Details by Yr'!$B157,'Parking Lots &amp; Playgrounds'!$A$9:$N$33,I$6,0)),0,VLOOKUP('Project Details by Yr'!$B157,'Parking Lots &amp; Playgrounds'!$A$9:$N$33,I$6,0))+IF(ISNA(VLOOKUP($B157,Vehicles!$B$9:$O$50,I$6,0)),0,VLOOKUP($B157,Vehicles!$B$9:$O$50,I$6,0))</f>
        <v>120000</v>
      </c>
      <c r="H157" s="50">
        <v>1</v>
      </c>
      <c r="I157" s="49">
        <f t="shared" si="16"/>
        <v>0</v>
      </c>
      <c r="J157" s="49">
        <f t="shared" si="17"/>
        <v>0</v>
      </c>
      <c r="K157" s="49">
        <f t="shared" si="18"/>
        <v>120000</v>
      </c>
    </row>
    <row r="158" spans="1:12" x14ac:dyDescent="0.25">
      <c r="A158" s="48">
        <v>36</v>
      </c>
      <c r="B158" s="54" t="s">
        <v>180</v>
      </c>
      <c r="C158" s="54" t="s">
        <v>101</v>
      </c>
      <c r="D158" s="54" t="s">
        <v>272</v>
      </c>
      <c r="E158" s="53" t="s">
        <v>16</v>
      </c>
      <c r="F158" s="54"/>
      <c r="G158" s="49">
        <f>IF(ISNA(VLOOKUP($B158,'Other Capital Needs'!$C$51:$P$95,I$6,0)),0,VLOOKUP($B158,'Other Capital Needs'!$C$51:$P$95,I$6,0))+IF(ISNA(VLOOKUP('Project Details by Yr'!$B158,'Public Grounds'!$A$11:$N$49,I$6,0)),0,VLOOKUP('Project Details by Yr'!$B158,'Public Grounds'!$A$11:$N$49,I$6,0))+IF(ISNA(VLOOKUP('Project Details by Yr'!$B158,'Public Buildings'!$A$10:$N$96,I$6,0)),0,VLOOKUP('Project Details by Yr'!$B158,'Public Buildings'!$A$10:$N$96,I$6,0))+IF(ISNA(VLOOKUP('Project Details by Yr'!$B158,Bridges!$A$9:$N$24,I$6,0)),0,VLOOKUP('Project Details by Yr'!$B158,Bridges!$A$9:$N$24,I$6,0))+IF(ISNA(VLOOKUP('Project Details by Yr'!$B158,'Parking Lots &amp; Playgrounds'!$A$9:$N$33,I$6,0)),0,VLOOKUP('Project Details by Yr'!$B158,'Parking Lots &amp; Playgrounds'!$A$9:$N$33,I$6,0))+IF(ISNA(VLOOKUP($B158,Vehicles!$B$9:$O$50,I$6,0)),0,VLOOKUP($B158,Vehicles!$B$9:$O$50,I$6,0))</f>
        <v>0</v>
      </c>
      <c r="H158" s="50">
        <v>1</v>
      </c>
      <c r="I158" s="49">
        <f t="shared" si="16"/>
        <v>0</v>
      </c>
      <c r="J158" s="49">
        <f t="shared" si="17"/>
        <v>0</v>
      </c>
      <c r="K158" s="49">
        <f t="shared" si="18"/>
        <v>0</v>
      </c>
    </row>
    <row r="159" spans="1:12" x14ac:dyDescent="0.25">
      <c r="A159" s="48">
        <v>43</v>
      </c>
      <c r="B159" s="40" t="s">
        <v>185</v>
      </c>
      <c r="C159" s="40" t="s">
        <v>101</v>
      </c>
      <c r="D159" s="40" t="s">
        <v>272</v>
      </c>
      <c r="E159" s="43" t="s">
        <v>16</v>
      </c>
      <c r="G159" s="49">
        <f>IF(ISNA(VLOOKUP($B159,'Other Capital Needs'!$C$51:$P$95,I$6,0)),0,VLOOKUP($B159,'Other Capital Needs'!$C$51:$P$95,I$6,0))+IF(ISNA(VLOOKUP('Project Details by Yr'!$B159,'Public Grounds'!$A$11:$N$49,I$6,0)),0,VLOOKUP('Project Details by Yr'!$B159,'Public Grounds'!$A$11:$N$49,I$6,0))+IF(ISNA(VLOOKUP('Project Details by Yr'!$B159,'Public Buildings'!$A$10:$N$96,I$6,0)),0,VLOOKUP('Project Details by Yr'!$B159,'Public Buildings'!$A$10:$N$96,I$6,0))+IF(ISNA(VLOOKUP('Project Details by Yr'!$B159,Bridges!$A$9:$N$24,I$6,0)),0,VLOOKUP('Project Details by Yr'!$B159,Bridges!$A$9:$N$24,I$6,0))+IF(ISNA(VLOOKUP('Project Details by Yr'!$B159,'Parking Lots &amp; Playgrounds'!$A$9:$N$33,I$6,0)),0,VLOOKUP('Project Details by Yr'!$B159,'Parking Lots &amp; Playgrounds'!$A$9:$N$33,I$6,0))+IF(ISNA(VLOOKUP($B159,Vehicles!$B$9:$O$50,I$6,0)),0,VLOOKUP($B159,Vehicles!$B$9:$O$50,I$6,0))</f>
        <v>0</v>
      </c>
      <c r="H159" s="50"/>
      <c r="I159" s="49">
        <f t="shared" si="16"/>
        <v>0</v>
      </c>
      <c r="J159" s="49">
        <f t="shared" si="17"/>
        <v>0</v>
      </c>
      <c r="K159" s="49">
        <f t="shared" si="18"/>
        <v>0</v>
      </c>
      <c r="L159" s="52" t="s">
        <v>294</v>
      </c>
    </row>
    <row r="160" spans="1:12" x14ac:dyDescent="0.25">
      <c r="A160" s="48">
        <v>43</v>
      </c>
      <c r="B160" s="40" t="s">
        <v>186</v>
      </c>
      <c r="C160" s="40" t="s">
        <v>101</v>
      </c>
      <c r="D160" s="40" t="s">
        <v>272</v>
      </c>
      <c r="E160" s="43" t="s">
        <v>16</v>
      </c>
      <c r="G160" s="49">
        <f>IF(ISNA(VLOOKUP($B160,'Other Capital Needs'!$C$51:$P$95,I$6,0)),0,VLOOKUP($B160,'Other Capital Needs'!$C$51:$P$95,I$6,0))+IF(ISNA(VLOOKUP('Project Details by Yr'!$B160,'Public Grounds'!$A$11:$N$49,I$6,0)),0,VLOOKUP('Project Details by Yr'!$B160,'Public Grounds'!$A$11:$N$49,I$6,0))+IF(ISNA(VLOOKUP('Project Details by Yr'!$B160,'Public Buildings'!$A$10:$N$96,I$6,0)),0,VLOOKUP('Project Details by Yr'!$B160,'Public Buildings'!$A$10:$N$96,I$6,0))+IF(ISNA(VLOOKUP('Project Details by Yr'!$B160,Bridges!$A$9:$N$24,I$6,0)),0,VLOOKUP('Project Details by Yr'!$B160,Bridges!$A$9:$N$24,I$6,0))+IF(ISNA(VLOOKUP('Project Details by Yr'!$B160,'Parking Lots &amp; Playgrounds'!$A$9:$N$33,I$6,0)),0,VLOOKUP('Project Details by Yr'!$B160,'Parking Lots &amp; Playgrounds'!$A$9:$N$33,I$6,0))+IF(ISNA(VLOOKUP($B160,Vehicles!$B$9:$O$50,I$6,0)),0,VLOOKUP($B160,Vehicles!$B$9:$O$50,I$6,0))</f>
        <v>0</v>
      </c>
      <c r="H160" s="50"/>
      <c r="I160" s="49">
        <f t="shared" si="16"/>
        <v>0</v>
      </c>
      <c r="J160" s="49">
        <f t="shared" si="17"/>
        <v>0</v>
      </c>
      <c r="K160" s="49">
        <f t="shared" si="18"/>
        <v>0</v>
      </c>
      <c r="L160" s="52" t="s">
        <v>294</v>
      </c>
    </row>
    <row r="161" spans="1:12" x14ac:dyDescent="0.25">
      <c r="A161" s="48">
        <v>44</v>
      </c>
      <c r="B161" s="40" t="s">
        <v>188</v>
      </c>
      <c r="C161" s="40" t="s">
        <v>101</v>
      </c>
      <c r="D161" s="40" t="s">
        <v>272</v>
      </c>
      <c r="E161" s="43" t="s">
        <v>16</v>
      </c>
      <c r="G161" s="49">
        <f>IF(ISNA(VLOOKUP($B161,'Other Capital Needs'!$C$51:$P$95,I$6,0)),0,VLOOKUP($B161,'Other Capital Needs'!$C$51:$P$95,I$6,0))+IF(ISNA(VLOOKUP('Project Details by Yr'!$B161,'Public Grounds'!$A$11:$N$49,I$6,0)),0,VLOOKUP('Project Details by Yr'!$B161,'Public Grounds'!$A$11:$N$49,I$6,0))+IF(ISNA(VLOOKUP('Project Details by Yr'!$B161,'Public Buildings'!$A$10:$N$96,I$6,0)),0,VLOOKUP('Project Details by Yr'!$B161,'Public Buildings'!$A$10:$N$96,I$6,0))+IF(ISNA(VLOOKUP('Project Details by Yr'!$B161,Bridges!$A$9:$N$24,I$6,0)),0,VLOOKUP('Project Details by Yr'!$B161,Bridges!$A$9:$N$24,I$6,0))+IF(ISNA(VLOOKUP('Project Details by Yr'!$B161,'Parking Lots &amp; Playgrounds'!$A$9:$N$33,I$6,0)),0,VLOOKUP('Project Details by Yr'!$B161,'Parking Lots &amp; Playgrounds'!$A$9:$N$33,I$6,0))+IF(ISNA(VLOOKUP($B161,Vehicles!$B$9:$O$50,I$6,0)),0,VLOOKUP($B161,Vehicles!$B$9:$O$50,I$6,0))</f>
        <v>0</v>
      </c>
      <c r="H161" s="50"/>
      <c r="I161" s="49">
        <f t="shared" si="16"/>
        <v>0</v>
      </c>
      <c r="J161" s="49">
        <f t="shared" si="17"/>
        <v>0</v>
      </c>
      <c r="K161" s="49">
        <f t="shared" si="18"/>
        <v>0</v>
      </c>
      <c r="L161" s="52" t="s">
        <v>290</v>
      </c>
    </row>
    <row r="162" spans="1:12" x14ac:dyDescent="0.25">
      <c r="A162" s="48">
        <v>53</v>
      </c>
      <c r="B162" s="40" t="s">
        <v>189</v>
      </c>
      <c r="C162" s="40" t="s">
        <v>101</v>
      </c>
      <c r="D162" s="40" t="s">
        <v>272</v>
      </c>
      <c r="E162" s="43" t="s">
        <v>16</v>
      </c>
      <c r="G162" s="49">
        <f>IF(ISNA(VLOOKUP($B162,'Other Capital Needs'!$C$51:$P$95,I$6,0)),0,VLOOKUP($B162,'Other Capital Needs'!$C$51:$P$95,I$6,0))+IF(ISNA(VLOOKUP('Project Details by Yr'!$B162,'Public Grounds'!$A$11:$N$49,I$6,0)),0,VLOOKUP('Project Details by Yr'!$B162,'Public Grounds'!$A$11:$N$49,I$6,0))+IF(ISNA(VLOOKUP('Project Details by Yr'!$B162,'Public Buildings'!$A$10:$N$96,I$6,0)),0,VLOOKUP('Project Details by Yr'!$B162,'Public Buildings'!$A$10:$N$96,I$6,0))+IF(ISNA(VLOOKUP('Project Details by Yr'!$B162,Bridges!$A$9:$N$24,I$6,0)),0,VLOOKUP('Project Details by Yr'!$B162,Bridges!$A$9:$N$24,I$6,0))+IF(ISNA(VLOOKUP('Project Details by Yr'!$B162,'Parking Lots &amp; Playgrounds'!$A$9:$N$33,I$6,0)),0,VLOOKUP('Project Details by Yr'!$B162,'Parking Lots &amp; Playgrounds'!$A$9:$N$33,I$6,0))+IF(ISNA(VLOOKUP($B162,Vehicles!$B$9:$O$50,I$6,0)),0,VLOOKUP($B162,Vehicles!$B$9:$O$50,I$6,0))</f>
        <v>0</v>
      </c>
      <c r="H162" s="50"/>
      <c r="I162" s="49">
        <f t="shared" si="16"/>
        <v>0</v>
      </c>
      <c r="J162" s="49">
        <f t="shared" si="17"/>
        <v>0</v>
      </c>
      <c r="K162" s="49">
        <f t="shared" si="18"/>
        <v>0</v>
      </c>
    </row>
    <row r="163" spans="1:12" x14ac:dyDescent="0.25">
      <c r="A163" s="48">
        <v>53</v>
      </c>
      <c r="B163" s="40" t="s">
        <v>190</v>
      </c>
      <c r="C163" s="40" t="s">
        <v>101</v>
      </c>
      <c r="D163" s="40" t="s">
        <v>272</v>
      </c>
      <c r="E163" s="43" t="s">
        <v>16</v>
      </c>
      <c r="G163" s="49">
        <f>IF(ISNA(VLOOKUP($B163,'Other Capital Needs'!$C$51:$P$95,I$6,0)),0,VLOOKUP($B163,'Other Capital Needs'!$C$51:$P$95,I$6,0))+IF(ISNA(VLOOKUP('Project Details by Yr'!$B163,'Public Grounds'!$A$11:$N$49,I$6,0)),0,VLOOKUP('Project Details by Yr'!$B163,'Public Grounds'!$A$11:$N$49,I$6,0))+IF(ISNA(VLOOKUP('Project Details by Yr'!$B163,'Public Buildings'!$A$10:$N$96,I$6,0)),0,VLOOKUP('Project Details by Yr'!$B163,'Public Buildings'!$A$10:$N$96,I$6,0))+IF(ISNA(VLOOKUP('Project Details by Yr'!$B163,Bridges!$A$9:$N$24,I$6,0)),0,VLOOKUP('Project Details by Yr'!$B163,Bridges!$A$9:$N$24,I$6,0))+IF(ISNA(VLOOKUP('Project Details by Yr'!$B163,'Parking Lots &amp; Playgrounds'!$A$9:$N$33,I$6,0)),0,VLOOKUP('Project Details by Yr'!$B163,'Parking Lots &amp; Playgrounds'!$A$9:$N$33,I$6,0))+IF(ISNA(VLOOKUP($B163,Vehicles!$B$9:$O$50,I$6,0)),0,VLOOKUP($B163,Vehicles!$B$9:$O$50,I$6,0))</f>
        <v>0</v>
      </c>
      <c r="H163" s="50"/>
      <c r="I163" s="49">
        <f t="shared" si="16"/>
        <v>0</v>
      </c>
      <c r="J163" s="49">
        <f t="shared" si="17"/>
        <v>0</v>
      </c>
      <c r="K163" s="49">
        <f t="shared" si="18"/>
        <v>0</v>
      </c>
    </row>
    <row r="164" spans="1:12" x14ac:dyDescent="0.25">
      <c r="B164" s="40" t="s">
        <v>23</v>
      </c>
      <c r="C164" s="54" t="s">
        <v>46</v>
      </c>
      <c r="D164" s="54" t="s">
        <v>272</v>
      </c>
      <c r="E164" s="43" t="s">
        <v>16</v>
      </c>
      <c r="G164" s="49">
        <f>IF(ISNA(VLOOKUP($B164,'Other Capital Needs'!$C$51:$P$95,I$6,0)),0,VLOOKUP($B164,'Other Capital Needs'!$C$51:$P$95,I$6,0))+IF(ISNA(VLOOKUP('Project Details by Yr'!$B164,'Public Grounds'!$A$11:$N$49,I$6,0)),0,VLOOKUP('Project Details by Yr'!$B164,'Public Grounds'!$A$11:$N$49,I$6,0))+IF(ISNA(VLOOKUP('Project Details by Yr'!$B164,'Public Buildings'!$A$10:$N$96,I$6,0)),0,VLOOKUP('Project Details by Yr'!$B164,'Public Buildings'!$A$10:$N$96,I$6,0))+IF(ISNA(VLOOKUP('Project Details by Yr'!$B164,Bridges!$A$9:$N$24,I$6,0)),0,VLOOKUP('Project Details by Yr'!$B164,Bridges!$A$9:$N$24,I$6,0))+IF(ISNA(VLOOKUP('Project Details by Yr'!$B164,'Parking Lots &amp; Playgrounds'!$A$9:$N$33,I$6,0)),0,VLOOKUP('Project Details by Yr'!$B164,'Parking Lots &amp; Playgrounds'!$A$9:$N$33,I$6,0))+IF(ISNA(VLOOKUP($B164,Vehicles!$B$9:$O$50,I$6,0)),0,VLOOKUP($B164,Vehicles!$B$9:$O$50,I$6,0))</f>
        <v>15000</v>
      </c>
      <c r="H164" s="50">
        <v>1</v>
      </c>
      <c r="I164" s="49">
        <f t="shared" si="16"/>
        <v>0</v>
      </c>
      <c r="J164" s="49">
        <f t="shared" si="17"/>
        <v>15000</v>
      </c>
      <c r="K164" s="49">
        <f t="shared" si="18"/>
        <v>0</v>
      </c>
    </row>
    <row r="165" spans="1:12" x14ac:dyDescent="0.25">
      <c r="B165" s="40" t="s">
        <v>27</v>
      </c>
      <c r="C165" s="54" t="s">
        <v>46</v>
      </c>
      <c r="D165" s="54" t="s">
        <v>272</v>
      </c>
      <c r="E165" s="43" t="s">
        <v>16</v>
      </c>
      <c r="G165" s="49">
        <f>IF(ISNA(VLOOKUP($B165,'Other Capital Needs'!$C$51:$P$95,I$6,0)),0,VLOOKUP($B165,'Other Capital Needs'!$C$51:$P$95,I$6,0))+IF(ISNA(VLOOKUP('Project Details by Yr'!$B165,'Public Grounds'!$A$11:$N$49,I$6,0)),0,VLOOKUP('Project Details by Yr'!$B165,'Public Grounds'!$A$11:$N$49,I$6,0))+IF(ISNA(VLOOKUP('Project Details by Yr'!$B165,'Public Buildings'!$A$10:$N$96,I$6,0)),0,VLOOKUP('Project Details by Yr'!$B165,'Public Buildings'!$A$10:$N$96,I$6,0))+IF(ISNA(VLOOKUP('Project Details by Yr'!$B165,Bridges!$A$9:$N$24,I$6,0)),0,VLOOKUP('Project Details by Yr'!$B165,Bridges!$A$9:$N$24,I$6,0))+IF(ISNA(VLOOKUP('Project Details by Yr'!$B165,'Parking Lots &amp; Playgrounds'!$A$9:$N$33,I$6,0)),0,VLOOKUP('Project Details by Yr'!$B165,'Parking Lots &amp; Playgrounds'!$A$9:$N$33,I$6,0))+IF(ISNA(VLOOKUP($B165,Vehicles!$B$9:$O$50,I$6,0)),0,VLOOKUP($B165,Vehicles!$B$9:$O$50,I$6,0))</f>
        <v>6000</v>
      </c>
      <c r="H165" s="50">
        <v>1</v>
      </c>
      <c r="I165" s="49">
        <f t="shared" si="16"/>
        <v>0</v>
      </c>
      <c r="J165" s="49">
        <f t="shared" si="17"/>
        <v>6000</v>
      </c>
      <c r="K165" s="49">
        <f t="shared" si="18"/>
        <v>0</v>
      </c>
    </row>
    <row r="166" spans="1:12" x14ac:dyDescent="0.25">
      <c r="B166" s="40" t="s">
        <v>264</v>
      </c>
      <c r="C166" s="40" t="s">
        <v>47</v>
      </c>
      <c r="D166" s="40" t="s">
        <v>272</v>
      </c>
      <c r="E166" s="43" t="s">
        <v>13</v>
      </c>
      <c r="G166" s="49">
        <f>IF(ISNA(VLOOKUP($B166,'Other Capital Needs'!$C$51:$P$95,I$6,0)),0,VLOOKUP($B166,'Other Capital Needs'!$C$51:$P$95,I$6,0))+IF(ISNA(VLOOKUP('Project Details by Yr'!$B166,'Public Grounds'!$A$11:$N$49,I$6,0)),0,VLOOKUP('Project Details by Yr'!$B166,'Public Grounds'!$A$11:$N$49,I$6,0))+IF(ISNA(VLOOKUP('Project Details by Yr'!$B166,'Public Buildings'!$A$10:$N$96,I$6,0)),0,VLOOKUP('Project Details by Yr'!$B166,'Public Buildings'!$A$10:$N$96,I$6,0))+IF(ISNA(VLOOKUP('Project Details by Yr'!$B166,Bridges!$A$9:$N$24,I$6,0)),0,VLOOKUP('Project Details by Yr'!$B166,Bridges!$A$9:$N$24,I$6,0))+IF(ISNA(VLOOKUP('Project Details by Yr'!$B166,'Parking Lots &amp; Playgrounds'!$A$9:$N$33,I$6,0)),0,VLOOKUP('Project Details by Yr'!$B166,'Parking Lots &amp; Playgrounds'!$A$9:$N$33,I$6,0))+IF(ISNA(VLOOKUP($B166,Vehicles!$B$9:$O$50,I$6,0)),0,VLOOKUP($B166,Vehicles!$B$9:$O$50,I$6,0))</f>
        <v>450000</v>
      </c>
      <c r="H166" s="50">
        <v>1</v>
      </c>
      <c r="I166" s="49">
        <f t="shared" ref="I166:I167" si="19">IF($H166=1,IF($E166="Bond",$G166,IF(E166="BAN",$G166,0)),0)</f>
        <v>450000</v>
      </c>
      <c r="J166" s="49">
        <f t="shared" si="17"/>
        <v>0</v>
      </c>
      <c r="K166" s="49">
        <f t="shared" si="18"/>
        <v>0</v>
      </c>
    </row>
    <row r="167" spans="1:12" x14ac:dyDescent="0.25">
      <c r="B167" s="40" t="s">
        <v>265</v>
      </c>
      <c r="C167" s="40" t="s">
        <v>47</v>
      </c>
      <c r="D167" s="40" t="s">
        <v>272</v>
      </c>
      <c r="E167" s="43" t="s">
        <v>13</v>
      </c>
      <c r="G167" s="49">
        <f>IF(ISNA(VLOOKUP($B167,'Other Capital Needs'!$C$51:$P$95,I$6,0)),0,VLOOKUP($B167,'Other Capital Needs'!$C$51:$P$95,I$6,0))+IF(ISNA(VLOOKUP('Project Details by Yr'!$B167,'Public Grounds'!$A$11:$N$49,I$6,0)),0,VLOOKUP('Project Details by Yr'!$B167,'Public Grounds'!$A$11:$N$49,I$6,0))+IF(ISNA(VLOOKUP('Project Details by Yr'!$B167,'Public Buildings'!$A$10:$N$96,I$6,0)),0,VLOOKUP('Project Details by Yr'!$B167,'Public Buildings'!$A$10:$N$96,I$6,0))+IF(ISNA(VLOOKUP('Project Details by Yr'!$B167,Bridges!$A$9:$N$24,I$6,0)),0,VLOOKUP('Project Details by Yr'!$B167,Bridges!$A$9:$N$24,I$6,0))+IF(ISNA(VLOOKUP('Project Details by Yr'!$B167,'Parking Lots &amp; Playgrounds'!$A$9:$N$33,I$6,0)),0,VLOOKUP('Project Details by Yr'!$B167,'Parking Lots &amp; Playgrounds'!$A$9:$N$33,I$6,0))+IF(ISNA(VLOOKUP($B167,Vehicles!$B$9:$O$50,I$6,0)),0,VLOOKUP($B167,Vehicles!$B$9:$O$50,I$6,0))</f>
        <v>350000</v>
      </c>
      <c r="H167" s="50">
        <v>1</v>
      </c>
      <c r="I167" s="49">
        <f t="shared" si="19"/>
        <v>350000</v>
      </c>
      <c r="J167" s="49">
        <f t="shared" si="17"/>
        <v>0</v>
      </c>
      <c r="K167" s="49">
        <f t="shared" si="18"/>
        <v>0</v>
      </c>
    </row>
    <row r="168" spans="1:12" x14ac:dyDescent="0.25">
      <c r="B168" s="40" t="s">
        <v>224</v>
      </c>
      <c r="C168" s="40" t="s">
        <v>47</v>
      </c>
      <c r="D168" s="40" t="s">
        <v>272</v>
      </c>
      <c r="E168" s="43" t="s">
        <v>16</v>
      </c>
      <c r="G168" s="49">
        <f>IF(ISNA(VLOOKUP($B168,'Other Capital Needs'!$C$51:$P$95,I$6,0)),0,VLOOKUP($B168,'Other Capital Needs'!$C$51:$P$95,I$6,0))+IF(ISNA(VLOOKUP('Project Details by Yr'!$B168,'Public Grounds'!$A$11:$N$49,I$6,0)),0,VLOOKUP('Project Details by Yr'!$B168,'Public Grounds'!$A$11:$N$49,I$6,0))+IF(ISNA(VLOOKUP('Project Details by Yr'!$B168,'Public Buildings'!$A$10:$N$96,I$6,0)),0,VLOOKUP('Project Details by Yr'!$B168,'Public Buildings'!$A$10:$N$96,I$6,0))+IF(ISNA(VLOOKUP('Project Details by Yr'!$B168,Bridges!$A$9:$N$24,I$6,0)),0,VLOOKUP('Project Details by Yr'!$B168,Bridges!$A$9:$N$24,I$6,0))+IF(ISNA(VLOOKUP('Project Details by Yr'!$B168,'Parking Lots &amp; Playgrounds'!$A$9:$N$33,I$6,0)),0,VLOOKUP('Project Details by Yr'!$B168,'Parking Lots &amp; Playgrounds'!$A$9:$N$33,I$6,0))+IF(ISNA(VLOOKUP($B168,Vehicles!$B$9:$O$50,I$6,0)),0,VLOOKUP($B168,Vehicles!$B$9:$O$50,I$6,0))</f>
        <v>45000</v>
      </c>
      <c r="H168" s="50"/>
      <c r="I168" s="49">
        <f>IF($H168=1,IF($E168="Bond",$G168,IF(E168="BAN",$G168,0)),0)</f>
        <v>0</v>
      </c>
      <c r="J168" s="49">
        <f t="shared" si="17"/>
        <v>0</v>
      </c>
      <c r="K168" s="49">
        <f t="shared" si="18"/>
        <v>0</v>
      </c>
      <c r="L168" s="52" t="s">
        <v>290</v>
      </c>
    </row>
    <row r="169" spans="1:12" x14ac:dyDescent="0.25">
      <c r="B169" s="54" t="s">
        <v>220</v>
      </c>
      <c r="C169" s="54" t="s">
        <v>280</v>
      </c>
      <c r="D169" s="54" t="s">
        <v>272</v>
      </c>
      <c r="E169" s="53" t="s">
        <v>16</v>
      </c>
      <c r="F169" s="54"/>
      <c r="G169" s="49">
        <f>IF(ISNA(VLOOKUP($B169,'Other Capital Needs'!$C$51:$P$95,I$6,0)),0,VLOOKUP($B169,'Other Capital Needs'!$C$51:$P$95,I$6,0))+IF(ISNA(VLOOKUP('Project Details by Yr'!$B169,'Public Grounds'!$A$11:$N$49,I$6,0)),0,VLOOKUP('Project Details by Yr'!$B169,'Public Grounds'!$A$11:$N$49,I$6,0))+IF(ISNA(VLOOKUP('Project Details by Yr'!$B169,'Public Buildings'!$A$10:$N$96,I$6,0)),0,VLOOKUP('Project Details by Yr'!$B169,'Public Buildings'!$A$10:$N$96,I$6,0))+IF(ISNA(VLOOKUP('Project Details by Yr'!$B169,Bridges!$A$9:$N$24,I$6,0)),0,VLOOKUP('Project Details by Yr'!$B169,Bridges!$A$9:$N$24,I$6,0))+IF(ISNA(VLOOKUP('Project Details by Yr'!$B169,'Parking Lots &amp; Playgrounds'!$A$9:$N$33,I$6,0)),0,VLOOKUP('Project Details by Yr'!$B169,'Parking Lots &amp; Playgrounds'!$A$9:$N$33,I$6,0))+IF(ISNA(VLOOKUP($B169,Vehicles!$B$9:$O$50,I$6,0)),0,VLOOKUP($B169,Vehicles!$B$9:$O$50,I$6,0))</f>
        <v>308333</v>
      </c>
      <c r="H169" s="50"/>
      <c r="I169" s="49">
        <f t="shared" ref="I169:I197" si="20">IF($H169=1,IF($E169="Bond",$G169,IF(E169="BAN",$G169,0)),0)</f>
        <v>0</v>
      </c>
      <c r="J169" s="49">
        <f t="shared" si="17"/>
        <v>0</v>
      </c>
      <c r="K169" s="49">
        <f t="shared" si="18"/>
        <v>0</v>
      </c>
      <c r="L169" s="52" t="s">
        <v>290</v>
      </c>
    </row>
    <row r="170" spans="1:12" x14ac:dyDescent="0.25">
      <c r="B170" s="40" t="s">
        <v>225</v>
      </c>
      <c r="C170" s="40" t="s">
        <v>47</v>
      </c>
      <c r="D170" s="40" t="s">
        <v>272</v>
      </c>
      <c r="E170" s="43" t="s">
        <v>16</v>
      </c>
      <c r="G170" s="49">
        <f>IF(ISNA(VLOOKUP($B170,'Other Capital Needs'!$C$51:$P$95,I$6,0)),0,VLOOKUP($B170,'Other Capital Needs'!$C$51:$P$95,I$6,0))+IF(ISNA(VLOOKUP('Project Details by Yr'!$B170,'Public Grounds'!$A$11:$N$49,I$6,0)),0,VLOOKUP('Project Details by Yr'!$B170,'Public Grounds'!$A$11:$N$49,I$6,0))+IF(ISNA(VLOOKUP('Project Details by Yr'!$B170,'Public Buildings'!$A$10:$N$96,I$6,0)),0,VLOOKUP('Project Details by Yr'!$B170,'Public Buildings'!$A$10:$N$96,I$6,0))+IF(ISNA(VLOOKUP('Project Details by Yr'!$B170,Bridges!$A$9:$N$24,I$6,0)),0,VLOOKUP('Project Details by Yr'!$B170,Bridges!$A$9:$N$24,I$6,0))+IF(ISNA(VLOOKUP('Project Details by Yr'!$B170,'Parking Lots &amp; Playgrounds'!$A$9:$N$33,I$6,0)),0,VLOOKUP('Project Details by Yr'!$B170,'Parking Lots &amp; Playgrounds'!$A$9:$N$33,I$6,0))+IF(ISNA(VLOOKUP($B170,Vehicles!$B$9:$O$50,I$6,0)),0,VLOOKUP($B170,Vehicles!$B$9:$O$50,I$6,0))</f>
        <v>25000</v>
      </c>
      <c r="H170" s="50">
        <v>1</v>
      </c>
      <c r="I170" s="49">
        <f t="shared" si="20"/>
        <v>0</v>
      </c>
      <c r="J170" s="49">
        <f t="shared" si="17"/>
        <v>25000</v>
      </c>
      <c r="K170" s="49">
        <f t="shared" si="18"/>
        <v>0</v>
      </c>
    </row>
    <row r="171" spans="1:12" x14ac:dyDescent="0.25">
      <c r="B171" s="40" t="s">
        <v>191</v>
      </c>
      <c r="C171" s="40" t="s">
        <v>47</v>
      </c>
      <c r="D171" s="40" t="s">
        <v>273</v>
      </c>
      <c r="E171" s="43" t="s">
        <v>16</v>
      </c>
      <c r="G171" s="49">
        <f>IF(ISNA(VLOOKUP($B171,'Other Capital Needs'!$C$51:$P$95,I$6,0)),0,VLOOKUP($B171,'Other Capital Needs'!$C$51:$P$95,I$6,0))+IF(ISNA(VLOOKUP('Project Details by Yr'!$B171,'Public Grounds'!$A$11:$N$49,I$6,0)),0,VLOOKUP('Project Details by Yr'!$B171,'Public Grounds'!$A$11:$N$49,I$6,0))+IF(ISNA(VLOOKUP('Project Details by Yr'!$B171,'Public Buildings'!$A$10:$N$96,I$6,0)),0,VLOOKUP('Project Details by Yr'!$B171,'Public Buildings'!$A$10:$N$96,I$6,0))+IF(ISNA(VLOOKUP('Project Details by Yr'!$B171,Bridges!$A$9:$N$24,I$6,0)),0,VLOOKUP('Project Details by Yr'!$B171,Bridges!$A$9:$N$24,I$6,0))+IF(ISNA(VLOOKUP('Project Details by Yr'!$B171,'Parking Lots &amp; Playgrounds'!$A$9:$N$33,I$6,0)),0,VLOOKUP('Project Details by Yr'!$B171,'Parking Lots &amp; Playgrounds'!$A$9:$N$33,I$6,0))+IF(ISNA(VLOOKUP($B171,Vehicles!$B$9:$O$50,I$6,0)),0,VLOOKUP($B171,Vehicles!$B$9:$O$50,I$6,0))</f>
        <v>10000</v>
      </c>
      <c r="H171" s="50">
        <v>1</v>
      </c>
      <c r="I171" s="49">
        <f t="shared" si="20"/>
        <v>0</v>
      </c>
      <c r="J171" s="49">
        <f t="shared" si="17"/>
        <v>10000</v>
      </c>
      <c r="K171" s="49">
        <f t="shared" si="18"/>
        <v>0</v>
      </c>
    </row>
    <row r="172" spans="1:12" x14ac:dyDescent="0.25">
      <c r="B172" s="40" t="s">
        <v>192</v>
      </c>
      <c r="C172" s="40" t="s">
        <v>47</v>
      </c>
      <c r="D172" s="40" t="s">
        <v>273</v>
      </c>
      <c r="E172" s="43" t="s">
        <v>16</v>
      </c>
      <c r="G172" s="49">
        <f>IF(ISNA(VLOOKUP($B172,'Other Capital Needs'!$C$51:$P$95,I$6,0)),0,VLOOKUP($B172,'Other Capital Needs'!$C$51:$P$95,I$6,0))+IF(ISNA(VLOOKUP('Project Details by Yr'!$B172,'Public Grounds'!$A$11:$N$49,I$6,0)),0,VLOOKUP('Project Details by Yr'!$B172,'Public Grounds'!$A$11:$N$49,I$6,0))+IF(ISNA(VLOOKUP('Project Details by Yr'!$B172,'Public Buildings'!$A$10:$N$96,I$6,0)),0,VLOOKUP('Project Details by Yr'!$B172,'Public Buildings'!$A$10:$N$96,I$6,0))+IF(ISNA(VLOOKUP('Project Details by Yr'!$B172,Bridges!$A$9:$N$24,I$6,0)),0,VLOOKUP('Project Details by Yr'!$B172,Bridges!$A$9:$N$24,I$6,0))+IF(ISNA(VLOOKUP('Project Details by Yr'!$B172,'Parking Lots &amp; Playgrounds'!$A$9:$N$33,I$6,0)),0,VLOOKUP('Project Details by Yr'!$B172,'Parking Lots &amp; Playgrounds'!$A$9:$N$33,I$6,0))+IF(ISNA(VLOOKUP($B172,Vehicles!$B$9:$O$50,I$6,0)),0,VLOOKUP($B172,Vehicles!$B$9:$O$50,I$6,0))</f>
        <v>25000</v>
      </c>
      <c r="H172" s="50">
        <v>1</v>
      </c>
      <c r="I172" s="49">
        <f t="shared" si="20"/>
        <v>0</v>
      </c>
      <c r="J172" s="49">
        <f t="shared" si="17"/>
        <v>25000</v>
      </c>
      <c r="K172" s="49">
        <f t="shared" si="18"/>
        <v>0</v>
      </c>
    </row>
    <row r="173" spans="1:12" x14ac:dyDescent="0.25">
      <c r="B173" s="40" t="s">
        <v>193</v>
      </c>
      <c r="C173" s="40" t="s">
        <v>47</v>
      </c>
      <c r="D173" s="40" t="s">
        <v>273</v>
      </c>
      <c r="E173" s="43" t="s">
        <v>16</v>
      </c>
      <c r="G173" s="49">
        <f>IF(ISNA(VLOOKUP($B173,'Other Capital Needs'!$C$51:$P$95,I$6,0)),0,VLOOKUP($B173,'Other Capital Needs'!$C$51:$P$95,I$6,0))+IF(ISNA(VLOOKUP('Project Details by Yr'!$B173,'Public Grounds'!$A$11:$N$49,I$6,0)),0,VLOOKUP('Project Details by Yr'!$B173,'Public Grounds'!$A$11:$N$49,I$6,0))+IF(ISNA(VLOOKUP('Project Details by Yr'!$B173,'Public Buildings'!$A$10:$N$96,I$6,0)),0,VLOOKUP('Project Details by Yr'!$B173,'Public Buildings'!$A$10:$N$96,I$6,0))+IF(ISNA(VLOOKUP('Project Details by Yr'!$B173,Bridges!$A$9:$N$24,I$6,0)),0,VLOOKUP('Project Details by Yr'!$B173,Bridges!$A$9:$N$24,I$6,0))+IF(ISNA(VLOOKUP('Project Details by Yr'!$B173,'Parking Lots &amp; Playgrounds'!$A$9:$N$33,I$6,0)),0,VLOOKUP('Project Details by Yr'!$B173,'Parking Lots &amp; Playgrounds'!$A$9:$N$33,I$6,0))+IF(ISNA(VLOOKUP($B173,Vehicles!$B$9:$O$50,I$6,0)),0,VLOOKUP($B173,Vehicles!$B$9:$O$50,I$6,0))</f>
        <v>10000</v>
      </c>
      <c r="H173" s="50">
        <v>1</v>
      </c>
      <c r="I173" s="49">
        <f t="shared" si="20"/>
        <v>0</v>
      </c>
      <c r="J173" s="49">
        <f t="shared" si="17"/>
        <v>10000</v>
      </c>
      <c r="K173" s="49">
        <f t="shared" si="18"/>
        <v>0</v>
      </c>
    </row>
    <row r="174" spans="1:12" x14ac:dyDescent="0.25">
      <c r="B174" s="40" t="s">
        <v>195</v>
      </c>
      <c r="C174" s="40" t="s">
        <v>47</v>
      </c>
      <c r="D174" s="40" t="s">
        <v>273</v>
      </c>
      <c r="E174" s="43" t="s">
        <v>16</v>
      </c>
      <c r="G174" s="49">
        <f>IF(ISNA(VLOOKUP($B174,'Other Capital Needs'!$C$51:$P$95,I$6,0)),0,VLOOKUP($B174,'Other Capital Needs'!$C$51:$P$95,I$6,0))+IF(ISNA(VLOOKUP('Project Details by Yr'!$B174,'Public Grounds'!$A$11:$N$49,I$6,0)),0,VLOOKUP('Project Details by Yr'!$B174,'Public Grounds'!$A$11:$N$49,I$6,0))+IF(ISNA(VLOOKUP('Project Details by Yr'!$B174,'Public Buildings'!$A$10:$N$96,I$6,0)),0,VLOOKUP('Project Details by Yr'!$B174,'Public Buildings'!$A$10:$N$96,I$6,0))+IF(ISNA(VLOOKUP('Project Details by Yr'!$B174,Bridges!$A$9:$N$24,I$6,0)),0,VLOOKUP('Project Details by Yr'!$B174,Bridges!$A$9:$N$24,I$6,0))+IF(ISNA(VLOOKUP('Project Details by Yr'!$B174,'Parking Lots &amp; Playgrounds'!$A$9:$N$33,I$6,0)),0,VLOOKUP('Project Details by Yr'!$B174,'Parking Lots &amp; Playgrounds'!$A$9:$N$33,I$6,0))+IF(ISNA(VLOOKUP($B174,Vehicles!$B$9:$O$50,I$6,0)),0,VLOOKUP($B174,Vehicles!$B$9:$O$50,I$6,0))</f>
        <v>500000</v>
      </c>
      <c r="H174" s="50">
        <v>1</v>
      </c>
      <c r="I174" s="49">
        <f t="shared" si="20"/>
        <v>0</v>
      </c>
      <c r="J174" s="49">
        <f t="shared" si="17"/>
        <v>500000</v>
      </c>
      <c r="K174" s="49">
        <f t="shared" si="18"/>
        <v>0</v>
      </c>
    </row>
    <row r="175" spans="1:12" x14ac:dyDescent="0.25">
      <c r="B175" s="40" t="s">
        <v>197</v>
      </c>
      <c r="C175" s="40" t="s">
        <v>47</v>
      </c>
      <c r="D175" s="40" t="s">
        <v>273</v>
      </c>
      <c r="E175" s="43" t="s">
        <v>16</v>
      </c>
      <c r="G175" s="49">
        <f>IF(ISNA(VLOOKUP($B175,'Other Capital Needs'!$C$51:$P$95,I$6,0)),0,VLOOKUP($B175,'Other Capital Needs'!$C$51:$P$95,I$6,0))+IF(ISNA(VLOOKUP('Project Details by Yr'!$B175,'Public Grounds'!$A$11:$N$49,I$6,0)),0,VLOOKUP('Project Details by Yr'!$B175,'Public Grounds'!$A$11:$N$49,I$6,0))+IF(ISNA(VLOOKUP('Project Details by Yr'!$B175,'Public Buildings'!$A$10:$N$96,I$6,0)),0,VLOOKUP('Project Details by Yr'!$B175,'Public Buildings'!$A$10:$N$96,I$6,0))+IF(ISNA(VLOOKUP('Project Details by Yr'!$B175,Bridges!$A$9:$N$24,I$6,0)),0,VLOOKUP('Project Details by Yr'!$B175,Bridges!$A$9:$N$24,I$6,0))+IF(ISNA(VLOOKUP('Project Details by Yr'!$B175,'Parking Lots &amp; Playgrounds'!$A$9:$N$33,I$6,0)),0,VLOOKUP('Project Details by Yr'!$B175,'Parking Lots &amp; Playgrounds'!$A$9:$N$33,I$6,0))+IF(ISNA(VLOOKUP($B175,Vehicles!$B$9:$O$50,I$6,0)),0,VLOOKUP($B175,Vehicles!$B$9:$O$50,I$6,0))</f>
        <v>175000</v>
      </c>
      <c r="H175" s="50">
        <v>1</v>
      </c>
      <c r="I175" s="49">
        <f t="shared" si="20"/>
        <v>0</v>
      </c>
      <c r="J175" s="49">
        <f t="shared" si="17"/>
        <v>175000</v>
      </c>
      <c r="K175" s="49">
        <f t="shared" si="18"/>
        <v>0</v>
      </c>
      <c r="L175" s="52" t="s">
        <v>290</v>
      </c>
    </row>
    <row r="176" spans="1:12" x14ac:dyDescent="0.25">
      <c r="B176" s="40" t="s">
        <v>198</v>
      </c>
      <c r="C176" s="40" t="s">
        <v>47</v>
      </c>
      <c r="D176" s="40" t="s">
        <v>273</v>
      </c>
      <c r="E176" s="43" t="s">
        <v>19</v>
      </c>
      <c r="G176" s="49">
        <f>IF(ISNA(VLOOKUP($B176,'Other Capital Needs'!$C$51:$P$95,I$6,0)),0,VLOOKUP($B176,'Other Capital Needs'!$C$51:$P$95,I$6,0))+IF(ISNA(VLOOKUP('Project Details by Yr'!$B176,'Public Grounds'!$A$11:$N$49,I$6,0)),0,VLOOKUP('Project Details by Yr'!$B176,'Public Grounds'!$A$11:$N$49,I$6,0))+IF(ISNA(VLOOKUP('Project Details by Yr'!$B176,'Public Buildings'!$A$10:$N$96,I$6,0)),0,VLOOKUP('Project Details by Yr'!$B176,'Public Buildings'!$A$10:$N$96,I$6,0))+IF(ISNA(VLOOKUP('Project Details by Yr'!$B176,Bridges!$A$9:$N$24,I$6,0)),0,VLOOKUP('Project Details by Yr'!$B176,Bridges!$A$9:$N$24,I$6,0))+IF(ISNA(VLOOKUP('Project Details by Yr'!$B176,'Parking Lots &amp; Playgrounds'!$A$9:$N$33,I$6,0)),0,VLOOKUP('Project Details by Yr'!$B176,'Parking Lots &amp; Playgrounds'!$A$9:$N$33,I$6,0))+IF(ISNA(VLOOKUP($B176,Vehicles!$B$9:$O$50,I$6,0)),0,VLOOKUP($B176,Vehicles!$B$9:$O$50,I$6,0))</f>
        <v>0</v>
      </c>
      <c r="H176" s="50">
        <v>1</v>
      </c>
      <c r="I176" s="49">
        <f t="shared" si="20"/>
        <v>0</v>
      </c>
      <c r="J176" s="49">
        <f t="shared" si="17"/>
        <v>0</v>
      </c>
      <c r="K176" s="49">
        <f t="shared" si="18"/>
        <v>0</v>
      </c>
    </row>
    <row r="177" spans="2:12" x14ac:dyDescent="0.25">
      <c r="B177" s="40" t="s">
        <v>202</v>
      </c>
      <c r="C177" s="40" t="s">
        <v>47</v>
      </c>
      <c r="D177" s="40" t="s">
        <v>273</v>
      </c>
      <c r="E177" s="43" t="s">
        <v>16</v>
      </c>
      <c r="G177" s="49">
        <f>IF(ISNA(VLOOKUP($B177,'Other Capital Needs'!$C$51:$P$95,I$6,0)),0,VLOOKUP($B177,'Other Capital Needs'!$C$51:$P$95,I$6,0))+IF(ISNA(VLOOKUP('Project Details by Yr'!$B177,'Public Grounds'!$A$11:$N$49,I$6,0)),0,VLOOKUP('Project Details by Yr'!$B177,'Public Grounds'!$A$11:$N$49,I$6,0))+IF(ISNA(VLOOKUP('Project Details by Yr'!$B177,'Public Buildings'!$A$10:$N$96,I$6,0)),0,VLOOKUP('Project Details by Yr'!$B177,'Public Buildings'!$A$10:$N$96,I$6,0))+IF(ISNA(VLOOKUP('Project Details by Yr'!$B177,Bridges!$A$9:$N$24,I$6,0)),0,VLOOKUP('Project Details by Yr'!$B177,Bridges!$A$9:$N$24,I$6,0))+IF(ISNA(VLOOKUP('Project Details by Yr'!$B177,'Parking Lots &amp; Playgrounds'!$A$9:$N$33,I$6,0)),0,VLOOKUP('Project Details by Yr'!$B177,'Parking Lots &amp; Playgrounds'!$A$9:$N$33,I$6,0))+IF(ISNA(VLOOKUP($B177,Vehicles!$B$9:$O$50,I$6,0)),0,VLOOKUP($B177,Vehicles!$B$9:$O$50,I$6,0))</f>
        <v>40000</v>
      </c>
      <c r="H177" s="50">
        <v>1</v>
      </c>
      <c r="I177" s="49">
        <f t="shared" si="20"/>
        <v>0</v>
      </c>
      <c r="J177" s="49">
        <f t="shared" si="17"/>
        <v>40000</v>
      </c>
      <c r="K177" s="49">
        <f t="shared" si="18"/>
        <v>0</v>
      </c>
    </row>
    <row r="178" spans="2:12" x14ac:dyDescent="0.25">
      <c r="B178" s="40" t="s">
        <v>83</v>
      </c>
      <c r="C178" s="40" t="s">
        <v>91</v>
      </c>
      <c r="D178" s="40" t="s">
        <v>272</v>
      </c>
      <c r="E178" s="43" t="s">
        <v>16</v>
      </c>
      <c r="G178" s="49">
        <f>IF(ISNA(VLOOKUP($B178,'Other Capital Needs'!$C$51:$P$95,I$6,0)),0,VLOOKUP($B178,'Other Capital Needs'!$C$51:$P$95,I$6,0))+IF(ISNA(VLOOKUP('Project Details by Yr'!$B178,'Public Grounds'!$A$11:$N$49,I$6,0)),0,VLOOKUP('Project Details by Yr'!$B178,'Public Grounds'!$A$11:$N$49,I$6,0))+IF(ISNA(VLOOKUP('Project Details by Yr'!$B178,'Public Buildings'!$A$10:$N$96,I$6,0)),0,VLOOKUP('Project Details by Yr'!$B178,'Public Buildings'!$A$10:$N$96,I$6,0))+IF(ISNA(VLOOKUP('Project Details by Yr'!$B178,Bridges!$A$9:$N$24,I$6,0)),0,VLOOKUP('Project Details by Yr'!$B178,Bridges!$A$9:$N$24,I$6,0))+IF(ISNA(VLOOKUP('Project Details by Yr'!$B178,'Parking Lots &amp; Playgrounds'!$A$9:$N$33,I$6,0)),0,VLOOKUP('Project Details by Yr'!$B178,'Parking Lots &amp; Playgrounds'!$A$9:$N$33,I$6,0))+IF(ISNA(VLOOKUP($B178,Vehicles!$B$9:$O$50,I$6,0)),0,VLOOKUP($B178,Vehicles!$B$9:$O$50,I$6,0))</f>
        <v>235000</v>
      </c>
      <c r="H178" s="50">
        <v>1</v>
      </c>
      <c r="I178" s="49">
        <f t="shared" si="20"/>
        <v>0</v>
      </c>
      <c r="J178" s="49">
        <f t="shared" si="17"/>
        <v>235000</v>
      </c>
      <c r="K178" s="49">
        <f t="shared" si="18"/>
        <v>0</v>
      </c>
    </row>
    <row r="179" spans="2:12" x14ac:dyDescent="0.25">
      <c r="B179" s="40" t="s">
        <v>84</v>
      </c>
      <c r="C179" s="40" t="s">
        <v>91</v>
      </c>
      <c r="D179" s="40" t="s">
        <v>272</v>
      </c>
      <c r="E179" s="43" t="s">
        <v>16</v>
      </c>
      <c r="G179" s="49">
        <f>IF(ISNA(VLOOKUP($B179,'Other Capital Needs'!$C$51:$P$95,I$6,0)),0,VLOOKUP($B179,'Other Capital Needs'!$C$51:$P$95,I$6,0))+IF(ISNA(VLOOKUP('Project Details by Yr'!$B179,'Public Grounds'!$A$11:$N$49,I$6,0)),0,VLOOKUP('Project Details by Yr'!$B179,'Public Grounds'!$A$11:$N$49,I$6,0))+IF(ISNA(VLOOKUP('Project Details by Yr'!$B179,'Public Buildings'!$A$10:$N$96,I$6,0)),0,VLOOKUP('Project Details by Yr'!$B179,'Public Buildings'!$A$10:$N$96,I$6,0))+IF(ISNA(VLOOKUP('Project Details by Yr'!$B179,Bridges!$A$9:$N$24,I$6,0)),0,VLOOKUP('Project Details by Yr'!$B179,Bridges!$A$9:$N$24,I$6,0))+IF(ISNA(VLOOKUP('Project Details by Yr'!$B179,'Parking Lots &amp; Playgrounds'!$A$9:$N$33,I$6,0)),0,VLOOKUP('Project Details by Yr'!$B179,'Parking Lots &amp; Playgrounds'!$A$9:$N$33,I$6,0))+IF(ISNA(VLOOKUP($B179,Vehicles!$B$9:$O$50,I$6,0)),0,VLOOKUP($B179,Vehicles!$B$9:$O$50,I$6,0))</f>
        <v>16000</v>
      </c>
      <c r="H179" s="50">
        <v>1</v>
      </c>
      <c r="I179" s="49">
        <f t="shared" si="20"/>
        <v>0</v>
      </c>
      <c r="J179" s="49">
        <f t="shared" si="17"/>
        <v>16000</v>
      </c>
      <c r="K179" s="49">
        <f t="shared" si="18"/>
        <v>0</v>
      </c>
    </row>
    <row r="180" spans="2:12" x14ac:dyDescent="0.25">
      <c r="B180" s="40" t="s">
        <v>124</v>
      </c>
      <c r="C180" s="40" t="s">
        <v>49</v>
      </c>
      <c r="D180" s="40" t="s">
        <v>272</v>
      </c>
      <c r="E180" s="43" t="s">
        <v>16</v>
      </c>
      <c r="G180" s="49">
        <f>IF(ISNA(VLOOKUP($B180,'Other Capital Needs'!$C$51:$P$95,I$6,0)),0,VLOOKUP($B180,'Other Capital Needs'!$C$51:$P$95,I$6,0))+IF(ISNA(VLOOKUP('Project Details by Yr'!$B180,'Public Grounds'!$A$11:$N$49,I$6,0)),0,VLOOKUP('Project Details by Yr'!$B180,'Public Grounds'!$A$11:$N$49,I$6,0))+IF(ISNA(VLOOKUP('Project Details by Yr'!$B180,'Public Buildings'!$A$10:$N$96,I$6,0)),0,VLOOKUP('Project Details by Yr'!$B180,'Public Buildings'!$A$10:$N$96,I$6,0))+IF(ISNA(VLOOKUP('Project Details by Yr'!$B180,Bridges!$A$9:$N$24,I$6,0)),0,VLOOKUP('Project Details by Yr'!$B180,Bridges!$A$9:$N$24,I$6,0))+IF(ISNA(VLOOKUP('Project Details by Yr'!$B180,'Parking Lots &amp; Playgrounds'!$A$9:$N$33,I$6,0)),0,VLOOKUP('Project Details by Yr'!$B180,'Parking Lots &amp; Playgrounds'!$A$9:$N$33,I$6,0))+IF(ISNA(VLOOKUP($B180,Vehicles!$B$9:$O$50,I$6,0)),0,VLOOKUP($B180,Vehicles!$B$9:$O$50,I$6,0))</f>
        <v>125000</v>
      </c>
      <c r="H180" s="50">
        <v>1</v>
      </c>
      <c r="I180" s="49">
        <f t="shared" si="20"/>
        <v>0</v>
      </c>
      <c r="J180" s="49">
        <f t="shared" si="17"/>
        <v>125000</v>
      </c>
      <c r="K180" s="49">
        <f t="shared" si="18"/>
        <v>0</v>
      </c>
    </row>
    <row r="181" spans="2:12" x14ac:dyDescent="0.25">
      <c r="B181" s="40" t="s">
        <v>125</v>
      </c>
      <c r="C181" s="40" t="s">
        <v>49</v>
      </c>
      <c r="D181" s="40" t="s">
        <v>272</v>
      </c>
      <c r="E181" s="43" t="s">
        <v>16</v>
      </c>
      <c r="G181" s="49">
        <f>IF(ISNA(VLOOKUP($B181,'Other Capital Needs'!$C$51:$P$95,I$6,0)),0,VLOOKUP($B181,'Other Capital Needs'!$C$51:$P$95,I$6,0))+IF(ISNA(VLOOKUP('Project Details by Yr'!$B181,'Public Grounds'!$A$11:$N$49,I$6,0)),0,VLOOKUP('Project Details by Yr'!$B181,'Public Grounds'!$A$11:$N$49,I$6,0))+IF(ISNA(VLOOKUP('Project Details by Yr'!$B181,'Public Buildings'!$A$10:$N$96,I$6,0)),0,VLOOKUP('Project Details by Yr'!$B181,'Public Buildings'!$A$10:$N$96,I$6,0))+IF(ISNA(VLOOKUP('Project Details by Yr'!$B181,Bridges!$A$9:$N$24,I$6,0)),0,VLOOKUP('Project Details by Yr'!$B181,Bridges!$A$9:$N$24,I$6,0))+IF(ISNA(VLOOKUP('Project Details by Yr'!$B181,'Parking Lots &amp; Playgrounds'!$A$9:$N$33,I$6,0)),0,VLOOKUP('Project Details by Yr'!$B181,'Parking Lots &amp; Playgrounds'!$A$9:$N$33,I$6,0))+IF(ISNA(VLOOKUP($B181,Vehicles!$B$9:$O$50,I$6,0)),0,VLOOKUP($B181,Vehicles!$B$9:$O$50,I$6,0))</f>
        <v>29327</v>
      </c>
      <c r="H181" s="50">
        <v>1</v>
      </c>
      <c r="I181" s="49">
        <f t="shared" si="20"/>
        <v>0</v>
      </c>
      <c r="J181" s="49">
        <f t="shared" si="17"/>
        <v>29327</v>
      </c>
      <c r="K181" s="49">
        <f t="shared" si="18"/>
        <v>0</v>
      </c>
    </row>
    <row r="182" spans="2:12" x14ac:dyDescent="0.25">
      <c r="B182" s="40" t="s">
        <v>127</v>
      </c>
      <c r="C182" s="40" t="s">
        <v>49</v>
      </c>
      <c r="D182" s="40" t="s">
        <v>272</v>
      </c>
      <c r="E182" s="43" t="s">
        <v>16</v>
      </c>
      <c r="G182" s="49">
        <f>IF(ISNA(VLOOKUP($B182,'Other Capital Needs'!$C$51:$P$95,I$6,0)),0,VLOOKUP($B182,'Other Capital Needs'!$C$51:$P$95,I$6,0))+IF(ISNA(VLOOKUP('Project Details by Yr'!$B182,'Public Grounds'!$A$11:$N$49,I$6,0)),0,VLOOKUP('Project Details by Yr'!$B182,'Public Grounds'!$A$11:$N$49,I$6,0))+IF(ISNA(VLOOKUP('Project Details by Yr'!$B182,'Public Buildings'!$A$10:$N$96,I$6,0)),0,VLOOKUP('Project Details by Yr'!$B182,'Public Buildings'!$A$10:$N$96,I$6,0))+IF(ISNA(VLOOKUP('Project Details by Yr'!$B182,Bridges!$A$9:$N$24,I$6,0)),0,VLOOKUP('Project Details by Yr'!$B182,Bridges!$A$9:$N$24,I$6,0))+IF(ISNA(VLOOKUP('Project Details by Yr'!$B182,'Parking Lots &amp; Playgrounds'!$A$9:$N$33,I$6,0)),0,VLOOKUP('Project Details by Yr'!$B182,'Parking Lots &amp; Playgrounds'!$A$9:$N$33,I$6,0))+IF(ISNA(VLOOKUP($B182,Vehicles!$B$9:$O$50,I$6,0)),0,VLOOKUP($B182,Vehicles!$B$9:$O$50,I$6,0))</f>
        <v>33000</v>
      </c>
      <c r="H182" s="50">
        <v>1</v>
      </c>
      <c r="I182" s="49">
        <f t="shared" ref="I182" si="21">IF($H182=1,IF($E182="Bond",$G182,IF(E182="BAN",$G182,0)),0)</f>
        <v>0</v>
      </c>
      <c r="J182" s="49">
        <f t="shared" si="17"/>
        <v>33000</v>
      </c>
      <c r="K182" s="49">
        <f t="shared" si="18"/>
        <v>0</v>
      </c>
    </row>
    <row r="183" spans="2:12" x14ac:dyDescent="0.25">
      <c r="B183" s="40" t="s">
        <v>126</v>
      </c>
      <c r="C183" s="40" t="s">
        <v>49</v>
      </c>
      <c r="D183" s="40" t="s">
        <v>272</v>
      </c>
      <c r="E183" s="43" t="s">
        <v>16</v>
      </c>
      <c r="G183" s="49">
        <f>IF(ISNA(VLOOKUP($B183,'Other Capital Needs'!$C$51:$P$95,I$6,0)),0,VLOOKUP($B183,'Other Capital Needs'!$C$51:$P$95,I$6,0))+IF(ISNA(VLOOKUP('Project Details by Yr'!$B183,'Public Grounds'!$A$11:$N$49,I$6,0)),0,VLOOKUP('Project Details by Yr'!$B183,'Public Grounds'!$A$11:$N$49,I$6,0))+IF(ISNA(VLOOKUP('Project Details by Yr'!$B183,'Public Buildings'!$A$10:$N$96,I$6,0)),0,VLOOKUP('Project Details by Yr'!$B183,'Public Buildings'!$A$10:$N$96,I$6,0))+IF(ISNA(VLOOKUP('Project Details by Yr'!$B183,Bridges!$A$9:$N$24,I$6,0)),0,VLOOKUP('Project Details by Yr'!$B183,Bridges!$A$9:$N$24,I$6,0))+IF(ISNA(VLOOKUP('Project Details by Yr'!$B183,'Parking Lots &amp; Playgrounds'!$A$9:$N$33,I$6,0)),0,VLOOKUP('Project Details by Yr'!$B183,'Parking Lots &amp; Playgrounds'!$A$9:$N$33,I$6,0))+IF(ISNA(VLOOKUP($B183,Vehicles!$B$9:$O$50,I$6,0)),0,VLOOKUP($B183,Vehicles!$B$9:$O$50,I$6,0))</f>
        <v>29327</v>
      </c>
      <c r="H183" s="50">
        <v>1</v>
      </c>
      <c r="I183" s="49">
        <f t="shared" si="20"/>
        <v>0</v>
      </c>
      <c r="J183" s="49">
        <f t="shared" si="17"/>
        <v>29327</v>
      </c>
      <c r="K183" s="49">
        <f t="shared" si="18"/>
        <v>0</v>
      </c>
    </row>
    <row r="184" spans="2:12" x14ac:dyDescent="0.25">
      <c r="B184" s="40" t="s">
        <v>128</v>
      </c>
      <c r="C184" s="40" t="s">
        <v>49</v>
      </c>
      <c r="D184" s="40" t="s">
        <v>272</v>
      </c>
      <c r="E184" s="43" t="s">
        <v>16</v>
      </c>
      <c r="G184" s="49">
        <f>IF(ISNA(VLOOKUP($B184,'Other Capital Needs'!$C$51:$P$95,I$6,0)),0,VLOOKUP($B184,'Other Capital Needs'!$C$51:$P$95,I$6,0))+IF(ISNA(VLOOKUP('Project Details by Yr'!$B184,'Public Grounds'!$A$11:$N$49,I$6,0)),0,VLOOKUP('Project Details by Yr'!$B184,'Public Grounds'!$A$11:$N$49,I$6,0))+IF(ISNA(VLOOKUP('Project Details by Yr'!$B184,'Public Buildings'!$A$10:$N$96,I$6,0)),0,VLOOKUP('Project Details by Yr'!$B184,'Public Buildings'!$A$10:$N$96,I$6,0))+IF(ISNA(VLOOKUP('Project Details by Yr'!$B184,Bridges!$A$9:$N$24,I$6,0)),0,VLOOKUP('Project Details by Yr'!$B184,Bridges!$A$9:$N$24,I$6,0))+IF(ISNA(VLOOKUP('Project Details by Yr'!$B184,'Parking Lots &amp; Playgrounds'!$A$9:$N$33,I$6,0)),0,VLOOKUP('Project Details by Yr'!$B184,'Parking Lots &amp; Playgrounds'!$A$9:$N$33,I$6,0))+IF(ISNA(VLOOKUP($B184,Vehicles!$B$9:$O$50,I$6,0)),0,VLOOKUP($B184,Vehicles!$B$9:$O$50,I$6,0))</f>
        <v>28000</v>
      </c>
      <c r="H184" s="50">
        <v>1</v>
      </c>
      <c r="I184" s="49">
        <f t="shared" si="20"/>
        <v>0</v>
      </c>
      <c r="J184" s="49">
        <f t="shared" si="17"/>
        <v>28000</v>
      </c>
      <c r="K184" s="49">
        <f t="shared" si="18"/>
        <v>0</v>
      </c>
    </row>
    <row r="185" spans="2:12" x14ac:dyDescent="0.25">
      <c r="B185" t="s">
        <v>309</v>
      </c>
      <c r="C185" s="40" t="s">
        <v>49</v>
      </c>
      <c r="D185" s="40" t="s">
        <v>272</v>
      </c>
      <c r="E185" s="43" t="s">
        <v>16</v>
      </c>
      <c r="G185" s="49">
        <f>IF(ISNA(VLOOKUP($B185,'Other Capital Needs'!$C$51:$P$95,I$6,0)),0,VLOOKUP($B185,'Other Capital Needs'!$C$51:$P$95,I$6,0))+IF(ISNA(VLOOKUP('Project Details by Yr'!$B185,'Public Grounds'!$A$11:$N$49,I$6,0)),0,VLOOKUP('Project Details by Yr'!$B185,'Public Grounds'!$A$11:$N$49,I$6,0))+IF(ISNA(VLOOKUP('Project Details by Yr'!$B185,'Public Buildings'!$A$10:$N$96,I$6,0)),0,VLOOKUP('Project Details by Yr'!$B185,'Public Buildings'!$A$10:$N$96,I$6,0))+IF(ISNA(VLOOKUP('Project Details by Yr'!$B185,Bridges!$A$9:$N$24,I$6,0)),0,VLOOKUP('Project Details by Yr'!$B185,Bridges!$A$9:$N$24,I$6,0))+IF(ISNA(VLOOKUP('Project Details by Yr'!$B185,'Parking Lots &amp; Playgrounds'!$A$9:$N$33,I$6,0)),0,VLOOKUP('Project Details by Yr'!$B185,'Parking Lots &amp; Playgrounds'!$A$9:$N$33,I$6,0))+IF(ISNA(VLOOKUP($B185,Vehicles!$B$9:$O$50,I$6,0)),0,VLOOKUP($B185,Vehicles!$B$9:$O$50,I$6,0))</f>
        <v>60000</v>
      </c>
      <c r="H185" s="50">
        <v>1</v>
      </c>
      <c r="I185" s="49">
        <f t="shared" ref="I185" si="22">IF($H185=1,IF($E185="Bond",$G185,IF(E185="BAN",$G185,0)),0)</f>
        <v>0</v>
      </c>
      <c r="J185" s="49">
        <f t="shared" si="17"/>
        <v>60000</v>
      </c>
      <c r="K185" s="49">
        <f t="shared" si="18"/>
        <v>0</v>
      </c>
    </row>
    <row r="186" spans="2:12" x14ac:dyDescent="0.25">
      <c r="B186" s="40" t="s">
        <v>120</v>
      </c>
      <c r="C186" s="40" t="s">
        <v>49</v>
      </c>
      <c r="D186" s="40" t="s">
        <v>272</v>
      </c>
      <c r="E186" s="43" t="s">
        <v>16</v>
      </c>
      <c r="G186" s="49">
        <f>IF(ISNA(VLOOKUP($B186,'Other Capital Needs'!$C$51:$P$95,I$6,0)),0,VLOOKUP($B186,'Other Capital Needs'!$C$51:$P$95,I$6,0))+IF(ISNA(VLOOKUP('Project Details by Yr'!$B186,'Public Grounds'!$A$11:$N$49,I$6,0)),0,VLOOKUP('Project Details by Yr'!$B186,'Public Grounds'!$A$11:$N$49,I$6,0))+IF(ISNA(VLOOKUP('Project Details by Yr'!$B186,'Public Buildings'!$A$10:$N$96,I$6,0)),0,VLOOKUP('Project Details by Yr'!$B186,'Public Buildings'!$A$10:$N$96,I$6,0))+IF(ISNA(VLOOKUP('Project Details by Yr'!$B186,Bridges!$A$9:$N$24,I$6,0)),0,VLOOKUP('Project Details by Yr'!$B186,Bridges!$A$9:$N$24,I$6,0))+IF(ISNA(VLOOKUP('Project Details by Yr'!$B186,'Parking Lots &amp; Playgrounds'!$A$9:$N$33,I$6,0)),0,VLOOKUP('Project Details by Yr'!$B186,'Parking Lots &amp; Playgrounds'!$A$9:$N$33,I$6,0))+IF(ISNA(VLOOKUP($B186,Vehicles!$B$9:$O$50,I$6,0)),0,VLOOKUP($B186,Vehicles!$B$9:$O$50,I$6,0))</f>
        <v>200000</v>
      </c>
      <c r="H186" s="50">
        <v>1</v>
      </c>
      <c r="I186" s="49">
        <f t="shared" si="20"/>
        <v>0</v>
      </c>
      <c r="J186" s="49">
        <f t="shared" si="17"/>
        <v>200000</v>
      </c>
      <c r="K186" s="49">
        <f t="shared" si="18"/>
        <v>0</v>
      </c>
    </row>
    <row r="187" spans="2:12" x14ac:dyDescent="0.25">
      <c r="B187" s="40" t="s">
        <v>121</v>
      </c>
      <c r="C187" s="40" t="s">
        <v>49</v>
      </c>
      <c r="D187" s="40" t="s">
        <v>272</v>
      </c>
      <c r="E187" s="43" t="s">
        <v>16</v>
      </c>
      <c r="G187" s="49">
        <f>IF(ISNA(VLOOKUP($B187,'Other Capital Needs'!$C$51:$P$95,I$6,0)),0,VLOOKUP($B187,'Other Capital Needs'!$C$51:$P$95,I$6,0))+IF(ISNA(VLOOKUP('Project Details by Yr'!$B187,'Public Grounds'!$A$11:$N$49,I$6,0)),0,VLOOKUP('Project Details by Yr'!$B187,'Public Grounds'!$A$11:$N$49,I$6,0))+IF(ISNA(VLOOKUP('Project Details by Yr'!$B187,'Public Buildings'!$A$10:$N$96,I$6,0)),0,VLOOKUP('Project Details by Yr'!$B187,'Public Buildings'!$A$10:$N$96,I$6,0))+IF(ISNA(VLOOKUP('Project Details by Yr'!$B187,Bridges!$A$9:$N$24,I$6,0)),0,VLOOKUP('Project Details by Yr'!$B187,Bridges!$A$9:$N$24,I$6,0))+IF(ISNA(VLOOKUP('Project Details by Yr'!$B187,'Parking Lots &amp; Playgrounds'!$A$9:$N$33,I$6,0)),0,VLOOKUP('Project Details by Yr'!$B187,'Parking Lots &amp; Playgrounds'!$A$9:$N$33,I$6,0))+IF(ISNA(VLOOKUP($B187,Vehicles!$B$9:$O$50,I$6,0)),0,VLOOKUP($B187,Vehicles!$B$9:$O$50,I$6,0))</f>
        <v>86097</v>
      </c>
      <c r="H187" s="50">
        <v>1</v>
      </c>
      <c r="I187" s="49">
        <f t="shared" si="20"/>
        <v>0</v>
      </c>
      <c r="J187" s="49">
        <f t="shared" si="17"/>
        <v>86097</v>
      </c>
      <c r="K187" s="49">
        <f t="shared" si="18"/>
        <v>0</v>
      </c>
    </row>
    <row r="188" spans="2:12" x14ac:dyDescent="0.25">
      <c r="B188" s="40" t="s">
        <v>122</v>
      </c>
      <c r="C188" s="40" t="s">
        <v>49</v>
      </c>
      <c r="D188" s="40" t="s">
        <v>272</v>
      </c>
      <c r="E188" s="43" t="s">
        <v>16</v>
      </c>
      <c r="G188" s="49">
        <f>IF(ISNA(VLOOKUP($B188,'Other Capital Needs'!$C$51:$P$95,I$6,0)),0,VLOOKUP($B188,'Other Capital Needs'!$C$51:$P$95,I$6,0))+IF(ISNA(VLOOKUP('Project Details by Yr'!$B188,'Public Grounds'!$A$11:$N$49,I$6,0)),0,VLOOKUP('Project Details by Yr'!$B188,'Public Grounds'!$A$11:$N$49,I$6,0))+IF(ISNA(VLOOKUP('Project Details by Yr'!$B188,'Public Buildings'!$A$10:$N$96,I$6,0)),0,VLOOKUP('Project Details by Yr'!$B188,'Public Buildings'!$A$10:$N$96,I$6,0))+IF(ISNA(VLOOKUP('Project Details by Yr'!$B188,Bridges!$A$9:$N$24,I$6,0)),0,VLOOKUP('Project Details by Yr'!$B188,Bridges!$A$9:$N$24,I$6,0))+IF(ISNA(VLOOKUP('Project Details by Yr'!$B188,'Parking Lots &amp; Playgrounds'!$A$9:$N$33,I$6,0)),0,VLOOKUP('Project Details by Yr'!$B188,'Parking Lots &amp; Playgrounds'!$A$9:$N$33,I$6,0))+IF(ISNA(VLOOKUP($B188,Vehicles!$B$9:$O$50,I$6,0)),0,VLOOKUP($B188,Vehicles!$B$9:$O$50,I$6,0))</f>
        <v>42025</v>
      </c>
      <c r="H188" s="50"/>
      <c r="I188" s="49">
        <f t="shared" si="20"/>
        <v>0</v>
      </c>
      <c r="J188" s="49">
        <f t="shared" si="17"/>
        <v>0</v>
      </c>
      <c r="K188" s="49">
        <f t="shared" si="18"/>
        <v>0</v>
      </c>
      <c r="L188" s="52" t="s">
        <v>290</v>
      </c>
    </row>
    <row r="189" spans="2:12" x14ac:dyDescent="0.25">
      <c r="B189" s="40" t="s">
        <v>118</v>
      </c>
      <c r="C189" s="40" t="s">
        <v>49</v>
      </c>
      <c r="D189" s="40" t="s">
        <v>272</v>
      </c>
      <c r="E189" s="43" t="s">
        <v>16</v>
      </c>
      <c r="G189" s="49">
        <f>IF(ISNA(VLOOKUP($B189,'Other Capital Needs'!$C$51:$P$95,I$6,0)),0,VLOOKUP($B189,'Other Capital Needs'!$C$51:$P$95,I$6,0))+IF(ISNA(VLOOKUP('Project Details by Yr'!$B189,'Public Grounds'!$A$11:$N$49,I$6,0)),0,VLOOKUP('Project Details by Yr'!$B189,'Public Grounds'!$A$11:$N$49,I$6,0))+IF(ISNA(VLOOKUP('Project Details by Yr'!$B189,'Public Buildings'!$A$10:$N$96,I$6,0)),0,VLOOKUP('Project Details by Yr'!$B189,'Public Buildings'!$A$10:$N$96,I$6,0))+IF(ISNA(VLOOKUP('Project Details by Yr'!$B189,Bridges!$A$9:$N$24,I$6,0)),0,VLOOKUP('Project Details by Yr'!$B189,Bridges!$A$9:$N$24,I$6,0))+IF(ISNA(VLOOKUP('Project Details by Yr'!$B189,'Parking Lots &amp; Playgrounds'!$A$9:$N$33,I$6,0)),0,VLOOKUP('Project Details by Yr'!$B189,'Parking Lots &amp; Playgrounds'!$A$9:$N$33,I$6,0))+IF(ISNA(VLOOKUP($B189,Vehicles!$B$9:$O$50,I$6,0)),0,VLOOKUP($B189,Vehicles!$B$9:$O$50,I$6,0))</f>
        <v>34218</v>
      </c>
      <c r="H189" s="50"/>
      <c r="I189" s="49">
        <f t="shared" si="20"/>
        <v>0</v>
      </c>
      <c r="J189" s="49">
        <f t="shared" si="17"/>
        <v>0</v>
      </c>
      <c r="K189" s="49">
        <f t="shared" si="18"/>
        <v>0</v>
      </c>
      <c r="L189" s="52" t="s">
        <v>290</v>
      </c>
    </row>
    <row r="190" spans="2:12" x14ac:dyDescent="0.25">
      <c r="B190" s="40" t="s">
        <v>132</v>
      </c>
      <c r="C190" s="40" t="s">
        <v>49</v>
      </c>
      <c r="D190" s="40" t="s">
        <v>272</v>
      </c>
      <c r="E190" s="43" t="s">
        <v>16</v>
      </c>
      <c r="G190" s="49">
        <f>IF(ISNA(VLOOKUP($B190,'Other Capital Needs'!$C$51:$P$95,I$6,0)),0,VLOOKUP($B190,'Other Capital Needs'!$C$51:$P$95,I$6,0))+IF(ISNA(VLOOKUP('Project Details by Yr'!$B190,'Public Grounds'!$A$11:$N$49,I$6,0)),0,VLOOKUP('Project Details by Yr'!$B190,'Public Grounds'!$A$11:$N$49,I$6,0))+IF(ISNA(VLOOKUP('Project Details by Yr'!$B190,'Public Buildings'!$A$10:$N$96,I$6,0)),0,VLOOKUP('Project Details by Yr'!$B190,'Public Buildings'!$A$10:$N$96,I$6,0))+IF(ISNA(VLOOKUP('Project Details by Yr'!$B190,Bridges!$A$9:$N$24,I$6,0)),0,VLOOKUP('Project Details by Yr'!$B190,Bridges!$A$9:$N$24,I$6,0))+IF(ISNA(VLOOKUP('Project Details by Yr'!$B190,'Parking Lots &amp; Playgrounds'!$A$9:$N$33,I$6,0)),0,VLOOKUP('Project Details by Yr'!$B190,'Parking Lots &amp; Playgrounds'!$A$9:$N$33,I$6,0))+IF(ISNA(VLOOKUP($B190,Vehicles!$B$9:$O$50,I$6,0)),0,VLOOKUP($B190,Vehicles!$B$9:$O$50,I$6,0))</f>
        <v>7500</v>
      </c>
      <c r="H190" s="50"/>
      <c r="I190" s="49">
        <f t="shared" si="20"/>
        <v>0</v>
      </c>
      <c r="J190" s="49">
        <f t="shared" si="17"/>
        <v>0</v>
      </c>
      <c r="K190" s="49">
        <f t="shared" si="18"/>
        <v>0</v>
      </c>
      <c r="L190" s="52" t="s">
        <v>290</v>
      </c>
    </row>
    <row r="191" spans="2:12" x14ac:dyDescent="0.25">
      <c r="B191" s="40" t="s">
        <v>133</v>
      </c>
      <c r="C191" s="40" t="s">
        <v>49</v>
      </c>
      <c r="D191" s="40" t="s">
        <v>272</v>
      </c>
      <c r="E191" s="43" t="s">
        <v>16</v>
      </c>
      <c r="G191" s="49">
        <f>IF(ISNA(VLOOKUP($B191,'Other Capital Needs'!$C$51:$P$95,I$6,0)),0,VLOOKUP($B191,'Other Capital Needs'!$C$51:$P$95,I$6,0))+IF(ISNA(VLOOKUP('Project Details by Yr'!$B191,'Public Grounds'!$A$11:$N$49,I$6,0)),0,VLOOKUP('Project Details by Yr'!$B191,'Public Grounds'!$A$11:$N$49,I$6,0))+IF(ISNA(VLOOKUP('Project Details by Yr'!$B191,'Public Buildings'!$A$10:$N$96,I$6,0)),0,VLOOKUP('Project Details by Yr'!$B191,'Public Buildings'!$A$10:$N$96,I$6,0))+IF(ISNA(VLOOKUP('Project Details by Yr'!$B191,Bridges!$A$9:$N$24,I$6,0)),0,VLOOKUP('Project Details by Yr'!$B191,Bridges!$A$9:$N$24,I$6,0))+IF(ISNA(VLOOKUP('Project Details by Yr'!$B191,'Parking Lots &amp; Playgrounds'!$A$9:$N$33,I$6,0)),0,VLOOKUP('Project Details by Yr'!$B191,'Parking Lots &amp; Playgrounds'!$A$9:$N$33,I$6,0))+IF(ISNA(VLOOKUP($B191,Vehicles!$B$9:$O$50,I$6,0)),0,VLOOKUP($B191,Vehicles!$B$9:$O$50,I$6,0))</f>
        <v>85000</v>
      </c>
      <c r="H191" s="50"/>
      <c r="I191" s="49">
        <f t="shared" si="20"/>
        <v>0</v>
      </c>
      <c r="J191" s="49">
        <f t="shared" si="17"/>
        <v>0</v>
      </c>
      <c r="K191" s="49">
        <f t="shared" si="18"/>
        <v>0</v>
      </c>
      <c r="L191" s="52" t="s">
        <v>290</v>
      </c>
    </row>
    <row r="192" spans="2:12" x14ac:dyDescent="0.25">
      <c r="B192" s="40" t="s">
        <v>134</v>
      </c>
      <c r="C192" s="40" t="s">
        <v>49</v>
      </c>
      <c r="D192" s="40" t="s">
        <v>272</v>
      </c>
      <c r="E192" s="43" t="s">
        <v>16</v>
      </c>
      <c r="G192" s="49">
        <f>IF(ISNA(VLOOKUP($B192,'Other Capital Needs'!$C$51:$P$95,I$6,0)),0,VLOOKUP($B192,'Other Capital Needs'!$C$51:$P$95,I$6,0))+IF(ISNA(VLOOKUP('Project Details by Yr'!$B192,'Public Grounds'!$A$11:$N$49,I$6,0)),0,VLOOKUP('Project Details by Yr'!$B192,'Public Grounds'!$A$11:$N$49,I$6,0))+IF(ISNA(VLOOKUP('Project Details by Yr'!$B192,'Public Buildings'!$A$10:$N$96,I$6,0)),0,VLOOKUP('Project Details by Yr'!$B192,'Public Buildings'!$A$10:$N$96,I$6,0))+IF(ISNA(VLOOKUP('Project Details by Yr'!$B192,Bridges!$A$9:$N$24,I$6,0)),0,VLOOKUP('Project Details by Yr'!$B192,Bridges!$A$9:$N$24,I$6,0))+IF(ISNA(VLOOKUP('Project Details by Yr'!$B192,'Parking Lots &amp; Playgrounds'!$A$9:$N$33,I$6,0)),0,VLOOKUP('Project Details by Yr'!$B192,'Parking Lots &amp; Playgrounds'!$A$9:$N$33,I$6,0))+IF(ISNA(VLOOKUP($B192,Vehicles!$B$9:$O$50,I$6,0)),0,VLOOKUP($B192,Vehicles!$B$9:$O$50,I$6,0))</f>
        <v>19869</v>
      </c>
      <c r="H192" s="50"/>
      <c r="I192" s="49">
        <f t="shared" si="20"/>
        <v>0</v>
      </c>
      <c r="J192" s="49">
        <f t="shared" si="17"/>
        <v>0</v>
      </c>
      <c r="K192" s="49">
        <f t="shared" si="18"/>
        <v>0</v>
      </c>
      <c r="L192" s="52" t="s">
        <v>290</v>
      </c>
    </row>
    <row r="193" spans="1:12" x14ac:dyDescent="0.25">
      <c r="B193" s="40" t="s">
        <v>136</v>
      </c>
      <c r="C193" s="40" t="s">
        <v>49</v>
      </c>
      <c r="D193" s="40" t="s">
        <v>272</v>
      </c>
      <c r="E193" s="43" t="s">
        <v>16</v>
      </c>
      <c r="G193" s="49">
        <f>IF(ISNA(VLOOKUP($B193,'Other Capital Needs'!$C$51:$P$95,I$6,0)),0,VLOOKUP($B193,'Other Capital Needs'!$C$51:$P$95,I$6,0))+IF(ISNA(VLOOKUP('Project Details by Yr'!$B193,'Public Grounds'!$A$11:$N$49,I$6,0)),0,VLOOKUP('Project Details by Yr'!$B193,'Public Grounds'!$A$11:$N$49,I$6,0))+IF(ISNA(VLOOKUP('Project Details by Yr'!$B193,'Public Buildings'!$A$10:$N$96,I$6,0)),0,VLOOKUP('Project Details by Yr'!$B193,'Public Buildings'!$A$10:$N$96,I$6,0))+IF(ISNA(VLOOKUP('Project Details by Yr'!$B193,Bridges!$A$9:$N$24,I$6,0)),0,VLOOKUP('Project Details by Yr'!$B193,Bridges!$A$9:$N$24,I$6,0))+IF(ISNA(VLOOKUP('Project Details by Yr'!$B193,'Parking Lots &amp; Playgrounds'!$A$9:$N$33,I$6,0)),0,VLOOKUP('Project Details by Yr'!$B193,'Parking Lots &amp; Playgrounds'!$A$9:$N$33,I$6,0))+IF(ISNA(VLOOKUP($B193,Vehicles!$B$9:$O$50,I$6,0)),0,VLOOKUP($B193,Vehicles!$B$9:$O$50,I$6,0))</f>
        <v>25625</v>
      </c>
      <c r="H193" s="50"/>
      <c r="I193" s="49">
        <f t="shared" si="20"/>
        <v>0</v>
      </c>
      <c r="J193" s="49">
        <f t="shared" si="17"/>
        <v>0</v>
      </c>
      <c r="K193" s="49">
        <f t="shared" si="18"/>
        <v>0</v>
      </c>
      <c r="L193" s="52" t="s">
        <v>290</v>
      </c>
    </row>
    <row r="194" spans="1:12" x14ac:dyDescent="0.25">
      <c r="B194" s="40" t="s">
        <v>139</v>
      </c>
      <c r="C194" s="40" t="s">
        <v>49</v>
      </c>
      <c r="D194" s="40" t="s">
        <v>273</v>
      </c>
      <c r="E194" s="43" t="s">
        <v>16</v>
      </c>
      <c r="G194" s="49">
        <f>IF(ISNA(VLOOKUP($B194,'Other Capital Needs'!$C$51:$P$95,I$6,0)),0,VLOOKUP($B194,'Other Capital Needs'!$C$51:$P$95,I$6,0))+IF(ISNA(VLOOKUP('Project Details by Yr'!$B194,'Public Grounds'!$A$11:$N$49,I$6,0)),0,VLOOKUP('Project Details by Yr'!$B194,'Public Grounds'!$A$11:$N$49,I$6,0))+IF(ISNA(VLOOKUP('Project Details by Yr'!$B194,'Public Buildings'!$A$10:$N$96,I$6,0)),0,VLOOKUP('Project Details by Yr'!$B194,'Public Buildings'!$A$10:$N$96,I$6,0))+IF(ISNA(VLOOKUP('Project Details by Yr'!$B194,Bridges!$A$9:$N$24,I$6,0)),0,VLOOKUP('Project Details by Yr'!$B194,Bridges!$A$9:$N$24,I$6,0))+IF(ISNA(VLOOKUP('Project Details by Yr'!$B194,'Parking Lots &amp; Playgrounds'!$A$9:$N$33,I$6,0)),0,VLOOKUP('Project Details by Yr'!$B194,'Parking Lots &amp; Playgrounds'!$A$9:$N$33,I$6,0))+IF(ISNA(VLOOKUP($B194,Vehicles!$B$9:$O$50,I$6,0)),0,VLOOKUP($B194,Vehicles!$B$9:$O$50,I$6,0))</f>
        <v>98655</v>
      </c>
      <c r="H194" s="50">
        <v>1</v>
      </c>
      <c r="I194" s="49">
        <f t="shared" si="20"/>
        <v>0</v>
      </c>
      <c r="J194" s="49">
        <f t="shared" si="17"/>
        <v>98655</v>
      </c>
      <c r="K194" s="49">
        <f t="shared" si="18"/>
        <v>0</v>
      </c>
    </row>
    <row r="195" spans="1:12" x14ac:dyDescent="0.25">
      <c r="E195" s="43"/>
      <c r="G195" s="49"/>
      <c r="H195" s="65"/>
      <c r="J195" s="62"/>
      <c r="K195" s="62"/>
    </row>
    <row r="196" spans="1:12" x14ac:dyDescent="0.25">
      <c r="B196" s="40" t="s">
        <v>274</v>
      </c>
      <c r="C196" s="40" t="s">
        <v>250</v>
      </c>
      <c r="D196" s="40" t="s">
        <v>272</v>
      </c>
      <c r="E196" s="43" t="s">
        <v>19</v>
      </c>
      <c r="G196" s="49">
        <f>Summary!G41</f>
        <v>0</v>
      </c>
      <c r="H196" s="65">
        <v>1</v>
      </c>
      <c r="I196" s="49">
        <f t="shared" si="20"/>
        <v>0</v>
      </c>
      <c r="J196" s="49">
        <f t="shared" si="17"/>
        <v>0</v>
      </c>
      <c r="K196" s="49">
        <f t="shared" si="18"/>
        <v>0</v>
      </c>
    </row>
    <row r="197" spans="1:12" x14ac:dyDescent="0.25">
      <c r="B197" s="40" t="s">
        <v>205</v>
      </c>
      <c r="C197" s="40" t="s">
        <v>48</v>
      </c>
      <c r="D197" s="40" t="s">
        <v>272</v>
      </c>
      <c r="E197" s="43" t="s">
        <v>16</v>
      </c>
      <c r="G197" s="49">
        <f>IF(ISNA(VLOOKUP($B197,'Other Capital Needs'!$C$51:$P$95,I$6,0)),0,VLOOKUP($B197,'Other Capital Needs'!$C$51:$P$95,I$6,0))+IF(ISNA(VLOOKUP('Project Details by Yr'!$B197,'Public Grounds'!$A$11:$N$49,I$6,0)),0,VLOOKUP('Project Details by Yr'!$B197,'Public Grounds'!$A$11:$N$49,I$6,0))+IF(ISNA(VLOOKUP('Project Details by Yr'!$B197,'Public Buildings'!$A$10:$N$96,I$6,0)),0,VLOOKUP('Project Details by Yr'!$B197,'Public Buildings'!$A$10:$N$96,I$6,0))+IF(ISNA(VLOOKUP('Project Details by Yr'!$B197,Bridges!$A$9:$N$24,I$6,0)),0,VLOOKUP('Project Details by Yr'!$B197,Bridges!$A$9:$N$24,I$6,0))+IF(ISNA(VLOOKUP('Project Details by Yr'!$B197,'Parking Lots &amp; Playgrounds'!$A$9:$N$33,I$6,0)),0,VLOOKUP('Project Details by Yr'!$B197,'Parking Lots &amp; Playgrounds'!$A$9:$N$33,I$6,0))+IF(ISNA(VLOOKUP($B197,Vehicles!$B$9:$O$50,I$6,0)),0,VLOOKUP($B197,Vehicles!$B$9:$O$50,I$6,0))</f>
        <v>500000</v>
      </c>
      <c r="H197" s="65">
        <v>1</v>
      </c>
      <c r="I197" s="49">
        <f t="shared" si="20"/>
        <v>0</v>
      </c>
      <c r="J197" s="49">
        <f t="shared" si="17"/>
        <v>500000</v>
      </c>
      <c r="K197" s="49">
        <f t="shared" si="18"/>
        <v>0</v>
      </c>
    </row>
    <row r="198" spans="1:12" x14ac:dyDescent="0.25">
      <c r="E198" s="43"/>
      <c r="G198" s="49"/>
      <c r="H198" s="65"/>
      <c r="J198" s="62"/>
      <c r="K198" s="62"/>
    </row>
    <row r="199" spans="1:12" ht="15.75" thickBot="1" x14ac:dyDescent="0.3">
      <c r="G199" s="58">
        <f>SUM(G147:G198)</f>
        <v>4027616</v>
      </c>
      <c r="H199" s="59">
        <f t="shared" ref="H199:K199" si="23">SUM(H147:H198)</f>
        <v>37</v>
      </c>
      <c r="I199" s="58">
        <f t="shared" si="23"/>
        <v>800000</v>
      </c>
      <c r="J199" s="58">
        <f t="shared" si="23"/>
        <v>2540046</v>
      </c>
      <c r="K199" s="58">
        <f t="shared" si="23"/>
        <v>120000</v>
      </c>
    </row>
    <row r="200" spans="1:12" ht="15.75" thickTop="1" x14ac:dyDescent="0.25">
      <c r="G200" s="60" t="e">
        <f>G199-Summary!G96</f>
        <v>#REF!</v>
      </c>
      <c r="H200" s="66"/>
      <c r="J200" s="63"/>
      <c r="K200" s="63"/>
    </row>
    <row r="203" spans="1:12" x14ac:dyDescent="0.25">
      <c r="B203" s="46" t="s">
        <v>275</v>
      </c>
      <c r="C203" s="46" t="s">
        <v>246</v>
      </c>
      <c r="D203" s="46" t="s">
        <v>276</v>
      </c>
      <c r="E203" s="46" t="s">
        <v>271</v>
      </c>
      <c r="G203" s="46" t="s">
        <v>6</v>
      </c>
      <c r="H203" s="47" t="s">
        <v>285</v>
      </c>
      <c r="I203" s="46" t="s">
        <v>19</v>
      </c>
      <c r="J203" s="46" t="s">
        <v>16</v>
      </c>
      <c r="K203" s="46" t="s">
        <v>286</v>
      </c>
    </row>
    <row r="204" spans="1:12" x14ac:dyDescent="0.25">
      <c r="E204" s="43"/>
      <c r="H204" s="66"/>
      <c r="I204" s="61"/>
      <c r="K204" s="61"/>
    </row>
    <row r="205" spans="1:12" x14ac:dyDescent="0.25">
      <c r="A205" s="48" t="s">
        <v>210</v>
      </c>
      <c r="B205" s="40" t="s">
        <v>204</v>
      </c>
      <c r="C205" s="40" t="s">
        <v>101</v>
      </c>
      <c r="D205" s="40" t="s">
        <v>272</v>
      </c>
      <c r="E205" s="43" t="s">
        <v>16</v>
      </c>
      <c r="G205" s="49">
        <f>IF(ISNA(VLOOKUP($B205,'Other Capital Needs'!$C$51:$P$95,J$6,0)),0,VLOOKUP($B205,'Other Capital Needs'!$C$51:$P$95,J$6,0))+IF(ISNA(VLOOKUP('Project Details by Yr'!$B205,'Public Grounds'!$A$11:$N$49,J$6,0)),0,VLOOKUP('Project Details by Yr'!$B205,'Public Grounds'!$A$11:$N$49,J$6,0))+IF(ISNA(VLOOKUP('Project Details by Yr'!$B205,'Public Buildings'!$A$10:$N$96,J$6,0)),0,VLOOKUP('Project Details by Yr'!$B205,'Public Buildings'!$A$10:$N$96,J$6,0))+IF(ISNA(VLOOKUP('Project Details by Yr'!$B205,Bridges!$A$9:$N$24,J$6,0)),0,VLOOKUP('Project Details by Yr'!$B205,Bridges!$A$9:$N$24,J$6,0))+IF(ISNA(VLOOKUP('Project Details by Yr'!$B205,'Parking Lots &amp; Playgrounds'!$A$9:$N$33,J$6,0)),0,VLOOKUP('Project Details by Yr'!$B205,'Parking Lots &amp; Playgrounds'!$A$9:$N$33,J$6,0))+IF(ISNA(VLOOKUP($B205,Vehicles!$B$9:$O$50,J$6,0)),0,VLOOKUP($B205,Vehicles!$B$9:$O$50,J$6,0))</f>
        <v>46500</v>
      </c>
      <c r="H205" s="65">
        <v>1</v>
      </c>
      <c r="I205" s="49">
        <f t="shared" ref="I205:I251" si="24">IF($H205=1,IF($E205="Bond",$G205,IF(E205="BAN",$G205,0)),0)</f>
        <v>0</v>
      </c>
      <c r="J205" s="49">
        <f t="shared" ref="J205:J251" si="25">IF($H205=1,IF($E205="GF",$G205,0),0)</f>
        <v>46500</v>
      </c>
      <c r="K205" s="49">
        <f t="shared" ref="K205:K251" si="26">IF($H205=1,IF($E205="Grant",$G205,0),0)</f>
        <v>0</v>
      </c>
    </row>
    <row r="206" spans="1:12" x14ac:dyDescent="0.25">
      <c r="A206" s="48">
        <v>14</v>
      </c>
      <c r="B206" s="40" t="s">
        <v>145</v>
      </c>
      <c r="C206" s="40" t="s">
        <v>101</v>
      </c>
      <c r="D206" s="40" t="s">
        <v>272</v>
      </c>
      <c r="E206" s="43" t="s">
        <v>16</v>
      </c>
      <c r="G206" s="49">
        <f>IF(ISNA(VLOOKUP($B206,'Other Capital Needs'!$C$51:$P$95,J$6,0)),0,VLOOKUP($B206,'Other Capital Needs'!$C$51:$P$95,J$6,0))+IF(ISNA(VLOOKUP('Project Details by Yr'!$B206,'Public Grounds'!$A$11:$N$49,J$6,0)),0,VLOOKUP('Project Details by Yr'!$B206,'Public Grounds'!$A$11:$N$49,J$6,0))+IF(ISNA(VLOOKUP('Project Details by Yr'!$B206,'Public Buildings'!$A$10:$N$96,J$6,0)),0,VLOOKUP('Project Details by Yr'!$B206,'Public Buildings'!$A$10:$N$96,J$6,0))+IF(ISNA(VLOOKUP('Project Details by Yr'!$B206,Bridges!$A$9:$N$24,J$6,0)),0,VLOOKUP('Project Details by Yr'!$B206,Bridges!$A$9:$N$24,J$6,0))+IF(ISNA(VLOOKUP('Project Details by Yr'!$B206,'Parking Lots &amp; Playgrounds'!$A$9:$N$33,J$6,0)),0,VLOOKUP('Project Details by Yr'!$B206,'Parking Lots &amp; Playgrounds'!$A$9:$N$33,J$6,0))+IF(ISNA(VLOOKUP($B206,Vehicles!$B$9:$O$50,J$6,0)),0,VLOOKUP($B206,Vehicles!$B$9:$O$50,J$6,0))</f>
        <v>0</v>
      </c>
      <c r="H206" s="65"/>
      <c r="I206" s="49">
        <f t="shared" si="24"/>
        <v>0</v>
      </c>
      <c r="J206" s="49">
        <f t="shared" si="25"/>
        <v>0</v>
      </c>
      <c r="K206" s="49">
        <f t="shared" si="26"/>
        <v>0</v>
      </c>
      <c r="L206" s="52" t="s">
        <v>290</v>
      </c>
    </row>
    <row r="207" spans="1:12" x14ac:dyDescent="0.25">
      <c r="A207" s="48">
        <v>32</v>
      </c>
      <c r="B207" s="40" t="s">
        <v>159</v>
      </c>
      <c r="C207" s="40" t="s">
        <v>101</v>
      </c>
      <c r="D207" s="40" t="s">
        <v>272</v>
      </c>
      <c r="E207" s="43" t="s">
        <v>16</v>
      </c>
      <c r="G207" s="49">
        <f>IF(ISNA(VLOOKUP($B207,'Other Capital Needs'!$C$51:$P$95,J$6,0)),0,VLOOKUP($B207,'Other Capital Needs'!$C$51:$P$95,J$6,0))+IF(ISNA(VLOOKUP('Project Details by Yr'!$B207,'Public Grounds'!$A$11:$N$49,J$6,0)),0,VLOOKUP('Project Details by Yr'!$B207,'Public Grounds'!$A$11:$N$49,J$6,0))+IF(ISNA(VLOOKUP('Project Details by Yr'!$B207,'Public Buildings'!$A$10:$N$96,J$6,0)),0,VLOOKUP('Project Details by Yr'!$B207,'Public Buildings'!$A$10:$N$96,J$6,0))+IF(ISNA(VLOOKUP('Project Details by Yr'!$B207,Bridges!$A$9:$N$24,J$6,0)),0,VLOOKUP('Project Details by Yr'!$B207,Bridges!$A$9:$N$24,J$6,0))+IF(ISNA(VLOOKUP('Project Details by Yr'!$B207,'Parking Lots &amp; Playgrounds'!$A$9:$N$33,J$6,0)),0,VLOOKUP('Project Details by Yr'!$B207,'Parking Lots &amp; Playgrounds'!$A$9:$N$33,J$6,0))+IF(ISNA(VLOOKUP($B207,Vehicles!$B$9:$O$50,J$6,0)),0,VLOOKUP($B207,Vehicles!$B$9:$O$50,J$6,0))</f>
        <v>0</v>
      </c>
      <c r="H207" s="65"/>
      <c r="I207" s="49">
        <f t="shared" si="24"/>
        <v>0</v>
      </c>
      <c r="J207" s="49">
        <f t="shared" si="25"/>
        <v>0</v>
      </c>
      <c r="K207" s="49">
        <f t="shared" si="26"/>
        <v>0</v>
      </c>
      <c r="L207" s="52" t="s">
        <v>290</v>
      </c>
    </row>
    <row r="208" spans="1:12" x14ac:dyDescent="0.25">
      <c r="A208" s="48">
        <v>32</v>
      </c>
      <c r="B208" s="40" t="s">
        <v>163</v>
      </c>
      <c r="C208" s="40" t="s">
        <v>101</v>
      </c>
      <c r="D208" s="40" t="s">
        <v>272</v>
      </c>
      <c r="E208" s="43" t="s">
        <v>16</v>
      </c>
      <c r="G208" s="49">
        <f>IF(ISNA(VLOOKUP($B208,'Other Capital Needs'!$C$51:$P$95,J$6,0)),0,VLOOKUP($B208,'Other Capital Needs'!$C$51:$P$95,J$6,0))+IF(ISNA(VLOOKUP('Project Details by Yr'!$B208,'Public Grounds'!$A$11:$N$49,J$6,0)),0,VLOOKUP('Project Details by Yr'!$B208,'Public Grounds'!$A$11:$N$49,J$6,0))+IF(ISNA(VLOOKUP('Project Details by Yr'!$B208,'Public Buildings'!$A$10:$N$96,J$6,0)),0,VLOOKUP('Project Details by Yr'!$B208,'Public Buildings'!$A$10:$N$96,J$6,0))+IF(ISNA(VLOOKUP('Project Details by Yr'!$B208,Bridges!$A$9:$N$24,J$6,0)),0,VLOOKUP('Project Details by Yr'!$B208,Bridges!$A$9:$N$24,J$6,0))+IF(ISNA(VLOOKUP('Project Details by Yr'!$B208,'Parking Lots &amp; Playgrounds'!$A$9:$N$33,J$6,0)),0,VLOOKUP('Project Details by Yr'!$B208,'Parking Lots &amp; Playgrounds'!$A$9:$N$33,J$6,0))+IF(ISNA(VLOOKUP($B208,Vehicles!$B$9:$O$50,J$6,0)),0,VLOOKUP($B208,Vehicles!$B$9:$O$50,J$6,0))</f>
        <v>0</v>
      </c>
      <c r="H208" s="65">
        <v>1</v>
      </c>
      <c r="I208" s="49">
        <f t="shared" si="24"/>
        <v>0</v>
      </c>
      <c r="J208" s="49">
        <f t="shared" si="25"/>
        <v>0</v>
      </c>
      <c r="K208" s="49">
        <f t="shared" si="26"/>
        <v>0</v>
      </c>
    </row>
    <row r="209" spans="1:12" x14ac:dyDescent="0.25">
      <c r="A209" s="48">
        <v>32</v>
      </c>
      <c r="B209" s="54" t="s">
        <v>165</v>
      </c>
      <c r="C209" s="40" t="s">
        <v>101</v>
      </c>
      <c r="D209" s="40" t="s">
        <v>272</v>
      </c>
      <c r="E209" s="53" t="s">
        <v>16</v>
      </c>
      <c r="G209" s="49">
        <f>IF(ISNA(VLOOKUP($B209,'Other Capital Needs'!$C$51:$P$95,J$6,0)),0,VLOOKUP($B209,'Other Capital Needs'!$C$51:$P$95,J$6,0))+IF(ISNA(VLOOKUP('Project Details by Yr'!$B209,'Public Grounds'!$A$11:$N$49,J$6,0)),0,VLOOKUP('Project Details by Yr'!$B209,'Public Grounds'!$A$11:$N$49,J$6,0))+IF(ISNA(VLOOKUP('Project Details by Yr'!$B209,'Public Buildings'!$A$10:$N$96,J$6,0)),0,VLOOKUP('Project Details by Yr'!$B209,'Public Buildings'!$A$10:$N$96,J$6,0))+IF(ISNA(VLOOKUP('Project Details by Yr'!$B209,Bridges!$A$9:$N$24,J$6,0)),0,VLOOKUP('Project Details by Yr'!$B209,Bridges!$A$9:$N$24,J$6,0))+IF(ISNA(VLOOKUP('Project Details by Yr'!$B209,'Parking Lots &amp; Playgrounds'!$A$9:$N$33,J$6,0)),0,VLOOKUP('Project Details by Yr'!$B209,'Parking Lots &amp; Playgrounds'!$A$9:$N$33,J$6,0))+IF(ISNA(VLOOKUP($B209,Vehicles!$B$9:$O$50,J$6,0)),0,VLOOKUP($B209,Vehicles!$B$9:$O$50,J$6,0))</f>
        <v>0</v>
      </c>
      <c r="H209" s="65">
        <v>1</v>
      </c>
      <c r="I209" s="49">
        <f t="shared" si="24"/>
        <v>0</v>
      </c>
      <c r="J209" s="49">
        <f t="shared" si="25"/>
        <v>0</v>
      </c>
      <c r="K209" s="49">
        <f t="shared" si="26"/>
        <v>0</v>
      </c>
    </row>
    <row r="210" spans="1:12" x14ac:dyDescent="0.25">
      <c r="A210" s="48">
        <v>32</v>
      </c>
      <c r="B210" s="54" t="s">
        <v>168</v>
      </c>
      <c r="C210" s="40" t="s">
        <v>101</v>
      </c>
      <c r="D210" s="40" t="s">
        <v>272</v>
      </c>
      <c r="E210" s="53" t="s">
        <v>16</v>
      </c>
      <c r="G210" s="49">
        <f>IF(ISNA(VLOOKUP($B210,'Other Capital Needs'!$C$51:$P$95,J$6,0)),0,VLOOKUP($B210,'Other Capital Needs'!$C$51:$P$95,J$6,0))+IF(ISNA(VLOOKUP('Project Details by Yr'!$B210,'Public Grounds'!$A$11:$N$49,J$6,0)),0,VLOOKUP('Project Details by Yr'!$B210,'Public Grounds'!$A$11:$N$49,J$6,0))+IF(ISNA(VLOOKUP('Project Details by Yr'!$B210,'Public Buildings'!$A$10:$N$96,J$6,0)),0,VLOOKUP('Project Details by Yr'!$B210,'Public Buildings'!$A$10:$N$96,J$6,0))+IF(ISNA(VLOOKUP('Project Details by Yr'!$B210,Bridges!$A$9:$N$24,J$6,0)),0,VLOOKUP('Project Details by Yr'!$B210,Bridges!$A$9:$N$24,J$6,0))+IF(ISNA(VLOOKUP('Project Details by Yr'!$B210,'Parking Lots &amp; Playgrounds'!$A$9:$N$33,J$6,0)),0,VLOOKUP('Project Details by Yr'!$B210,'Parking Lots &amp; Playgrounds'!$A$9:$N$33,J$6,0))+IF(ISNA(VLOOKUP($B210,Vehicles!$B$9:$O$50,J$6,0)),0,VLOOKUP($B210,Vehicles!$B$9:$O$50,J$6,0))</f>
        <v>0</v>
      </c>
      <c r="H210" s="65">
        <v>1</v>
      </c>
      <c r="I210" s="49">
        <f t="shared" si="24"/>
        <v>0</v>
      </c>
      <c r="J210" s="49">
        <f t="shared" si="25"/>
        <v>0</v>
      </c>
      <c r="K210" s="49">
        <f t="shared" si="26"/>
        <v>0</v>
      </c>
    </row>
    <row r="211" spans="1:12" x14ac:dyDescent="0.25">
      <c r="A211" s="48">
        <v>32</v>
      </c>
      <c r="B211" s="54" t="s">
        <v>169</v>
      </c>
      <c r="C211" s="40" t="s">
        <v>101</v>
      </c>
      <c r="D211" s="40" t="s">
        <v>272</v>
      </c>
      <c r="E211" s="53" t="s">
        <v>16</v>
      </c>
      <c r="G211" s="49">
        <f>IF(ISNA(VLOOKUP($B211,'Other Capital Needs'!$C$51:$P$95,J$6,0)),0,VLOOKUP($B211,'Other Capital Needs'!$C$51:$P$95,J$6,0))+IF(ISNA(VLOOKUP('Project Details by Yr'!$B211,'Public Grounds'!$A$11:$N$49,J$6,0)),0,VLOOKUP('Project Details by Yr'!$B211,'Public Grounds'!$A$11:$N$49,J$6,0))+IF(ISNA(VLOOKUP('Project Details by Yr'!$B211,'Public Buildings'!$A$10:$N$96,J$6,0)),0,VLOOKUP('Project Details by Yr'!$B211,'Public Buildings'!$A$10:$N$96,J$6,0))+IF(ISNA(VLOOKUP('Project Details by Yr'!$B211,Bridges!$A$9:$N$24,J$6,0)),0,VLOOKUP('Project Details by Yr'!$B211,Bridges!$A$9:$N$24,J$6,0))+IF(ISNA(VLOOKUP('Project Details by Yr'!$B211,'Parking Lots &amp; Playgrounds'!$A$9:$N$33,J$6,0)),0,VLOOKUP('Project Details by Yr'!$B211,'Parking Lots &amp; Playgrounds'!$A$9:$N$33,J$6,0))+IF(ISNA(VLOOKUP($B211,Vehicles!$B$9:$O$50,J$6,0)),0,VLOOKUP($B211,Vehicles!$B$9:$O$50,J$6,0))</f>
        <v>0</v>
      </c>
      <c r="H211" s="65">
        <v>1</v>
      </c>
      <c r="I211" s="49">
        <f t="shared" si="24"/>
        <v>0</v>
      </c>
      <c r="J211" s="49">
        <f t="shared" si="25"/>
        <v>0</v>
      </c>
      <c r="K211" s="49">
        <f t="shared" si="26"/>
        <v>0</v>
      </c>
    </row>
    <row r="212" spans="1:12" x14ac:dyDescent="0.25">
      <c r="A212" s="48">
        <v>32</v>
      </c>
      <c r="B212" s="54" t="s">
        <v>170</v>
      </c>
      <c r="C212" s="40" t="s">
        <v>101</v>
      </c>
      <c r="D212" s="40" t="s">
        <v>272</v>
      </c>
      <c r="E212" s="53" t="s">
        <v>16</v>
      </c>
      <c r="G212" s="49">
        <f>IF(ISNA(VLOOKUP($B212,'Other Capital Needs'!$C$51:$P$95,J$6,0)),0,VLOOKUP($B212,'Other Capital Needs'!$C$51:$P$95,J$6,0))+IF(ISNA(VLOOKUP('Project Details by Yr'!$B212,'Public Grounds'!$A$11:$N$49,J$6,0)),0,VLOOKUP('Project Details by Yr'!$B212,'Public Grounds'!$A$11:$N$49,J$6,0))+IF(ISNA(VLOOKUP('Project Details by Yr'!$B212,'Public Buildings'!$A$10:$N$96,J$6,0)),0,VLOOKUP('Project Details by Yr'!$B212,'Public Buildings'!$A$10:$N$96,J$6,0))+IF(ISNA(VLOOKUP('Project Details by Yr'!$B212,Bridges!$A$9:$N$24,J$6,0)),0,VLOOKUP('Project Details by Yr'!$B212,Bridges!$A$9:$N$24,J$6,0))+IF(ISNA(VLOOKUP('Project Details by Yr'!$B212,'Parking Lots &amp; Playgrounds'!$A$9:$N$33,J$6,0)),0,VLOOKUP('Project Details by Yr'!$B212,'Parking Lots &amp; Playgrounds'!$A$9:$N$33,J$6,0))+IF(ISNA(VLOOKUP($B212,Vehicles!$B$9:$O$50,J$6,0)),0,VLOOKUP($B212,Vehicles!$B$9:$O$50,J$6,0))</f>
        <v>85000</v>
      </c>
      <c r="H212" s="65">
        <v>1</v>
      </c>
      <c r="I212" s="49">
        <f t="shared" si="24"/>
        <v>0</v>
      </c>
      <c r="J212" s="49">
        <f t="shared" si="25"/>
        <v>85000</v>
      </c>
      <c r="K212" s="49">
        <f t="shared" si="26"/>
        <v>0</v>
      </c>
    </row>
    <row r="213" spans="1:12" x14ac:dyDescent="0.25">
      <c r="A213" s="48">
        <v>36</v>
      </c>
      <c r="B213" s="54" t="s">
        <v>177</v>
      </c>
      <c r="C213" s="54" t="s">
        <v>101</v>
      </c>
      <c r="D213" s="54" t="s">
        <v>272</v>
      </c>
      <c r="E213" s="53" t="s">
        <v>16</v>
      </c>
      <c r="F213" s="54"/>
      <c r="G213" s="49">
        <f>IF(ISNA(VLOOKUP($B213,'Other Capital Needs'!$C$51:$P$95,J$6,0)),0,VLOOKUP($B213,'Other Capital Needs'!$C$51:$P$95,J$6,0))+IF(ISNA(VLOOKUP('Project Details by Yr'!$B213,'Public Grounds'!$A$11:$N$49,J$6,0)),0,VLOOKUP('Project Details by Yr'!$B213,'Public Grounds'!$A$11:$N$49,J$6,0))+IF(ISNA(VLOOKUP('Project Details by Yr'!$B213,'Public Buildings'!$A$10:$N$96,J$6,0)),0,VLOOKUP('Project Details by Yr'!$B213,'Public Buildings'!$A$10:$N$96,J$6,0))+IF(ISNA(VLOOKUP('Project Details by Yr'!$B213,Bridges!$A$9:$N$24,J$6,0)),0,VLOOKUP('Project Details by Yr'!$B213,Bridges!$A$9:$N$24,J$6,0))+IF(ISNA(VLOOKUP('Project Details by Yr'!$B213,'Parking Lots &amp; Playgrounds'!$A$9:$N$33,J$6,0)),0,VLOOKUP('Project Details by Yr'!$B213,'Parking Lots &amp; Playgrounds'!$A$9:$N$33,J$6,0))+IF(ISNA(VLOOKUP($B213,Vehicles!$B$9:$O$50,J$6,0)),0,VLOOKUP($B213,Vehicles!$B$9:$O$50,J$6,0))</f>
        <v>0</v>
      </c>
      <c r="H213" s="65">
        <v>1</v>
      </c>
      <c r="I213" s="49">
        <f t="shared" si="24"/>
        <v>0</v>
      </c>
      <c r="J213" s="49">
        <f t="shared" si="25"/>
        <v>0</v>
      </c>
      <c r="K213" s="49">
        <f t="shared" si="26"/>
        <v>0</v>
      </c>
    </row>
    <row r="214" spans="1:12" x14ac:dyDescent="0.25">
      <c r="A214" s="48">
        <v>36</v>
      </c>
      <c r="B214" s="54" t="s">
        <v>179</v>
      </c>
      <c r="C214" s="54" t="s">
        <v>101</v>
      </c>
      <c r="D214" s="54" t="s">
        <v>272</v>
      </c>
      <c r="E214" s="53" t="s">
        <v>286</v>
      </c>
      <c r="F214" s="54"/>
      <c r="G214" s="49">
        <f>IF(ISNA(VLOOKUP($B214,'Other Capital Needs'!$C$51:$P$95,J$6,0)),0,VLOOKUP($B214,'Other Capital Needs'!$C$51:$P$95,J$6,0))+IF(ISNA(VLOOKUP('Project Details by Yr'!$B214,'Public Grounds'!$A$11:$N$49,J$6,0)),0,VLOOKUP('Project Details by Yr'!$B214,'Public Grounds'!$A$11:$N$49,J$6,0))+IF(ISNA(VLOOKUP('Project Details by Yr'!$B214,'Public Buildings'!$A$10:$N$96,J$6,0)),0,VLOOKUP('Project Details by Yr'!$B214,'Public Buildings'!$A$10:$N$96,J$6,0))+IF(ISNA(VLOOKUP('Project Details by Yr'!$B214,Bridges!$A$9:$N$24,J$6,0)),0,VLOOKUP('Project Details by Yr'!$B214,Bridges!$A$9:$N$24,J$6,0))+IF(ISNA(VLOOKUP('Project Details by Yr'!$B214,'Parking Lots &amp; Playgrounds'!$A$9:$N$33,J$6,0)),0,VLOOKUP('Project Details by Yr'!$B214,'Parking Lots &amp; Playgrounds'!$A$9:$N$33,J$6,0))+IF(ISNA(VLOOKUP($B214,Vehicles!$B$9:$O$50,J$6,0)),0,VLOOKUP($B214,Vehicles!$B$9:$O$50,J$6,0))</f>
        <v>120000</v>
      </c>
      <c r="H214" s="65">
        <v>1</v>
      </c>
      <c r="I214" s="49">
        <f t="shared" si="24"/>
        <v>0</v>
      </c>
      <c r="J214" s="49">
        <f t="shared" si="25"/>
        <v>0</v>
      </c>
      <c r="K214" s="49">
        <f t="shared" si="26"/>
        <v>120000</v>
      </c>
    </row>
    <row r="215" spans="1:12" x14ac:dyDescent="0.25">
      <c r="A215" s="48">
        <v>36</v>
      </c>
      <c r="B215" s="54" t="s">
        <v>180</v>
      </c>
      <c r="C215" s="54" t="s">
        <v>101</v>
      </c>
      <c r="D215" s="54" t="s">
        <v>272</v>
      </c>
      <c r="E215" s="53" t="s">
        <v>16</v>
      </c>
      <c r="F215" s="54"/>
      <c r="G215" s="49">
        <f>IF(ISNA(VLOOKUP($B215,'Other Capital Needs'!$C$51:$P$95,J$6,0)),0,VLOOKUP($B215,'Other Capital Needs'!$C$51:$P$95,J$6,0))+IF(ISNA(VLOOKUP('Project Details by Yr'!$B215,'Public Grounds'!$A$11:$N$49,J$6,0)),0,VLOOKUP('Project Details by Yr'!$B215,'Public Grounds'!$A$11:$N$49,J$6,0))+IF(ISNA(VLOOKUP('Project Details by Yr'!$B215,'Public Buildings'!$A$10:$N$96,J$6,0)),0,VLOOKUP('Project Details by Yr'!$B215,'Public Buildings'!$A$10:$N$96,J$6,0))+IF(ISNA(VLOOKUP('Project Details by Yr'!$B215,Bridges!$A$9:$N$24,J$6,0)),0,VLOOKUP('Project Details by Yr'!$B215,Bridges!$A$9:$N$24,J$6,0))+IF(ISNA(VLOOKUP('Project Details by Yr'!$B215,'Parking Lots &amp; Playgrounds'!$A$9:$N$33,J$6,0)),0,VLOOKUP('Project Details by Yr'!$B215,'Parking Lots &amp; Playgrounds'!$A$9:$N$33,J$6,0))+IF(ISNA(VLOOKUP($B215,Vehicles!$B$9:$O$50,J$6,0)),0,VLOOKUP($B215,Vehicles!$B$9:$O$50,J$6,0))</f>
        <v>0</v>
      </c>
      <c r="H215" s="65">
        <v>1</v>
      </c>
      <c r="I215" s="49">
        <f t="shared" si="24"/>
        <v>0</v>
      </c>
      <c r="J215" s="49">
        <f t="shared" si="25"/>
        <v>0</v>
      </c>
      <c r="K215" s="49">
        <f t="shared" si="26"/>
        <v>0</v>
      </c>
    </row>
    <row r="216" spans="1:12" x14ac:dyDescent="0.25">
      <c r="A216" s="48">
        <v>43</v>
      </c>
      <c r="B216" s="40" t="s">
        <v>185</v>
      </c>
      <c r="C216" s="40" t="s">
        <v>101</v>
      </c>
      <c r="D216" s="40" t="s">
        <v>272</v>
      </c>
      <c r="E216" s="43" t="s">
        <v>16</v>
      </c>
      <c r="G216" s="49">
        <f>IF(ISNA(VLOOKUP($B216,'Other Capital Needs'!$C$51:$P$95,J$6,0)),0,VLOOKUP($B216,'Other Capital Needs'!$C$51:$P$95,J$6,0))+IF(ISNA(VLOOKUP('Project Details by Yr'!$B216,'Public Grounds'!$A$11:$N$49,J$6,0)),0,VLOOKUP('Project Details by Yr'!$B216,'Public Grounds'!$A$11:$N$49,J$6,0))+IF(ISNA(VLOOKUP('Project Details by Yr'!$B216,'Public Buildings'!$A$10:$N$96,J$6,0)),0,VLOOKUP('Project Details by Yr'!$B216,'Public Buildings'!$A$10:$N$96,J$6,0))+IF(ISNA(VLOOKUP('Project Details by Yr'!$B216,Bridges!$A$9:$N$24,J$6,0)),0,VLOOKUP('Project Details by Yr'!$B216,Bridges!$A$9:$N$24,J$6,0))+IF(ISNA(VLOOKUP('Project Details by Yr'!$B216,'Parking Lots &amp; Playgrounds'!$A$9:$N$33,J$6,0)),0,VLOOKUP('Project Details by Yr'!$B216,'Parking Lots &amp; Playgrounds'!$A$9:$N$33,J$6,0))+IF(ISNA(VLOOKUP($B216,Vehicles!$B$9:$O$50,J$6,0)),0,VLOOKUP($B216,Vehicles!$B$9:$O$50,J$6,0))</f>
        <v>0</v>
      </c>
      <c r="H216" s="65"/>
      <c r="I216" s="49">
        <f t="shared" si="24"/>
        <v>0</v>
      </c>
      <c r="J216" s="49">
        <f t="shared" si="25"/>
        <v>0</v>
      </c>
      <c r="K216" s="49">
        <f t="shared" si="26"/>
        <v>0</v>
      </c>
      <c r="L216" s="52" t="s">
        <v>294</v>
      </c>
    </row>
    <row r="217" spans="1:12" x14ac:dyDescent="0.25">
      <c r="A217" s="48">
        <v>43</v>
      </c>
      <c r="B217" s="40" t="s">
        <v>186</v>
      </c>
      <c r="C217" s="40" t="s">
        <v>101</v>
      </c>
      <c r="D217" s="40" t="s">
        <v>272</v>
      </c>
      <c r="E217" s="43" t="s">
        <v>16</v>
      </c>
      <c r="G217" s="49">
        <f>IF(ISNA(VLOOKUP($B217,'Other Capital Needs'!$C$51:$P$95,J$6,0)),0,VLOOKUP($B217,'Other Capital Needs'!$C$51:$P$95,J$6,0))+IF(ISNA(VLOOKUP('Project Details by Yr'!$B217,'Public Grounds'!$A$11:$N$49,J$6,0)),0,VLOOKUP('Project Details by Yr'!$B217,'Public Grounds'!$A$11:$N$49,J$6,0))+IF(ISNA(VLOOKUP('Project Details by Yr'!$B217,'Public Buildings'!$A$10:$N$96,J$6,0)),0,VLOOKUP('Project Details by Yr'!$B217,'Public Buildings'!$A$10:$N$96,J$6,0))+IF(ISNA(VLOOKUP('Project Details by Yr'!$B217,Bridges!$A$9:$N$24,J$6,0)),0,VLOOKUP('Project Details by Yr'!$B217,Bridges!$A$9:$N$24,J$6,0))+IF(ISNA(VLOOKUP('Project Details by Yr'!$B217,'Parking Lots &amp; Playgrounds'!$A$9:$N$33,J$6,0)),0,VLOOKUP('Project Details by Yr'!$B217,'Parking Lots &amp; Playgrounds'!$A$9:$N$33,J$6,0))+IF(ISNA(VLOOKUP($B217,Vehicles!$B$9:$O$50,J$6,0)),0,VLOOKUP($B217,Vehicles!$B$9:$O$50,J$6,0))</f>
        <v>0</v>
      </c>
      <c r="H217" s="65"/>
      <c r="I217" s="49">
        <f t="shared" si="24"/>
        <v>0</v>
      </c>
      <c r="J217" s="49">
        <f t="shared" si="25"/>
        <v>0</v>
      </c>
      <c r="K217" s="49">
        <f t="shared" si="26"/>
        <v>0</v>
      </c>
      <c r="L217" s="52" t="s">
        <v>294</v>
      </c>
    </row>
    <row r="218" spans="1:12" x14ac:dyDescent="0.25">
      <c r="A218" s="48">
        <v>53</v>
      </c>
      <c r="B218" s="40" t="s">
        <v>189</v>
      </c>
      <c r="C218" s="40" t="s">
        <v>101</v>
      </c>
      <c r="D218" s="40" t="s">
        <v>272</v>
      </c>
      <c r="E218" s="43" t="s">
        <v>16</v>
      </c>
      <c r="G218" s="49">
        <f>IF(ISNA(VLOOKUP($B218,'Other Capital Needs'!$C$51:$P$95,J$6,0)),0,VLOOKUP($B218,'Other Capital Needs'!$C$51:$P$95,J$6,0))+IF(ISNA(VLOOKUP('Project Details by Yr'!$B218,'Public Grounds'!$A$11:$N$49,J$6,0)),0,VLOOKUP('Project Details by Yr'!$B218,'Public Grounds'!$A$11:$N$49,J$6,0))+IF(ISNA(VLOOKUP('Project Details by Yr'!$B218,'Public Buildings'!$A$10:$N$96,J$6,0)),0,VLOOKUP('Project Details by Yr'!$B218,'Public Buildings'!$A$10:$N$96,J$6,0))+IF(ISNA(VLOOKUP('Project Details by Yr'!$B218,Bridges!$A$9:$N$24,J$6,0)),0,VLOOKUP('Project Details by Yr'!$B218,Bridges!$A$9:$N$24,J$6,0))+IF(ISNA(VLOOKUP('Project Details by Yr'!$B218,'Parking Lots &amp; Playgrounds'!$A$9:$N$33,J$6,0)),0,VLOOKUP('Project Details by Yr'!$B218,'Parking Lots &amp; Playgrounds'!$A$9:$N$33,J$6,0))+IF(ISNA(VLOOKUP($B218,Vehicles!$B$9:$O$50,J$6,0)),0,VLOOKUP($B218,Vehicles!$B$9:$O$50,J$6,0))</f>
        <v>0</v>
      </c>
      <c r="H218" s="65"/>
      <c r="I218" s="49">
        <f t="shared" si="24"/>
        <v>0</v>
      </c>
      <c r="J218" s="49">
        <f t="shared" si="25"/>
        <v>0</v>
      </c>
      <c r="K218" s="49">
        <f t="shared" si="26"/>
        <v>0</v>
      </c>
    </row>
    <row r="219" spans="1:12" x14ac:dyDescent="0.25">
      <c r="A219" s="48">
        <v>53</v>
      </c>
      <c r="B219" s="40" t="s">
        <v>190</v>
      </c>
      <c r="C219" s="40" t="s">
        <v>101</v>
      </c>
      <c r="D219" s="40" t="s">
        <v>272</v>
      </c>
      <c r="E219" s="43" t="s">
        <v>16</v>
      </c>
      <c r="G219" s="49">
        <f>IF(ISNA(VLOOKUP($B219,'Other Capital Needs'!$C$51:$P$95,J$6,0)),0,VLOOKUP($B219,'Other Capital Needs'!$C$51:$P$95,J$6,0))+IF(ISNA(VLOOKUP('Project Details by Yr'!$B219,'Public Grounds'!$A$11:$N$49,J$6,0)),0,VLOOKUP('Project Details by Yr'!$B219,'Public Grounds'!$A$11:$N$49,J$6,0))+IF(ISNA(VLOOKUP('Project Details by Yr'!$B219,'Public Buildings'!$A$10:$N$96,J$6,0)),0,VLOOKUP('Project Details by Yr'!$B219,'Public Buildings'!$A$10:$N$96,J$6,0))+IF(ISNA(VLOOKUP('Project Details by Yr'!$B219,Bridges!$A$9:$N$24,J$6,0)),0,VLOOKUP('Project Details by Yr'!$B219,Bridges!$A$9:$N$24,J$6,0))+IF(ISNA(VLOOKUP('Project Details by Yr'!$B219,'Parking Lots &amp; Playgrounds'!$A$9:$N$33,J$6,0)),0,VLOOKUP('Project Details by Yr'!$B219,'Parking Lots &amp; Playgrounds'!$A$9:$N$33,J$6,0))+IF(ISNA(VLOOKUP($B219,Vehicles!$B$9:$O$50,J$6,0)),0,VLOOKUP($B219,Vehicles!$B$9:$O$50,J$6,0))</f>
        <v>0</v>
      </c>
      <c r="H219" s="65"/>
      <c r="I219" s="49">
        <f t="shared" si="24"/>
        <v>0</v>
      </c>
      <c r="J219" s="49">
        <f t="shared" si="25"/>
        <v>0</v>
      </c>
      <c r="K219" s="49">
        <f t="shared" si="26"/>
        <v>0</v>
      </c>
    </row>
    <row r="220" spans="1:12" x14ac:dyDescent="0.25">
      <c r="B220" s="40" t="s">
        <v>28</v>
      </c>
      <c r="C220" s="54" t="s">
        <v>46</v>
      </c>
      <c r="D220" s="54" t="s">
        <v>272</v>
      </c>
      <c r="E220" s="43" t="s">
        <v>16</v>
      </c>
      <c r="G220" s="49">
        <f>IF(ISNA(VLOOKUP($B220,'Other Capital Needs'!$C$51:$P$95,J$6,0)),0,VLOOKUP($B220,'Other Capital Needs'!$C$51:$P$95,J$6,0))+IF(ISNA(VLOOKUP('Project Details by Yr'!$B220,'Public Grounds'!$A$11:$N$49,J$6,0)),0,VLOOKUP('Project Details by Yr'!$B220,'Public Grounds'!$A$11:$N$49,J$6,0))+IF(ISNA(VLOOKUP('Project Details by Yr'!$B220,'Public Buildings'!$A$10:$N$96,J$6,0)),0,VLOOKUP('Project Details by Yr'!$B220,'Public Buildings'!$A$10:$N$96,J$6,0))+IF(ISNA(VLOOKUP('Project Details by Yr'!$B220,Bridges!$A$9:$N$24,J$6,0)),0,VLOOKUP('Project Details by Yr'!$B220,Bridges!$A$9:$N$24,J$6,0))+IF(ISNA(VLOOKUP('Project Details by Yr'!$B220,'Parking Lots &amp; Playgrounds'!$A$9:$N$33,J$6,0)),0,VLOOKUP('Project Details by Yr'!$B220,'Parking Lots &amp; Playgrounds'!$A$9:$N$33,J$6,0))+IF(ISNA(VLOOKUP($B220,Vehicles!$B$9:$O$50,J$6,0)),0,VLOOKUP($B220,Vehicles!$B$9:$O$50,J$6,0))</f>
        <v>0</v>
      </c>
      <c r="H220" s="65"/>
      <c r="I220" s="49">
        <f t="shared" si="24"/>
        <v>0</v>
      </c>
      <c r="J220" s="49">
        <f t="shared" si="25"/>
        <v>0</v>
      </c>
      <c r="K220" s="49">
        <f t="shared" si="26"/>
        <v>0</v>
      </c>
      <c r="L220" s="52" t="s">
        <v>297</v>
      </c>
    </row>
    <row r="221" spans="1:12" x14ac:dyDescent="0.25">
      <c r="B221" s="40" t="s">
        <v>29</v>
      </c>
      <c r="C221" s="54" t="s">
        <v>46</v>
      </c>
      <c r="D221" s="54" t="s">
        <v>272</v>
      </c>
      <c r="E221" s="43" t="s">
        <v>16</v>
      </c>
      <c r="G221" s="49">
        <f>IF(ISNA(VLOOKUP($B221,'Other Capital Needs'!$C$51:$P$95,J$6,0)),0,VLOOKUP($B221,'Other Capital Needs'!$C$51:$P$95,J$6,0))+IF(ISNA(VLOOKUP('Project Details by Yr'!$B221,'Public Grounds'!$A$11:$N$49,J$6,0)),0,VLOOKUP('Project Details by Yr'!$B221,'Public Grounds'!$A$11:$N$49,J$6,0))+IF(ISNA(VLOOKUP('Project Details by Yr'!$B221,'Public Buildings'!$A$10:$N$96,J$6,0)),0,VLOOKUP('Project Details by Yr'!$B221,'Public Buildings'!$A$10:$N$96,J$6,0))+IF(ISNA(VLOOKUP('Project Details by Yr'!$B221,Bridges!$A$9:$N$24,J$6,0)),0,VLOOKUP('Project Details by Yr'!$B221,Bridges!$A$9:$N$24,J$6,0))+IF(ISNA(VLOOKUP('Project Details by Yr'!$B221,'Parking Lots &amp; Playgrounds'!$A$9:$N$33,J$6,0)),0,VLOOKUP('Project Details by Yr'!$B221,'Parking Lots &amp; Playgrounds'!$A$9:$N$33,J$6,0))+IF(ISNA(VLOOKUP($B221,Vehicles!$B$9:$O$50,J$6,0)),0,VLOOKUP($B221,Vehicles!$B$9:$O$50,J$6,0))</f>
        <v>80000</v>
      </c>
      <c r="H221" s="65"/>
      <c r="I221" s="49">
        <f t="shared" si="24"/>
        <v>0</v>
      </c>
      <c r="J221" s="49">
        <f t="shared" si="25"/>
        <v>0</v>
      </c>
      <c r="K221" s="49">
        <f t="shared" si="26"/>
        <v>0</v>
      </c>
      <c r="L221" s="52" t="s">
        <v>297</v>
      </c>
    </row>
    <row r="222" spans="1:12" x14ac:dyDescent="0.25">
      <c r="B222" s="40" t="s">
        <v>30</v>
      </c>
      <c r="C222" s="54" t="s">
        <v>46</v>
      </c>
      <c r="D222" s="54" t="s">
        <v>272</v>
      </c>
      <c r="E222" s="43" t="s">
        <v>16</v>
      </c>
      <c r="G222" s="49">
        <f>IF(ISNA(VLOOKUP($B222,'Other Capital Needs'!$C$51:$P$95,J$6,0)),0,VLOOKUP($B222,'Other Capital Needs'!$C$51:$P$95,J$6,0))+IF(ISNA(VLOOKUP('Project Details by Yr'!$B222,'Public Grounds'!$A$11:$N$49,J$6,0)),0,VLOOKUP('Project Details by Yr'!$B222,'Public Grounds'!$A$11:$N$49,J$6,0))+IF(ISNA(VLOOKUP('Project Details by Yr'!$B222,'Public Buildings'!$A$10:$N$96,J$6,0)),0,VLOOKUP('Project Details by Yr'!$B222,'Public Buildings'!$A$10:$N$96,J$6,0))+IF(ISNA(VLOOKUP('Project Details by Yr'!$B222,Bridges!$A$9:$N$24,J$6,0)),0,VLOOKUP('Project Details by Yr'!$B222,Bridges!$A$9:$N$24,J$6,0))+IF(ISNA(VLOOKUP('Project Details by Yr'!$B222,'Parking Lots &amp; Playgrounds'!$A$9:$N$33,J$6,0)),0,VLOOKUP('Project Details by Yr'!$B222,'Parking Lots &amp; Playgrounds'!$A$9:$N$33,J$6,0))+IF(ISNA(VLOOKUP($B222,Vehicles!$B$9:$O$50,J$6,0)),0,VLOOKUP($B222,Vehicles!$B$9:$O$50,J$6,0))</f>
        <v>15000</v>
      </c>
      <c r="H222" s="65"/>
      <c r="I222" s="49">
        <f t="shared" si="24"/>
        <v>0</v>
      </c>
      <c r="J222" s="49">
        <f t="shared" si="25"/>
        <v>0</v>
      </c>
      <c r="K222" s="49">
        <f t="shared" si="26"/>
        <v>0</v>
      </c>
      <c r="L222" s="52" t="s">
        <v>297</v>
      </c>
    </row>
    <row r="223" spans="1:12" x14ac:dyDescent="0.25">
      <c r="B223" s="40" t="s">
        <v>31</v>
      </c>
      <c r="C223" s="54" t="s">
        <v>46</v>
      </c>
      <c r="D223" s="54" t="s">
        <v>272</v>
      </c>
      <c r="E223" s="43" t="s">
        <v>16</v>
      </c>
      <c r="G223" s="49">
        <f>IF(ISNA(VLOOKUP($B223,'Other Capital Needs'!$C$51:$P$95,J$6,0)),0,VLOOKUP($B223,'Other Capital Needs'!$C$51:$P$95,J$6,0))+IF(ISNA(VLOOKUP('Project Details by Yr'!$B223,'Public Grounds'!$A$11:$N$49,J$6,0)),0,VLOOKUP('Project Details by Yr'!$B223,'Public Grounds'!$A$11:$N$49,J$6,0))+IF(ISNA(VLOOKUP('Project Details by Yr'!$B223,'Public Buildings'!$A$10:$N$96,J$6,0)),0,VLOOKUP('Project Details by Yr'!$B223,'Public Buildings'!$A$10:$N$96,J$6,0))+IF(ISNA(VLOOKUP('Project Details by Yr'!$B223,Bridges!$A$9:$N$24,J$6,0)),0,VLOOKUP('Project Details by Yr'!$B223,Bridges!$A$9:$N$24,J$6,0))+IF(ISNA(VLOOKUP('Project Details by Yr'!$B223,'Parking Lots &amp; Playgrounds'!$A$9:$N$33,J$6,0)),0,VLOOKUP('Project Details by Yr'!$B223,'Parking Lots &amp; Playgrounds'!$A$9:$N$33,J$6,0))+IF(ISNA(VLOOKUP($B223,Vehicles!$B$9:$O$50,J$6,0)),0,VLOOKUP($B223,Vehicles!$B$9:$O$50,J$6,0))</f>
        <v>8000</v>
      </c>
      <c r="H223" s="65">
        <v>1</v>
      </c>
      <c r="I223" s="49">
        <f t="shared" si="24"/>
        <v>0</v>
      </c>
      <c r="J223" s="49">
        <f t="shared" si="25"/>
        <v>8000</v>
      </c>
      <c r="K223" s="49">
        <f t="shared" si="26"/>
        <v>0</v>
      </c>
    </row>
    <row r="224" spans="1:12" x14ac:dyDescent="0.25">
      <c r="B224" s="40" t="s">
        <v>32</v>
      </c>
      <c r="C224" s="54" t="s">
        <v>46</v>
      </c>
      <c r="D224" s="54" t="s">
        <v>272</v>
      </c>
      <c r="E224" s="43" t="s">
        <v>16</v>
      </c>
      <c r="G224" s="49">
        <f>IF(ISNA(VLOOKUP($B224,'Other Capital Needs'!$C$51:$P$95,J$6,0)),0,VLOOKUP($B224,'Other Capital Needs'!$C$51:$P$95,J$6,0))+IF(ISNA(VLOOKUP('Project Details by Yr'!$B224,'Public Grounds'!$A$11:$N$49,J$6,0)),0,VLOOKUP('Project Details by Yr'!$B224,'Public Grounds'!$A$11:$N$49,J$6,0))+IF(ISNA(VLOOKUP('Project Details by Yr'!$B224,'Public Buildings'!$A$10:$N$96,J$6,0)),0,VLOOKUP('Project Details by Yr'!$B224,'Public Buildings'!$A$10:$N$96,J$6,0))+IF(ISNA(VLOOKUP('Project Details by Yr'!$B224,Bridges!$A$9:$N$24,J$6,0)),0,VLOOKUP('Project Details by Yr'!$B224,Bridges!$A$9:$N$24,J$6,0))+IF(ISNA(VLOOKUP('Project Details by Yr'!$B224,'Parking Lots &amp; Playgrounds'!$A$9:$N$33,J$6,0)),0,VLOOKUP('Project Details by Yr'!$B224,'Parking Lots &amp; Playgrounds'!$A$9:$N$33,J$6,0))+IF(ISNA(VLOOKUP($B224,Vehicles!$B$9:$O$50,J$6,0)),0,VLOOKUP($B224,Vehicles!$B$9:$O$50,J$6,0))</f>
        <v>17000</v>
      </c>
      <c r="H224" s="65">
        <v>1</v>
      </c>
      <c r="I224" s="49">
        <f t="shared" si="24"/>
        <v>0</v>
      </c>
      <c r="J224" s="49">
        <f t="shared" si="25"/>
        <v>17000</v>
      </c>
      <c r="K224" s="49">
        <f t="shared" si="26"/>
        <v>0</v>
      </c>
    </row>
    <row r="225" spans="2:11" x14ac:dyDescent="0.25">
      <c r="B225" s="40" t="s">
        <v>18</v>
      </c>
      <c r="C225" s="54" t="s">
        <v>46</v>
      </c>
      <c r="D225" s="54" t="s">
        <v>272</v>
      </c>
      <c r="E225" s="43" t="s">
        <v>19</v>
      </c>
      <c r="G225" s="49">
        <f>IF(ISNA(VLOOKUP($B225,'Other Capital Needs'!$C$51:$P$95,J$6,0)),0,VLOOKUP($B225,'Other Capital Needs'!$C$51:$P$95,J$6,0))+IF(ISNA(VLOOKUP('Project Details by Yr'!$B225,'Public Grounds'!$A$11:$N$49,J$6,0)),0,VLOOKUP('Project Details by Yr'!$B225,'Public Grounds'!$A$11:$N$49,J$6,0))+IF(ISNA(VLOOKUP('Project Details by Yr'!$B225,'Public Buildings'!$A$10:$N$96,J$6,0)),0,VLOOKUP('Project Details by Yr'!$B225,'Public Buildings'!$A$10:$N$96,J$6,0))+IF(ISNA(VLOOKUP('Project Details by Yr'!$B225,Bridges!$A$9:$N$24,J$6,0)),0,VLOOKUP('Project Details by Yr'!$B225,Bridges!$A$9:$N$24,J$6,0))+IF(ISNA(VLOOKUP('Project Details by Yr'!$B225,'Parking Lots &amp; Playgrounds'!$A$9:$N$33,J$6,0)),0,VLOOKUP('Project Details by Yr'!$B225,'Parking Lots &amp; Playgrounds'!$A$9:$N$33,J$6,0))+IF(ISNA(VLOOKUP($B225,Vehicles!$B$9:$O$50,J$6,0)),0,VLOOKUP($B225,Vehicles!$B$9:$O$50,J$6,0))</f>
        <v>0</v>
      </c>
      <c r="H225" s="65">
        <v>0</v>
      </c>
      <c r="I225" s="49">
        <f t="shared" si="24"/>
        <v>0</v>
      </c>
      <c r="J225" s="49">
        <f t="shared" si="25"/>
        <v>0</v>
      </c>
      <c r="K225" s="49">
        <f t="shared" si="26"/>
        <v>0</v>
      </c>
    </row>
    <row r="226" spans="2:11" x14ac:dyDescent="0.25">
      <c r="B226" s="40" t="s">
        <v>224</v>
      </c>
      <c r="C226" s="40" t="s">
        <v>47</v>
      </c>
      <c r="D226" s="40" t="s">
        <v>272</v>
      </c>
      <c r="E226" s="43" t="s">
        <v>16</v>
      </c>
      <c r="G226" s="49">
        <f>IF(ISNA(VLOOKUP($B226,'Other Capital Needs'!$C$51:$P$95,J$6,0)),0,VLOOKUP($B226,'Other Capital Needs'!$C$51:$P$95,J$6,0))+IF(ISNA(VLOOKUP('Project Details by Yr'!$B226,'Public Grounds'!$A$11:$N$49,J$6,0)),0,VLOOKUP('Project Details by Yr'!$B226,'Public Grounds'!$A$11:$N$49,J$6,0))+IF(ISNA(VLOOKUP('Project Details by Yr'!$B226,'Public Buildings'!$A$10:$N$96,J$6,0)),0,VLOOKUP('Project Details by Yr'!$B226,'Public Buildings'!$A$10:$N$96,J$6,0))+IF(ISNA(VLOOKUP('Project Details by Yr'!$B226,Bridges!$A$9:$N$24,J$6,0)),0,VLOOKUP('Project Details by Yr'!$B226,Bridges!$A$9:$N$24,J$6,0))+IF(ISNA(VLOOKUP('Project Details by Yr'!$B226,'Parking Lots &amp; Playgrounds'!$A$9:$N$33,J$6,0)),0,VLOOKUP('Project Details by Yr'!$B226,'Parking Lots &amp; Playgrounds'!$A$9:$N$33,J$6,0))+IF(ISNA(VLOOKUP($B226,Vehicles!$B$9:$O$50,J$6,0)),0,VLOOKUP($B226,Vehicles!$B$9:$O$50,J$6,0))</f>
        <v>45000</v>
      </c>
      <c r="H226" s="65">
        <v>1</v>
      </c>
      <c r="I226" s="49">
        <f t="shared" si="24"/>
        <v>0</v>
      </c>
      <c r="J226" s="49">
        <f t="shared" si="25"/>
        <v>45000</v>
      </c>
      <c r="K226" s="49">
        <f t="shared" si="26"/>
        <v>0</v>
      </c>
    </row>
    <row r="227" spans="2:11" x14ac:dyDescent="0.25">
      <c r="B227" s="40" t="s">
        <v>225</v>
      </c>
      <c r="C227" s="40" t="s">
        <v>47</v>
      </c>
      <c r="D227" s="40" t="s">
        <v>272</v>
      </c>
      <c r="E227" s="43" t="s">
        <v>16</v>
      </c>
      <c r="G227" s="49">
        <f>IF(ISNA(VLOOKUP($B227,'Other Capital Needs'!$C$51:$P$95,J$6,0)),0,VLOOKUP($B227,'Other Capital Needs'!$C$51:$P$95,J$6,0))+IF(ISNA(VLOOKUP('Project Details by Yr'!$B227,'Public Grounds'!$A$11:$N$49,J$6,0)),0,VLOOKUP('Project Details by Yr'!$B227,'Public Grounds'!$A$11:$N$49,J$6,0))+IF(ISNA(VLOOKUP('Project Details by Yr'!$B227,'Public Buildings'!$A$10:$N$96,J$6,0)),0,VLOOKUP('Project Details by Yr'!$B227,'Public Buildings'!$A$10:$N$96,J$6,0))+IF(ISNA(VLOOKUP('Project Details by Yr'!$B227,Bridges!$A$9:$N$24,J$6,0)),0,VLOOKUP('Project Details by Yr'!$B227,Bridges!$A$9:$N$24,J$6,0))+IF(ISNA(VLOOKUP('Project Details by Yr'!$B227,'Parking Lots &amp; Playgrounds'!$A$9:$N$33,J$6,0)),0,VLOOKUP('Project Details by Yr'!$B227,'Parking Lots &amp; Playgrounds'!$A$9:$N$33,J$6,0))+IF(ISNA(VLOOKUP($B227,Vehicles!$B$9:$O$50,J$6,0)),0,VLOOKUP($B227,Vehicles!$B$9:$O$50,J$6,0))</f>
        <v>25000</v>
      </c>
      <c r="H227" s="65">
        <v>1</v>
      </c>
      <c r="I227" s="49">
        <f t="shared" si="24"/>
        <v>0</v>
      </c>
      <c r="J227" s="49">
        <f t="shared" si="25"/>
        <v>25000</v>
      </c>
      <c r="K227" s="49">
        <f t="shared" si="26"/>
        <v>0</v>
      </c>
    </row>
    <row r="228" spans="2:11" x14ac:dyDescent="0.25">
      <c r="B228" s="40" t="s">
        <v>191</v>
      </c>
      <c r="C228" s="40" t="s">
        <v>47</v>
      </c>
      <c r="D228" s="40" t="s">
        <v>273</v>
      </c>
      <c r="E228" s="43" t="s">
        <v>16</v>
      </c>
      <c r="G228" s="49">
        <f>IF(ISNA(VLOOKUP($B228,'Other Capital Needs'!$C$51:$P$95,J$6,0)),0,VLOOKUP($B228,'Other Capital Needs'!$C$51:$P$95,J$6,0))+IF(ISNA(VLOOKUP('Project Details by Yr'!$B228,'Public Grounds'!$A$11:$N$49,J$6,0)),0,VLOOKUP('Project Details by Yr'!$B228,'Public Grounds'!$A$11:$N$49,J$6,0))+IF(ISNA(VLOOKUP('Project Details by Yr'!$B228,'Public Buildings'!$A$10:$N$96,J$6,0)),0,VLOOKUP('Project Details by Yr'!$B228,'Public Buildings'!$A$10:$N$96,J$6,0))+IF(ISNA(VLOOKUP('Project Details by Yr'!$B228,Bridges!$A$9:$N$24,J$6,0)),0,VLOOKUP('Project Details by Yr'!$B228,Bridges!$A$9:$N$24,J$6,0))+IF(ISNA(VLOOKUP('Project Details by Yr'!$B228,'Parking Lots &amp; Playgrounds'!$A$9:$N$33,J$6,0)),0,VLOOKUP('Project Details by Yr'!$B228,'Parking Lots &amp; Playgrounds'!$A$9:$N$33,J$6,0))+IF(ISNA(VLOOKUP($B228,Vehicles!$B$9:$O$50,J$6,0)),0,VLOOKUP($B228,Vehicles!$B$9:$O$50,J$6,0))</f>
        <v>10000</v>
      </c>
      <c r="H228" s="65">
        <v>1</v>
      </c>
      <c r="I228" s="49">
        <f t="shared" si="24"/>
        <v>0</v>
      </c>
      <c r="J228" s="49">
        <f t="shared" si="25"/>
        <v>10000</v>
      </c>
      <c r="K228" s="49">
        <f t="shared" si="26"/>
        <v>0</v>
      </c>
    </row>
    <row r="229" spans="2:11" x14ac:dyDescent="0.25">
      <c r="B229" s="40" t="s">
        <v>192</v>
      </c>
      <c r="C229" s="40" t="s">
        <v>47</v>
      </c>
      <c r="D229" s="40" t="s">
        <v>273</v>
      </c>
      <c r="E229" s="43" t="s">
        <v>16</v>
      </c>
      <c r="G229" s="49">
        <f>IF(ISNA(VLOOKUP($B229,'Other Capital Needs'!$C$51:$P$95,J$6,0)),0,VLOOKUP($B229,'Other Capital Needs'!$C$51:$P$95,J$6,0))+IF(ISNA(VLOOKUP('Project Details by Yr'!$B229,'Public Grounds'!$A$11:$N$49,J$6,0)),0,VLOOKUP('Project Details by Yr'!$B229,'Public Grounds'!$A$11:$N$49,J$6,0))+IF(ISNA(VLOOKUP('Project Details by Yr'!$B229,'Public Buildings'!$A$10:$N$96,J$6,0)),0,VLOOKUP('Project Details by Yr'!$B229,'Public Buildings'!$A$10:$N$96,J$6,0))+IF(ISNA(VLOOKUP('Project Details by Yr'!$B229,Bridges!$A$9:$N$24,J$6,0)),0,VLOOKUP('Project Details by Yr'!$B229,Bridges!$A$9:$N$24,J$6,0))+IF(ISNA(VLOOKUP('Project Details by Yr'!$B229,'Parking Lots &amp; Playgrounds'!$A$9:$N$33,J$6,0)),0,VLOOKUP('Project Details by Yr'!$B229,'Parking Lots &amp; Playgrounds'!$A$9:$N$33,J$6,0))+IF(ISNA(VLOOKUP($B229,Vehicles!$B$9:$O$50,J$6,0)),0,VLOOKUP($B229,Vehicles!$B$9:$O$50,J$6,0))</f>
        <v>25000</v>
      </c>
      <c r="H229" s="65">
        <v>1</v>
      </c>
      <c r="I229" s="49">
        <f t="shared" si="24"/>
        <v>0</v>
      </c>
      <c r="J229" s="49">
        <f t="shared" si="25"/>
        <v>25000</v>
      </c>
      <c r="K229" s="49">
        <f t="shared" si="26"/>
        <v>0</v>
      </c>
    </row>
    <row r="230" spans="2:11" x14ac:dyDescent="0.25">
      <c r="B230" s="40" t="s">
        <v>193</v>
      </c>
      <c r="C230" s="40" t="s">
        <v>47</v>
      </c>
      <c r="D230" s="40" t="s">
        <v>273</v>
      </c>
      <c r="E230" s="43" t="s">
        <v>16</v>
      </c>
      <c r="G230" s="49">
        <f>IF(ISNA(VLOOKUP($B230,'Other Capital Needs'!$C$51:$P$95,J$6,0)),0,VLOOKUP($B230,'Other Capital Needs'!$C$51:$P$95,J$6,0))+IF(ISNA(VLOOKUP('Project Details by Yr'!$B230,'Public Grounds'!$A$11:$N$49,J$6,0)),0,VLOOKUP('Project Details by Yr'!$B230,'Public Grounds'!$A$11:$N$49,J$6,0))+IF(ISNA(VLOOKUP('Project Details by Yr'!$B230,'Public Buildings'!$A$10:$N$96,J$6,0)),0,VLOOKUP('Project Details by Yr'!$B230,'Public Buildings'!$A$10:$N$96,J$6,0))+IF(ISNA(VLOOKUP('Project Details by Yr'!$B230,Bridges!$A$9:$N$24,J$6,0)),0,VLOOKUP('Project Details by Yr'!$B230,Bridges!$A$9:$N$24,J$6,0))+IF(ISNA(VLOOKUP('Project Details by Yr'!$B230,'Parking Lots &amp; Playgrounds'!$A$9:$N$33,J$6,0)),0,VLOOKUP('Project Details by Yr'!$B230,'Parking Lots &amp; Playgrounds'!$A$9:$N$33,J$6,0))+IF(ISNA(VLOOKUP($B230,Vehicles!$B$9:$O$50,J$6,0)),0,VLOOKUP($B230,Vehicles!$B$9:$O$50,J$6,0))</f>
        <v>10000</v>
      </c>
      <c r="H230" s="65">
        <v>1</v>
      </c>
      <c r="I230" s="49">
        <f t="shared" si="24"/>
        <v>0</v>
      </c>
      <c r="J230" s="49">
        <f t="shared" si="25"/>
        <v>10000</v>
      </c>
      <c r="K230" s="49">
        <f t="shared" si="26"/>
        <v>0</v>
      </c>
    </row>
    <row r="231" spans="2:11" x14ac:dyDescent="0.25">
      <c r="B231" s="40" t="s">
        <v>194</v>
      </c>
      <c r="C231" s="40" t="s">
        <v>47</v>
      </c>
      <c r="D231" s="40" t="s">
        <v>273</v>
      </c>
      <c r="E231" s="43" t="s">
        <v>16</v>
      </c>
      <c r="G231" s="49">
        <f>IF(ISNA(VLOOKUP($B231,'Other Capital Needs'!$C$51:$P$95,J$6,0)),0,VLOOKUP($B231,'Other Capital Needs'!$C$51:$P$95,J$6,0))+IF(ISNA(VLOOKUP('Project Details by Yr'!$B231,'Public Grounds'!$A$11:$N$49,J$6,0)),0,VLOOKUP('Project Details by Yr'!$B231,'Public Grounds'!$A$11:$N$49,J$6,0))+IF(ISNA(VLOOKUP('Project Details by Yr'!$B231,'Public Buildings'!$A$10:$N$96,J$6,0)),0,VLOOKUP('Project Details by Yr'!$B231,'Public Buildings'!$A$10:$N$96,J$6,0))+IF(ISNA(VLOOKUP('Project Details by Yr'!$B231,Bridges!$A$9:$N$24,J$6,0)),0,VLOOKUP('Project Details by Yr'!$B231,Bridges!$A$9:$N$24,J$6,0))+IF(ISNA(VLOOKUP('Project Details by Yr'!$B231,'Parking Lots &amp; Playgrounds'!$A$9:$N$33,J$6,0)),0,VLOOKUP('Project Details by Yr'!$B231,'Parking Lots &amp; Playgrounds'!$A$9:$N$33,J$6,0))+IF(ISNA(VLOOKUP($B231,Vehicles!$B$9:$O$50,J$6,0)),0,VLOOKUP($B231,Vehicles!$B$9:$O$50,J$6,0))</f>
        <v>500000</v>
      </c>
      <c r="H231" s="65">
        <v>1</v>
      </c>
      <c r="I231" s="49">
        <f t="shared" si="24"/>
        <v>0</v>
      </c>
      <c r="J231" s="49">
        <f t="shared" si="25"/>
        <v>500000</v>
      </c>
      <c r="K231" s="49">
        <f t="shared" si="26"/>
        <v>0</v>
      </c>
    </row>
    <row r="232" spans="2:11" x14ac:dyDescent="0.25">
      <c r="B232" s="40" t="s">
        <v>196</v>
      </c>
      <c r="C232" s="40" t="s">
        <v>47</v>
      </c>
      <c r="D232" s="40" t="s">
        <v>273</v>
      </c>
      <c r="E232" s="43" t="s">
        <v>19</v>
      </c>
      <c r="G232" s="49">
        <f>IF(ISNA(VLOOKUP($B232,'Other Capital Needs'!$C$51:$P$95,J$6,0)),0,VLOOKUP($B232,'Other Capital Needs'!$C$51:$P$95,J$6,0))+IF(ISNA(VLOOKUP('Project Details by Yr'!$B232,'Public Grounds'!$A$11:$N$49,J$6,0)),0,VLOOKUP('Project Details by Yr'!$B232,'Public Grounds'!$A$11:$N$49,J$6,0))+IF(ISNA(VLOOKUP('Project Details by Yr'!$B232,'Public Buildings'!$A$10:$N$96,J$6,0)),0,VLOOKUP('Project Details by Yr'!$B232,'Public Buildings'!$A$10:$N$96,J$6,0))+IF(ISNA(VLOOKUP('Project Details by Yr'!$B232,Bridges!$A$9:$N$24,J$6,0)),0,VLOOKUP('Project Details by Yr'!$B232,Bridges!$A$9:$N$24,J$6,0))+IF(ISNA(VLOOKUP('Project Details by Yr'!$B232,'Parking Lots &amp; Playgrounds'!$A$9:$N$33,J$6,0)),0,VLOOKUP('Project Details by Yr'!$B232,'Parking Lots &amp; Playgrounds'!$A$9:$N$33,J$6,0))+IF(ISNA(VLOOKUP($B232,Vehicles!$B$9:$O$50,J$6,0)),0,VLOOKUP($B232,Vehicles!$B$9:$O$50,J$6,0))</f>
        <v>950000</v>
      </c>
      <c r="H232" s="65">
        <v>0</v>
      </c>
      <c r="I232" s="51">
        <f t="shared" si="24"/>
        <v>0</v>
      </c>
      <c r="J232" s="49">
        <f t="shared" si="25"/>
        <v>0</v>
      </c>
      <c r="K232" s="49">
        <f t="shared" si="26"/>
        <v>0</v>
      </c>
    </row>
    <row r="233" spans="2:11" x14ac:dyDescent="0.25">
      <c r="B233" s="40" t="s">
        <v>197</v>
      </c>
      <c r="C233" s="40" t="s">
        <v>47</v>
      </c>
      <c r="D233" s="40" t="s">
        <v>273</v>
      </c>
      <c r="E233" s="43" t="s">
        <v>16</v>
      </c>
      <c r="G233" s="49">
        <f>IF(ISNA(VLOOKUP($B233,'Other Capital Needs'!$C$51:$P$95,J$6,0)),0,VLOOKUP($B233,'Other Capital Needs'!$C$51:$P$95,J$6,0))+IF(ISNA(VLOOKUP('Project Details by Yr'!$B233,'Public Grounds'!$A$11:$N$49,J$6,0)),0,VLOOKUP('Project Details by Yr'!$B233,'Public Grounds'!$A$11:$N$49,J$6,0))+IF(ISNA(VLOOKUP('Project Details by Yr'!$B233,'Public Buildings'!$A$10:$N$96,J$6,0)),0,VLOOKUP('Project Details by Yr'!$B233,'Public Buildings'!$A$10:$N$96,J$6,0))+IF(ISNA(VLOOKUP('Project Details by Yr'!$B233,Bridges!$A$9:$N$24,J$6,0)),0,VLOOKUP('Project Details by Yr'!$B233,Bridges!$A$9:$N$24,J$6,0))+IF(ISNA(VLOOKUP('Project Details by Yr'!$B233,'Parking Lots &amp; Playgrounds'!$A$9:$N$33,J$6,0)),0,VLOOKUP('Project Details by Yr'!$B233,'Parking Lots &amp; Playgrounds'!$A$9:$N$33,J$6,0))+IF(ISNA(VLOOKUP($B233,Vehicles!$B$9:$O$50,J$6,0)),0,VLOOKUP($B233,Vehicles!$B$9:$O$50,J$6,0))</f>
        <v>200000</v>
      </c>
      <c r="H233" s="65">
        <v>1</v>
      </c>
      <c r="I233" s="49">
        <f t="shared" si="24"/>
        <v>0</v>
      </c>
      <c r="J233" s="49">
        <f t="shared" si="25"/>
        <v>200000</v>
      </c>
      <c r="K233" s="49">
        <f t="shared" si="26"/>
        <v>0</v>
      </c>
    </row>
    <row r="234" spans="2:11" x14ac:dyDescent="0.25">
      <c r="B234" s="40" t="s">
        <v>203</v>
      </c>
      <c r="C234" s="40" t="s">
        <v>47</v>
      </c>
      <c r="D234" s="40" t="s">
        <v>273</v>
      </c>
      <c r="E234" s="43" t="s">
        <v>16</v>
      </c>
      <c r="G234" s="49">
        <f>IF(ISNA(VLOOKUP($B234,'Other Capital Needs'!$C$51:$P$95,J$6,0)),0,VLOOKUP($B234,'Other Capital Needs'!$C$51:$P$95,J$6,0))+IF(ISNA(VLOOKUP('Project Details by Yr'!$B234,'Public Grounds'!$A$11:$N$49,J$6,0)),0,VLOOKUP('Project Details by Yr'!$B234,'Public Grounds'!$A$11:$N$49,J$6,0))+IF(ISNA(VLOOKUP('Project Details by Yr'!$B234,'Public Buildings'!$A$10:$N$96,J$6,0)),0,VLOOKUP('Project Details by Yr'!$B234,'Public Buildings'!$A$10:$N$96,J$6,0))+IF(ISNA(VLOOKUP('Project Details by Yr'!$B234,Bridges!$A$9:$N$24,J$6,0)),0,VLOOKUP('Project Details by Yr'!$B234,Bridges!$A$9:$N$24,J$6,0))+IF(ISNA(VLOOKUP('Project Details by Yr'!$B234,'Parking Lots &amp; Playgrounds'!$A$9:$N$33,J$6,0)),0,VLOOKUP('Project Details by Yr'!$B234,'Parking Lots &amp; Playgrounds'!$A$9:$N$33,J$6,0))+IF(ISNA(VLOOKUP($B234,Vehicles!$B$9:$O$50,J$6,0)),0,VLOOKUP($B234,Vehicles!$B$9:$O$50,J$6,0))</f>
        <v>45000</v>
      </c>
      <c r="H234" s="65">
        <v>1</v>
      </c>
      <c r="I234" s="49">
        <f t="shared" si="24"/>
        <v>0</v>
      </c>
      <c r="J234" s="49">
        <f t="shared" si="25"/>
        <v>45000</v>
      </c>
      <c r="K234" s="49">
        <f t="shared" si="26"/>
        <v>0</v>
      </c>
    </row>
    <row r="235" spans="2:11" x14ac:dyDescent="0.25">
      <c r="B235" s="40" t="s">
        <v>97</v>
      </c>
      <c r="C235" s="40" t="s">
        <v>91</v>
      </c>
      <c r="D235" s="40" t="s">
        <v>272</v>
      </c>
      <c r="E235" s="43" t="s">
        <v>16</v>
      </c>
      <c r="G235" s="49">
        <f>IF(ISNA(VLOOKUP($B235,'Other Capital Needs'!$C$51:$P$95,J$6,0)),0,VLOOKUP($B235,'Other Capital Needs'!$C$51:$P$95,J$6,0))+IF(ISNA(VLOOKUP('Project Details by Yr'!$B235,'Public Grounds'!$A$11:$N$49,J$6,0)),0,VLOOKUP('Project Details by Yr'!$B235,'Public Grounds'!$A$11:$N$49,J$6,0))+IF(ISNA(VLOOKUP('Project Details by Yr'!$B235,'Public Buildings'!$A$10:$N$96,J$6,0)),0,VLOOKUP('Project Details by Yr'!$B235,'Public Buildings'!$A$10:$N$96,J$6,0))+IF(ISNA(VLOOKUP('Project Details by Yr'!$B235,Bridges!$A$9:$N$24,J$6,0)),0,VLOOKUP('Project Details by Yr'!$B235,Bridges!$A$9:$N$24,J$6,0))+IF(ISNA(VLOOKUP('Project Details by Yr'!$B235,'Parking Lots &amp; Playgrounds'!$A$9:$N$33,J$6,0)),0,VLOOKUP('Project Details by Yr'!$B235,'Parking Lots &amp; Playgrounds'!$A$9:$N$33,J$6,0))+IF(ISNA(VLOOKUP($B235,Vehicles!$B$9:$O$50,J$6,0)),0,VLOOKUP($B235,Vehicles!$B$9:$O$50,J$6,0))</f>
        <v>325000</v>
      </c>
      <c r="H235" s="65">
        <v>1</v>
      </c>
      <c r="I235" s="49">
        <f t="shared" si="24"/>
        <v>0</v>
      </c>
      <c r="J235" s="49">
        <f t="shared" si="25"/>
        <v>325000</v>
      </c>
      <c r="K235" s="49">
        <f t="shared" si="26"/>
        <v>0</v>
      </c>
    </row>
    <row r="236" spans="2:11" x14ac:dyDescent="0.25">
      <c r="B236" s="40" t="s">
        <v>124</v>
      </c>
      <c r="C236" s="40" t="s">
        <v>49</v>
      </c>
      <c r="D236" s="40" t="s">
        <v>272</v>
      </c>
      <c r="E236" s="43" t="s">
        <v>16</v>
      </c>
      <c r="G236" s="49">
        <f>IF(ISNA(VLOOKUP($B236,'Other Capital Needs'!$C$51:$P$95,J$6,0)),0,VLOOKUP($B236,'Other Capital Needs'!$C$51:$P$95,J$6,0))+IF(ISNA(VLOOKUP('Project Details by Yr'!$B236,'Public Grounds'!$A$11:$N$49,J$6,0)),0,VLOOKUP('Project Details by Yr'!$B236,'Public Grounds'!$A$11:$N$49,J$6,0))+IF(ISNA(VLOOKUP('Project Details by Yr'!$B236,'Public Buildings'!$A$10:$N$96,J$6,0)),0,VLOOKUP('Project Details by Yr'!$B236,'Public Buildings'!$A$10:$N$96,J$6,0))+IF(ISNA(VLOOKUP('Project Details by Yr'!$B236,Bridges!$A$9:$N$24,J$6,0)),0,VLOOKUP('Project Details by Yr'!$B236,Bridges!$A$9:$N$24,J$6,0))+IF(ISNA(VLOOKUP('Project Details by Yr'!$B236,'Parking Lots &amp; Playgrounds'!$A$9:$N$33,J$6,0)),0,VLOOKUP('Project Details by Yr'!$B236,'Parking Lots &amp; Playgrounds'!$A$9:$N$33,J$6,0))+IF(ISNA(VLOOKUP($B236,Vehicles!$B$9:$O$50,J$6,0)),0,VLOOKUP($B236,Vehicles!$B$9:$O$50,J$6,0))</f>
        <v>125000</v>
      </c>
      <c r="H236" s="65">
        <v>1</v>
      </c>
      <c r="I236" s="49">
        <f t="shared" si="24"/>
        <v>0</v>
      </c>
      <c r="J236" s="49">
        <f t="shared" si="25"/>
        <v>125000</v>
      </c>
      <c r="K236" s="49">
        <f t="shared" si="26"/>
        <v>0</v>
      </c>
    </row>
    <row r="237" spans="2:11" x14ac:dyDescent="0.25">
      <c r="B237" s="40" t="s">
        <v>128</v>
      </c>
      <c r="C237" s="40" t="s">
        <v>49</v>
      </c>
      <c r="D237" s="40" t="s">
        <v>272</v>
      </c>
      <c r="E237" s="43" t="s">
        <v>16</v>
      </c>
      <c r="G237" s="49">
        <f>IF(ISNA(VLOOKUP($B237,'Other Capital Needs'!$C$51:$P$95,J$6,0)),0,VLOOKUP($B237,'Other Capital Needs'!$C$51:$P$95,J$6,0))+IF(ISNA(VLOOKUP('Project Details by Yr'!$B237,'Public Grounds'!$A$11:$N$49,J$6,0)),0,VLOOKUP('Project Details by Yr'!$B237,'Public Grounds'!$A$11:$N$49,J$6,0))+IF(ISNA(VLOOKUP('Project Details by Yr'!$B237,'Public Buildings'!$A$10:$N$96,J$6,0)),0,VLOOKUP('Project Details by Yr'!$B237,'Public Buildings'!$A$10:$N$96,J$6,0))+IF(ISNA(VLOOKUP('Project Details by Yr'!$B237,Bridges!$A$9:$N$24,J$6,0)),0,VLOOKUP('Project Details by Yr'!$B237,Bridges!$A$9:$N$24,J$6,0))+IF(ISNA(VLOOKUP('Project Details by Yr'!$B237,'Parking Lots &amp; Playgrounds'!$A$9:$N$33,J$6,0)),0,VLOOKUP('Project Details by Yr'!$B237,'Parking Lots &amp; Playgrounds'!$A$9:$N$33,J$6,0))+IF(ISNA(VLOOKUP($B237,Vehicles!$B$9:$O$50,J$6,0)),0,VLOOKUP($B237,Vehicles!$B$9:$O$50,J$6,0))</f>
        <v>28000</v>
      </c>
      <c r="H237" s="65">
        <v>1</v>
      </c>
      <c r="I237" s="49">
        <f t="shared" si="24"/>
        <v>0</v>
      </c>
      <c r="J237" s="49">
        <f t="shared" si="25"/>
        <v>28000</v>
      </c>
      <c r="K237" s="49">
        <f t="shared" si="26"/>
        <v>0</v>
      </c>
    </row>
    <row r="238" spans="2:11" x14ac:dyDescent="0.25">
      <c r="B238" t="s">
        <v>309</v>
      </c>
      <c r="C238" s="40" t="s">
        <v>49</v>
      </c>
      <c r="D238" s="40" t="s">
        <v>272</v>
      </c>
      <c r="E238" s="43" t="s">
        <v>16</v>
      </c>
      <c r="G238" s="49">
        <f>IF(ISNA(VLOOKUP($B238,'Other Capital Needs'!$C$51:$P$95,J$6,0)),0,VLOOKUP($B238,'Other Capital Needs'!$C$51:$P$95,J$6,0))+IF(ISNA(VLOOKUP('Project Details by Yr'!$B238,'Public Grounds'!$A$11:$N$49,J$6,0)),0,VLOOKUP('Project Details by Yr'!$B238,'Public Grounds'!$A$11:$N$49,J$6,0))+IF(ISNA(VLOOKUP('Project Details by Yr'!$B238,'Public Buildings'!$A$10:$N$96,J$6,0)),0,VLOOKUP('Project Details by Yr'!$B238,'Public Buildings'!$A$10:$N$96,J$6,0))+IF(ISNA(VLOOKUP('Project Details by Yr'!$B238,Bridges!$A$9:$N$24,J$6,0)),0,VLOOKUP('Project Details by Yr'!$B238,Bridges!$A$9:$N$24,J$6,0))+IF(ISNA(VLOOKUP('Project Details by Yr'!$B238,'Parking Lots &amp; Playgrounds'!$A$9:$N$33,J$6,0)),0,VLOOKUP('Project Details by Yr'!$B238,'Parking Lots &amp; Playgrounds'!$A$9:$N$33,J$6,0))+IF(ISNA(VLOOKUP($B238,Vehicles!$B$9:$O$50,J$6,0)),0,VLOOKUP($B238,Vehicles!$B$9:$O$50,J$6,0))</f>
        <v>60000</v>
      </c>
      <c r="H238" s="65">
        <v>1</v>
      </c>
      <c r="I238" s="49">
        <f t="shared" ref="I238" si="27">IF($H238=1,IF($E238="Bond",$G238,IF(E238="BAN",$G238,0)),0)</f>
        <v>0</v>
      </c>
      <c r="J238" s="49">
        <f t="shared" si="25"/>
        <v>60000</v>
      </c>
      <c r="K238" s="49">
        <f t="shared" si="26"/>
        <v>0</v>
      </c>
    </row>
    <row r="239" spans="2:11" x14ac:dyDescent="0.25">
      <c r="B239" s="40" t="s">
        <v>120</v>
      </c>
      <c r="C239" s="40" t="s">
        <v>49</v>
      </c>
      <c r="D239" s="40" t="s">
        <v>272</v>
      </c>
      <c r="E239" s="43" t="s">
        <v>16</v>
      </c>
      <c r="G239" s="49">
        <f>IF(ISNA(VLOOKUP($B239,'Other Capital Needs'!$C$51:$P$95,J$6,0)),0,VLOOKUP($B239,'Other Capital Needs'!$C$51:$P$95,J$6,0))+IF(ISNA(VLOOKUP('Project Details by Yr'!$B239,'Public Grounds'!$A$11:$N$49,J$6,0)),0,VLOOKUP('Project Details by Yr'!$B239,'Public Grounds'!$A$11:$N$49,J$6,0))+IF(ISNA(VLOOKUP('Project Details by Yr'!$B239,'Public Buildings'!$A$10:$N$96,J$6,0)),0,VLOOKUP('Project Details by Yr'!$B239,'Public Buildings'!$A$10:$N$96,J$6,0))+IF(ISNA(VLOOKUP('Project Details by Yr'!$B239,Bridges!$A$9:$N$24,J$6,0)),0,VLOOKUP('Project Details by Yr'!$B239,Bridges!$A$9:$N$24,J$6,0))+IF(ISNA(VLOOKUP('Project Details by Yr'!$B239,'Parking Lots &amp; Playgrounds'!$A$9:$N$33,J$6,0)),0,VLOOKUP('Project Details by Yr'!$B239,'Parking Lots &amp; Playgrounds'!$A$9:$N$33,J$6,0))+IF(ISNA(VLOOKUP($B239,Vehicles!$B$9:$O$50,J$6,0)),0,VLOOKUP($B239,Vehicles!$B$9:$O$50,J$6,0))</f>
        <v>200000</v>
      </c>
      <c r="H239" s="65">
        <v>1</v>
      </c>
      <c r="I239" s="49">
        <f t="shared" si="24"/>
        <v>0</v>
      </c>
      <c r="J239" s="49">
        <f t="shared" si="25"/>
        <v>200000</v>
      </c>
      <c r="K239" s="49">
        <f t="shared" si="26"/>
        <v>0</v>
      </c>
    </row>
    <row r="240" spans="2:11" x14ac:dyDescent="0.25">
      <c r="B240" s="40" t="s">
        <v>122</v>
      </c>
      <c r="C240" s="40" t="s">
        <v>49</v>
      </c>
      <c r="D240" s="40" t="s">
        <v>272</v>
      </c>
      <c r="E240" s="43" t="s">
        <v>16</v>
      </c>
      <c r="G240" s="49">
        <f>IF(ISNA(VLOOKUP($B240,'Other Capital Needs'!$C$51:$P$95,J$6,0)),0,VLOOKUP($B240,'Other Capital Needs'!$C$51:$P$95,J$6,0))+IF(ISNA(VLOOKUP('Project Details by Yr'!$B240,'Public Grounds'!$A$11:$N$49,J$6,0)),0,VLOOKUP('Project Details by Yr'!$B240,'Public Grounds'!$A$11:$N$49,J$6,0))+IF(ISNA(VLOOKUP('Project Details by Yr'!$B240,'Public Buildings'!$A$10:$N$96,J$6,0)),0,VLOOKUP('Project Details by Yr'!$B240,'Public Buildings'!$A$10:$N$96,J$6,0))+IF(ISNA(VLOOKUP('Project Details by Yr'!$B240,Bridges!$A$9:$N$24,J$6,0)),0,VLOOKUP('Project Details by Yr'!$B240,Bridges!$A$9:$N$24,J$6,0))+IF(ISNA(VLOOKUP('Project Details by Yr'!$B240,'Parking Lots &amp; Playgrounds'!$A$9:$N$33,J$6,0)),0,VLOOKUP('Project Details by Yr'!$B240,'Parking Lots &amp; Playgrounds'!$A$9:$N$33,J$6,0))+IF(ISNA(VLOOKUP($B240,Vehicles!$B$9:$O$50,J$6,0)),0,VLOOKUP($B240,Vehicles!$B$9:$O$50,J$6,0))</f>
        <v>38633</v>
      </c>
      <c r="H240" s="65">
        <v>1</v>
      </c>
      <c r="I240" s="49">
        <f t="shared" si="24"/>
        <v>0</v>
      </c>
      <c r="J240" s="49">
        <f t="shared" si="25"/>
        <v>38633</v>
      </c>
      <c r="K240" s="49">
        <f t="shared" si="26"/>
        <v>0</v>
      </c>
    </row>
    <row r="241" spans="2:12" x14ac:dyDescent="0.25">
      <c r="B241" s="40" t="s">
        <v>123</v>
      </c>
      <c r="C241" s="40" t="s">
        <v>49</v>
      </c>
      <c r="D241" s="40" t="s">
        <v>272</v>
      </c>
      <c r="E241" s="43" t="s">
        <v>16</v>
      </c>
      <c r="G241" s="49">
        <f>IF(ISNA(VLOOKUP($B241,'Other Capital Needs'!$C$51:$P$95,J$6,0)),0,VLOOKUP($B241,'Other Capital Needs'!$C$51:$P$95,J$6,0))+IF(ISNA(VLOOKUP('Project Details by Yr'!$B241,'Public Grounds'!$A$11:$N$49,J$6,0)),0,VLOOKUP('Project Details by Yr'!$B241,'Public Grounds'!$A$11:$N$49,J$6,0))+IF(ISNA(VLOOKUP('Project Details by Yr'!$B241,'Public Buildings'!$A$10:$N$96,J$6,0)),0,VLOOKUP('Project Details by Yr'!$B241,'Public Buildings'!$A$10:$N$96,J$6,0))+IF(ISNA(VLOOKUP('Project Details by Yr'!$B241,Bridges!$A$9:$N$24,J$6,0)),0,VLOOKUP('Project Details by Yr'!$B241,Bridges!$A$9:$N$24,J$6,0))+IF(ISNA(VLOOKUP('Project Details by Yr'!$B241,'Parking Lots &amp; Playgrounds'!$A$9:$N$33,J$6,0)),0,VLOOKUP('Project Details by Yr'!$B241,'Parking Lots &amp; Playgrounds'!$A$9:$N$33,J$6,0))+IF(ISNA(VLOOKUP($B241,Vehicles!$B$9:$O$50,J$6,0)),0,VLOOKUP($B241,Vehicles!$B$9:$O$50,J$6,0))</f>
        <v>0</v>
      </c>
      <c r="H241" s="65"/>
      <c r="I241" s="49">
        <f t="shared" si="24"/>
        <v>0</v>
      </c>
      <c r="J241" s="49">
        <f t="shared" si="25"/>
        <v>0</v>
      </c>
      <c r="K241" s="49">
        <f t="shared" si="26"/>
        <v>0</v>
      </c>
      <c r="L241" s="52" t="s">
        <v>290</v>
      </c>
    </row>
    <row r="242" spans="2:12" x14ac:dyDescent="0.25">
      <c r="B242" s="40" t="s">
        <v>118</v>
      </c>
      <c r="C242" s="40" t="s">
        <v>49</v>
      </c>
      <c r="D242" s="40" t="s">
        <v>272</v>
      </c>
      <c r="E242" s="43" t="s">
        <v>16</v>
      </c>
      <c r="G242" s="49">
        <f>IF(ISNA(VLOOKUP($B242,'Other Capital Needs'!$C$51:$P$95,J$6,0)),0,VLOOKUP($B242,'Other Capital Needs'!$C$51:$P$95,J$6,0))+IF(ISNA(VLOOKUP('Project Details by Yr'!$B242,'Public Grounds'!$A$11:$N$49,J$6,0)),0,VLOOKUP('Project Details by Yr'!$B242,'Public Grounds'!$A$11:$N$49,J$6,0))+IF(ISNA(VLOOKUP('Project Details by Yr'!$B242,'Public Buildings'!$A$10:$N$96,J$6,0)),0,VLOOKUP('Project Details by Yr'!$B242,'Public Buildings'!$A$10:$N$96,J$6,0))+IF(ISNA(VLOOKUP('Project Details by Yr'!$B242,Bridges!$A$9:$N$24,J$6,0)),0,VLOOKUP('Project Details by Yr'!$B242,Bridges!$A$9:$N$24,J$6,0))+IF(ISNA(VLOOKUP('Project Details by Yr'!$B242,'Parking Lots &amp; Playgrounds'!$A$9:$N$33,J$6,0)),0,VLOOKUP('Project Details by Yr'!$B242,'Parking Lots &amp; Playgrounds'!$A$9:$N$33,J$6,0))+IF(ISNA(VLOOKUP($B242,Vehicles!$B$9:$O$50,J$6,0)),0,VLOOKUP($B242,Vehicles!$B$9:$O$50,J$6,0))</f>
        <v>35074</v>
      </c>
      <c r="H242" s="65">
        <v>1</v>
      </c>
      <c r="I242" s="49">
        <f t="shared" si="24"/>
        <v>0</v>
      </c>
      <c r="J242" s="49">
        <f t="shared" si="25"/>
        <v>35074</v>
      </c>
      <c r="K242" s="49">
        <f t="shared" si="26"/>
        <v>0</v>
      </c>
    </row>
    <row r="243" spans="2:12" x14ac:dyDescent="0.25">
      <c r="B243" s="40" t="s">
        <v>117</v>
      </c>
      <c r="C243" s="40" t="s">
        <v>49</v>
      </c>
      <c r="D243" s="40" t="s">
        <v>272</v>
      </c>
      <c r="E243" s="43" t="s">
        <v>16</v>
      </c>
      <c r="G243" s="49">
        <f>IF(ISNA(VLOOKUP($B243,'Other Capital Needs'!$C$51:$P$95,J$6,0)),0,VLOOKUP($B243,'Other Capital Needs'!$C$51:$P$95,J$6,0))+IF(ISNA(VLOOKUP('Project Details by Yr'!$B243,'Public Grounds'!$A$11:$N$49,J$6,0)),0,VLOOKUP('Project Details by Yr'!$B243,'Public Grounds'!$A$11:$N$49,J$6,0))+IF(ISNA(VLOOKUP('Project Details by Yr'!$B243,'Public Buildings'!$A$10:$N$96,J$6,0)),0,VLOOKUP('Project Details by Yr'!$B243,'Public Buildings'!$A$10:$N$96,J$6,0))+IF(ISNA(VLOOKUP('Project Details by Yr'!$B243,Bridges!$A$9:$N$24,J$6,0)),0,VLOOKUP('Project Details by Yr'!$B243,Bridges!$A$9:$N$24,J$6,0))+IF(ISNA(VLOOKUP('Project Details by Yr'!$B243,'Parking Lots &amp; Playgrounds'!$A$9:$N$33,J$6,0)),0,VLOOKUP('Project Details by Yr'!$B243,'Parking Lots &amp; Playgrounds'!$A$9:$N$33,J$6,0))+IF(ISNA(VLOOKUP($B243,Vehicles!$B$9:$O$50,J$6,0)),0,VLOOKUP($B243,Vehicles!$B$9:$O$50,J$6,0))</f>
        <v>75000</v>
      </c>
      <c r="H243" s="65">
        <v>1</v>
      </c>
      <c r="I243" s="49">
        <f t="shared" si="24"/>
        <v>0</v>
      </c>
      <c r="J243" s="49">
        <f t="shared" si="25"/>
        <v>75000</v>
      </c>
      <c r="K243" s="49">
        <f t="shared" si="26"/>
        <v>0</v>
      </c>
    </row>
    <row r="244" spans="2:12" x14ac:dyDescent="0.25">
      <c r="B244" s="40" t="s">
        <v>132</v>
      </c>
      <c r="C244" s="40" t="s">
        <v>49</v>
      </c>
      <c r="D244" s="40" t="s">
        <v>272</v>
      </c>
      <c r="E244" s="43" t="s">
        <v>16</v>
      </c>
      <c r="G244" s="49">
        <f>IF(ISNA(VLOOKUP($B244,'Other Capital Needs'!$C$51:$P$95,J$6,0)),0,VLOOKUP($B244,'Other Capital Needs'!$C$51:$P$95,J$6,0))+IF(ISNA(VLOOKUP('Project Details by Yr'!$B244,'Public Grounds'!$A$11:$N$49,J$6,0)),0,VLOOKUP('Project Details by Yr'!$B244,'Public Grounds'!$A$11:$N$49,J$6,0))+IF(ISNA(VLOOKUP('Project Details by Yr'!$B244,'Public Buildings'!$A$10:$N$96,J$6,0)),0,VLOOKUP('Project Details by Yr'!$B244,'Public Buildings'!$A$10:$N$96,J$6,0))+IF(ISNA(VLOOKUP('Project Details by Yr'!$B244,Bridges!$A$9:$N$24,J$6,0)),0,VLOOKUP('Project Details by Yr'!$B244,Bridges!$A$9:$N$24,J$6,0))+IF(ISNA(VLOOKUP('Project Details by Yr'!$B244,'Parking Lots &amp; Playgrounds'!$A$9:$N$33,J$6,0)),0,VLOOKUP('Project Details by Yr'!$B244,'Parking Lots &amp; Playgrounds'!$A$9:$N$33,J$6,0))+IF(ISNA(VLOOKUP($B244,Vehicles!$B$9:$O$50,J$6,0)),0,VLOOKUP($B244,Vehicles!$B$9:$O$50,J$6,0))</f>
        <v>7500</v>
      </c>
      <c r="H244" s="65">
        <v>1</v>
      </c>
      <c r="I244" s="49">
        <f t="shared" si="24"/>
        <v>0</v>
      </c>
      <c r="J244" s="49">
        <f t="shared" si="25"/>
        <v>7500</v>
      </c>
      <c r="K244" s="49">
        <f t="shared" si="26"/>
        <v>0</v>
      </c>
    </row>
    <row r="245" spans="2:12" x14ac:dyDescent="0.25">
      <c r="B245" s="40" t="s">
        <v>136</v>
      </c>
      <c r="C245" s="40" t="s">
        <v>49</v>
      </c>
      <c r="D245" s="40" t="s">
        <v>272</v>
      </c>
      <c r="E245" s="43" t="s">
        <v>16</v>
      </c>
      <c r="G245" s="49">
        <f>IF(ISNA(VLOOKUP($B245,'Other Capital Needs'!$C$51:$P$95,J$6,0)),0,VLOOKUP($B245,'Other Capital Needs'!$C$51:$P$95,J$6,0))+IF(ISNA(VLOOKUP('Project Details by Yr'!$B245,'Public Grounds'!$A$11:$N$49,J$6,0)),0,VLOOKUP('Project Details by Yr'!$B245,'Public Grounds'!$A$11:$N$49,J$6,0))+IF(ISNA(VLOOKUP('Project Details by Yr'!$B245,'Public Buildings'!$A$10:$N$96,J$6,0)),0,VLOOKUP('Project Details by Yr'!$B245,'Public Buildings'!$A$10:$N$96,J$6,0))+IF(ISNA(VLOOKUP('Project Details by Yr'!$B245,Bridges!$A$9:$N$24,J$6,0)),0,VLOOKUP('Project Details by Yr'!$B245,Bridges!$A$9:$N$24,J$6,0))+IF(ISNA(VLOOKUP('Project Details by Yr'!$B245,'Parking Lots &amp; Playgrounds'!$A$9:$N$33,J$6,0)),0,VLOOKUP('Project Details by Yr'!$B245,'Parking Lots &amp; Playgrounds'!$A$9:$N$33,J$6,0))+IF(ISNA(VLOOKUP($B245,Vehicles!$B$9:$O$50,J$6,0)),0,VLOOKUP($B245,Vehicles!$B$9:$O$50,J$6,0))</f>
        <v>26266</v>
      </c>
      <c r="H245" s="65">
        <v>1</v>
      </c>
      <c r="I245" s="49">
        <f t="shared" si="24"/>
        <v>0</v>
      </c>
      <c r="J245" s="49">
        <f t="shared" si="25"/>
        <v>26266</v>
      </c>
      <c r="K245" s="49">
        <f t="shared" si="26"/>
        <v>0</v>
      </c>
    </row>
    <row r="246" spans="2:12" x14ac:dyDescent="0.25">
      <c r="B246" s="40" t="s">
        <v>138</v>
      </c>
      <c r="C246" s="40" t="s">
        <v>49</v>
      </c>
      <c r="D246" s="40" t="s">
        <v>272</v>
      </c>
      <c r="E246" s="43" t="s">
        <v>16</v>
      </c>
      <c r="G246" s="49">
        <f>IF(ISNA(VLOOKUP($B246,'Other Capital Needs'!$C$51:$P$95,J$6,0)),0,VLOOKUP($B246,'Other Capital Needs'!$C$51:$P$95,J$6,0))+IF(ISNA(VLOOKUP('Project Details by Yr'!$B246,'Public Grounds'!$A$11:$N$49,J$6,0)),0,VLOOKUP('Project Details by Yr'!$B246,'Public Grounds'!$A$11:$N$49,J$6,0))+IF(ISNA(VLOOKUP('Project Details by Yr'!$B246,'Public Buildings'!$A$10:$N$96,J$6,0)),0,VLOOKUP('Project Details by Yr'!$B246,'Public Buildings'!$A$10:$N$96,J$6,0))+IF(ISNA(VLOOKUP('Project Details by Yr'!$B246,Bridges!$A$9:$N$24,J$6,0)),0,VLOOKUP('Project Details by Yr'!$B246,Bridges!$A$9:$N$24,J$6,0))+IF(ISNA(VLOOKUP('Project Details by Yr'!$B246,'Parking Lots &amp; Playgrounds'!$A$9:$N$33,J$6,0)),0,VLOOKUP('Project Details by Yr'!$B246,'Parking Lots &amp; Playgrounds'!$A$9:$N$33,J$6,0))+IF(ISNA(VLOOKUP($B246,Vehicles!$B$9:$O$50,J$6,0)),0,VLOOKUP($B246,Vehicles!$B$9:$O$50,J$6,0))</f>
        <v>50000</v>
      </c>
      <c r="H246" s="65">
        <v>1</v>
      </c>
      <c r="I246" s="49">
        <f t="shared" si="24"/>
        <v>0</v>
      </c>
      <c r="J246" s="49">
        <f t="shared" si="25"/>
        <v>50000</v>
      </c>
      <c r="K246" s="49">
        <f t="shared" si="26"/>
        <v>0</v>
      </c>
    </row>
    <row r="247" spans="2:12" x14ac:dyDescent="0.25">
      <c r="B247" s="40" t="s">
        <v>139</v>
      </c>
      <c r="C247" s="40" t="s">
        <v>49</v>
      </c>
      <c r="D247" s="40" t="s">
        <v>273</v>
      </c>
      <c r="E247" s="43" t="s">
        <v>16</v>
      </c>
      <c r="G247" s="49">
        <f>IF(ISNA(VLOOKUP($B247,'Other Capital Needs'!$C$51:$P$95,J$6,0)),0,VLOOKUP($B247,'Other Capital Needs'!$C$51:$P$95,J$6,0))+IF(ISNA(VLOOKUP('Project Details by Yr'!$B247,'Public Grounds'!$A$11:$N$49,J$6,0)),0,VLOOKUP('Project Details by Yr'!$B247,'Public Grounds'!$A$11:$N$49,J$6,0))+IF(ISNA(VLOOKUP('Project Details by Yr'!$B247,'Public Buildings'!$A$10:$N$96,J$6,0)),0,VLOOKUP('Project Details by Yr'!$B247,'Public Buildings'!$A$10:$N$96,J$6,0))+IF(ISNA(VLOOKUP('Project Details by Yr'!$B247,Bridges!$A$9:$N$24,J$6,0)),0,VLOOKUP('Project Details by Yr'!$B247,Bridges!$A$9:$N$24,J$6,0))+IF(ISNA(VLOOKUP('Project Details by Yr'!$B247,'Parking Lots &amp; Playgrounds'!$A$9:$N$33,J$6,0)),0,VLOOKUP('Project Details by Yr'!$B247,'Parking Lots &amp; Playgrounds'!$A$9:$N$33,J$6,0))+IF(ISNA(VLOOKUP($B247,Vehicles!$B$9:$O$50,J$6,0)),0,VLOOKUP($B247,Vehicles!$B$9:$O$50,J$6,0))</f>
        <v>41718</v>
      </c>
      <c r="H247" s="65">
        <v>1</v>
      </c>
      <c r="I247" s="49">
        <f t="shared" si="24"/>
        <v>0</v>
      </c>
      <c r="J247" s="49">
        <f t="shared" si="25"/>
        <v>41718</v>
      </c>
      <c r="K247" s="49">
        <f t="shared" si="26"/>
        <v>0</v>
      </c>
    </row>
    <row r="248" spans="2:12" x14ac:dyDescent="0.25">
      <c r="E248" s="43"/>
      <c r="G248" s="49"/>
      <c r="H248" s="65"/>
      <c r="I248" s="49"/>
      <c r="J248" s="49"/>
      <c r="K248" s="49"/>
    </row>
    <row r="249" spans="2:12" x14ac:dyDescent="0.25">
      <c r="B249" s="40" t="s">
        <v>274</v>
      </c>
      <c r="C249" s="40" t="s">
        <v>250</v>
      </c>
      <c r="D249" s="40" t="s">
        <v>272</v>
      </c>
      <c r="E249" s="43" t="s">
        <v>16</v>
      </c>
      <c r="G249" s="49">
        <f>Summary!H38</f>
        <v>1500000</v>
      </c>
      <c r="H249" s="65">
        <v>1</v>
      </c>
      <c r="I249" s="49">
        <f t="shared" si="24"/>
        <v>0</v>
      </c>
      <c r="J249" s="49">
        <f t="shared" si="25"/>
        <v>1500000</v>
      </c>
      <c r="K249" s="49">
        <f t="shared" si="26"/>
        <v>0</v>
      </c>
    </row>
    <row r="250" spans="2:12" x14ac:dyDescent="0.25">
      <c r="B250" s="40" t="s">
        <v>274</v>
      </c>
      <c r="C250" s="40" t="s">
        <v>250</v>
      </c>
      <c r="D250" s="40" t="s">
        <v>272</v>
      </c>
      <c r="E250" s="43" t="s">
        <v>19</v>
      </c>
      <c r="G250" s="49">
        <f>Summary!H41</f>
        <v>0</v>
      </c>
      <c r="H250" s="65">
        <v>1</v>
      </c>
      <c r="I250" s="49">
        <f t="shared" si="24"/>
        <v>0</v>
      </c>
      <c r="J250" s="49">
        <f t="shared" si="25"/>
        <v>0</v>
      </c>
      <c r="K250" s="49">
        <f t="shared" si="26"/>
        <v>0</v>
      </c>
    </row>
    <row r="251" spans="2:12" x14ac:dyDescent="0.25">
      <c r="B251" s="40" t="s">
        <v>205</v>
      </c>
      <c r="C251" s="40" t="s">
        <v>48</v>
      </c>
      <c r="D251" s="40" t="s">
        <v>272</v>
      </c>
      <c r="E251" s="43" t="s">
        <v>16</v>
      </c>
      <c r="G251" s="49">
        <f>IF(ISNA(VLOOKUP($B251,'Other Capital Needs'!$C$51:$P$95,J$6,0)),0,VLOOKUP($B251,'Other Capital Needs'!$C$51:$P$95,J$6,0))+IF(ISNA(VLOOKUP('Project Details by Yr'!$B251,'Public Grounds'!$A$11:$N$49,J$6,0)),0,VLOOKUP('Project Details by Yr'!$B251,'Public Grounds'!$A$11:$N$49,J$6,0))+IF(ISNA(VLOOKUP('Project Details by Yr'!$B251,'Public Buildings'!$A$10:$N$96,J$6,0)),0,VLOOKUP('Project Details by Yr'!$B251,'Public Buildings'!$A$10:$N$96,J$6,0))+IF(ISNA(VLOOKUP('Project Details by Yr'!$B251,Bridges!$A$9:$N$24,J$6,0)),0,VLOOKUP('Project Details by Yr'!$B251,Bridges!$A$9:$N$24,J$6,0))+IF(ISNA(VLOOKUP('Project Details by Yr'!$B251,'Parking Lots &amp; Playgrounds'!$A$9:$N$33,J$6,0)),0,VLOOKUP('Project Details by Yr'!$B251,'Parking Lots &amp; Playgrounds'!$A$9:$N$33,J$6,0))+IF(ISNA(VLOOKUP($B251,Vehicles!$B$9:$O$50,J$6,0)),0,VLOOKUP($B251,Vehicles!$B$9:$O$50,J$6,0))</f>
        <v>250000</v>
      </c>
      <c r="H251" s="65">
        <v>1</v>
      </c>
      <c r="I251" s="49">
        <f t="shared" si="24"/>
        <v>0</v>
      </c>
      <c r="J251" s="49">
        <f t="shared" si="25"/>
        <v>250000</v>
      </c>
      <c r="K251" s="49">
        <f t="shared" si="26"/>
        <v>0</v>
      </c>
    </row>
    <row r="252" spans="2:12" x14ac:dyDescent="0.25">
      <c r="E252" s="43"/>
      <c r="G252" s="49"/>
      <c r="H252" s="65"/>
      <c r="I252" s="62"/>
      <c r="K252" s="62"/>
    </row>
    <row r="253" spans="2:12" ht="15.75" thickBot="1" x14ac:dyDescent="0.3">
      <c r="G253" s="58">
        <f>SUM(G205:G252)</f>
        <v>4943691</v>
      </c>
      <c r="H253" s="59">
        <f>SUM(H205:H252)</f>
        <v>34</v>
      </c>
      <c r="I253" s="58">
        <f>SUM(I205:I252)</f>
        <v>0</v>
      </c>
      <c r="J253" s="58">
        <f>SUM(J205:J252)</f>
        <v>3778691</v>
      </c>
      <c r="K253" s="58">
        <f>SUM(K205:K252)</f>
        <v>120000</v>
      </c>
    </row>
    <row r="254" spans="2:12" ht="15.75" thickTop="1" x14ac:dyDescent="0.25">
      <c r="G254" s="60" t="e">
        <f>G253-Summary!H96</f>
        <v>#REF!</v>
      </c>
      <c r="H254" s="66"/>
      <c r="I254" s="63"/>
      <c r="K254" s="63"/>
    </row>
    <row r="257" spans="1:12" x14ac:dyDescent="0.25">
      <c r="B257" s="46" t="s">
        <v>275</v>
      </c>
      <c r="C257" s="46" t="s">
        <v>246</v>
      </c>
      <c r="D257" s="46" t="s">
        <v>276</v>
      </c>
      <c r="E257" s="46" t="s">
        <v>271</v>
      </c>
      <c r="G257" s="46" t="s">
        <v>7</v>
      </c>
      <c r="H257" s="47" t="s">
        <v>285</v>
      </c>
      <c r="I257" s="46" t="s">
        <v>19</v>
      </c>
      <c r="J257" s="46" t="s">
        <v>16</v>
      </c>
      <c r="K257" s="46" t="s">
        <v>286</v>
      </c>
    </row>
    <row r="258" spans="1:12" x14ac:dyDescent="0.25">
      <c r="E258" s="43"/>
      <c r="H258" s="66"/>
      <c r="I258" s="61"/>
      <c r="J258" s="61"/>
    </row>
    <row r="259" spans="1:12" x14ac:dyDescent="0.25">
      <c r="A259" s="48" t="s">
        <v>210</v>
      </c>
      <c r="B259" s="40" t="s">
        <v>204</v>
      </c>
      <c r="C259" s="40" t="s">
        <v>101</v>
      </c>
      <c r="D259" s="40" t="s">
        <v>272</v>
      </c>
      <c r="E259" s="43" t="s">
        <v>16</v>
      </c>
      <c r="G259" s="49">
        <f>IF(ISNA(VLOOKUP($B259,'Other Capital Needs'!$C$51:$P$95,K$6,0)),0,VLOOKUP($B259,'Other Capital Needs'!$C$51:$P$95,K$6,0))+IF(ISNA(VLOOKUP('Project Details by Yr'!$B259,'Public Grounds'!$A$11:$N$49,K$6,0)),0,VLOOKUP('Project Details by Yr'!$B259,'Public Grounds'!$A$11:$N$49,K$6,0))+IF(ISNA(VLOOKUP('Project Details by Yr'!$B259,'Public Buildings'!$A$10:$N$96,K$6,0)),0,VLOOKUP('Project Details by Yr'!$B259,'Public Buildings'!$A$10:$N$96,K$6,0))+IF(ISNA(VLOOKUP('Project Details by Yr'!$B259,Bridges!$A$9:$N$24,K$6,0)),0,VLOOKUP('Project Details by Yr'!$B259,Bridges!$A$9:$N$24,K$6,0))+IF(ISNA(VLOOKUP('Project Details by Yr'!$B259,'Parking Lots &amp; Playgrounds'!$A$9:$N$33,K$6,0)),0,VLOOKUP('Project Details by Yr'!$B259,'Parking Lots &amp; Playgrounds'!$A$9:$N$33,K$6,0))+IF(ISNA(VLOOKUP($B259,Vehicles!$B$9:$O$50,K$6,0)),0,VLOOKUP($B259,Vehicles!$B$9:$O$50,K$6,0))</f>
        <v>96700</v>
      </c>
      <c r="H259" s="65">
        <v>1</v>
      </c>
      <c r="I259" s="49">
        <f t="shared" ref="I259:I294" si="28">IF($H259=1,IF($E259="Bond",$G259,IF(E259="BAN",$G259,0)),0)</f>
        <v>0</v>
      </c>
      <c r="J259" s="49">
        <f t="shared" ref="J259:J297" si="29">IF($H259=1,IF($E259="GF",$G259,0),0)</f>
        <v>96700</v>
      </c>
      <c r="K259" s="49">
        <f t="shared" ref="K259:K297" si="30">IF($H259=1,IF($E259="Grant",$G259,0),0)</f>
        <v>0</v>
      </c>
    </row>
    <row r="260" spans="1:12" x14ac:dyDescent="0.25">
      <c r="A260" s="48">
        <v>32</v>
      </c>
      <c r="B260" s="54" t="s">
        <v>168</v>
      </c>
      <c r="C260" s="40" t="s">
        <v>101</v>
      </c>
      <c r="D260" s="40" t="s">
        <v>272</v>
      </c>
      <c r="E260" s="53" t="s">
        <v>16</v>
      </c>
      <c r="G260" s="49">
        <f>IF(ISNA(VLOOKUP($B260,'Other Capital Needs'!$C$51:$P$95,K$6,0)),0,VLOOKUP($B260,'Other Capital Needs'!$C$51:$P$95,K$6,0))+IF(ISNA(VLOOKUP('Project Details by Yr'!$B260,'Public Grounds'!$A$11:$N$49,K$6,0)),0,VLOOKUP('Project Details by Yr'!$B260,'Public Grounds'!$A$11:$N$49,K$6,0))+IF(ISNA(VLOOKUP('Project Details by Yr'!$B260,'Public Buildings'!$A$10:$N$96,K$6,0)),0,VLOOKUP('Project Details by Yr'!$B260,'Public Buildings'!$A$10:$N$96,K$6,0))+IF(ISNA(VLOOKUP('Project Details by Yr'!$B260,Bridges!$A$9:$N$24,K$6,0)),0,VLOOKUP('Project Details by Yr'!$B260,Bridges!$A$9:$N$24,K$6,0))+IF(ISNA(VLOOKUP('Project Details by Yr'!$B260,'Parking Lots &amp; Playgrounds'!$A$9:$N$33,K$6,0)),0,VLOOKUP('Project Details by Yr'!$B260,'Parking Lots &amp; Playgrounds'!$A$9:$N$33,K$6,0))+IF(ISNA(VLOOKUP($B260,Vehicles!$B$9:$O$50,K$6,0)),0,VLOOKUP($B260,Vehicles!$B$9:$O$50,K$6,0))</f>
        <v>0</v>
      </c>
      <c r="H260" s="65">
        <v>1</v>
      </c>
      <c r="I260" s="49">
        <f t="shared" si="28"/>
        <v>0</v>
      </c>
      <c r="J260" s="49">
        <f t="shared" si="29"/>
        <v>0</v>
      </c>
      <c r="K260" s="49">
        <f t="shared" si="30"/>
        <v>0</v>
      </c>
    </row>
    <row r="261" spans="1:12" x14ac:dyDescent="0.25">
      <c r="A261" s="48">
        <v>32</v>
      </c>
      <c r="B261" s="54" t="s">
        <v>169</v>
      </c>
      <c r="C261" s="40" t="s">
        <v>101</v>
      </c>
      <c r="D261" s="40" t="s">
        <v>272</v>
      </c>
      <c r="E261" s="53" t="s">
        <v>16</v>
      </c>
      <c r="G261" s="49">
        <f>IF(ISNA(VLOOKUP($B261,'Other Capital Needs'!$C$51:$P$95,K$6,0)),0,VLOOKUP($B261,'Other Capital Needs'!$C$51:$P$95,K$6,0))+IF(ISNA(VLOOKUP('Project Details by Yr'!$B261,'Public Grounds'!$A$11:$N$49,K$6,0)),0,VLOOKUP('Project Details by Yr'!$B261,'Public Grounds'!$A$11:$N$49,K$6,0))+IF(ISNA(VLOOKUP('Project Details by Yr'!$B261,'Public Buildings'!$A$10:$N$96,K$6,0)),0,VLOOKUP('Project Details by Yr'!$B261,'Public Buildings'!$A$10:$N$96,K$6,0))+IF(ISNA(VLOOKUP('Project Details by Yr'!$B261,Bridges!$A$9:$N$24,K$6,0)),0,VLOOKUP('Project Details by Yr'!$B261,Bridges!$A$9:$N$24,K$6,0))+IF(ISNA(VLOOKUP('Project Details by Yr'!$B261,'Parking Lots &amp; Playgrounds'!$A$9:$N$33,K$6,0)),0,VLOOKUP('Project Details by Yr'!$B261,'Parking Lots &amp; Playgrounds'!$A$9:$N$33,K$6,0))+IF(ISNA(VLOOKUP($B261,Vehicles!$B$9:$O$50,K$6,0)),0,VLOOKUP($B261,Vehicles!$B$9:$O$50,K$6,0))</f>
        <v>0</v>
      </c>
      <c r="H261" s="65">
        <v>1</v>
      </c>
      <c r="I261" s="49">
        <f t="shared" si="28"/>
        <v>0</v>
      </c>
      <c r="J261" s="49">
        <f t="shared" si="29"/>
        <v>0</v>
      </c>
      <c r="K261" s="49">
        <f t="shared" si="30"/>
        <v>0</v>
      </c>
    </row>
    <row r="262" spans="1:12" x14ac:dyDescent="0.25">
      <c r="A262" s="48">
        <v>32</v>
      </c>
      <c r="B262" s="54" t="s">
        <v>174</v>
      </c>
      <c r="C262" s="40" t="s">
        <v>101</v>
      </c>
      <c r="D262" s="40" t="s">
        <v>272</v>
      </c>
      <c r="E262" s="53" t="s">
        <v>16</v>
      </c>
      <c r="G262" s="49">
        <f>IF(ISNA(VLOOKUP($B262,'Other Capital Needs'!$C$51:$P$95,K$6,0)),0,VLOOKUP($B262,'Other Capital Needs'!$C$51:$P$95,K$6,0))+IF(ISNA(VLOOKUP('Project Details by Yr'!$B262,'Public Grounds'!$A$11:$N$49,K$6,0)),0,VLOOKUP('Project Details by Yr'!$B262,'Public Grounds'!$A$11:$N$49,K$6,0))+IF(ISNA(VLOOKUP('Project Details by Yr'!$B262,'Public Buildings'!$A$10:$N$96,K$6,0)),0,VLOOKUP('Project Details by Yr'!$B262,'Public Buildings'!$A$10:$N$96,K$6,0))+IF(ISNA(VLOOKUP('Project Details by Yr'!$B262,Bridges!$A$9:$N$24,K$6,0)),0,VLOOKUP('Project Details by Yr'!$B262,Bridges!$A$9:$N$24,K$6,0))+IF(ISNA(VLOOKUP('Project Details by Yr'!$B262,'Parking Lots &amp; Playgrounds'!$A$9:$N$33,K$6,0)),0,VLOOKUP('Project Details by Yr'!$B262,'Parking Lots &amp; Playgrounds'!$A$9:$N$33,K$6,0))+IF(ISNA(VLOOKUP($B262,Vehicles!$B$9:$O$50,K$6,0)),0,VLOOKUP($B262,Vehicles!$B$9:$O$50,K$6,0))</f>
        <v>0</v>
      </c>
      <c r="H262" s="65">
        <v>1</v>
      </c>
      <c r="I262" s="49">
        <f t="shared" si="28"/>
        <v>0</v>
      </c>
      <c r="J262" s="49">
        <f t="shared" si="29"/>
        <v>0</v>
      </c>
      <c r="K262" s="49">
        <f t="shared" si="30"/>
        <v>0</v>
      </c>
    </row>
    <row r="263" spans="1:12" x14ac:dyDescent="0.25">
      <c r="A263" s="48">
        <v>32</v>
      </c>
      <c r="B263" s="54" t="s">
        <v>175</v>
      </c>
      <c r="C263" s="54" t="s">
        <v>101</v>
      </c>
      <c r="D263" s="54" t="s">
        <v>272</v>
      </c>
      <c r="E263" s="53" t="s">
        <v>16</v>
      </c>
      <c r="F263" s="54"/>
      <c r="G263" s="49">
        <f>IF(ISNA(VLOOKUP($B263,'Other Capital Needs'!$C$51:$P$95,K$6,0)),0,VLOOKUP($B263,'Other Capital Needs'!$C$51:$P$95,K$6,0))+IF(ISNA(VLOOKUP('Project Details by Yr'!$B263,'Public Grounds'!$A$11:$N$49,K$6,0)),0,VLOOKUP('Project Details by Yr'!$B263,'Public Grounds'!$A$11:$N$49,K$6,0))+IF(ISNA(VLOOKUP('Project Details by Yr'!$B263,'Public Buildings'!$A$10:$N$96,K$6,0)),0,VLOOKUP('Project Details by Yr'!$B263,'Public Buildings'!$A$10:$N$96,K$6,0))+IF(ISNA(VLOOKUP('Project Details by Yr'!$B263,Bridges!$A$9:$N$24,K$6,0)),0,VLOOKUP('Project Details by Yr'!$B263,Bridges!$A$9:$N$24,K$6,0))+IF(ISNA(VLOOKUP('Project Details by Yr'!$B263,'Parking Lots &amp; Playgrounds'!$A$9:$N$33,K$6,0)),0,VLOOKUP('Project Details by Yr'!$B263,'Parking Lots &amp; Playgrounds'!$A$9:$N$33,K$6,0))+IF(ISNA(VLOOKUP($B263,Vehicles!$B$9:$O$50,K$6,0)),0,VLOOKUP($B263,Vehicles!$B$9:$O$50,K$6,0))</f>
        <v>0</v>
      </c>
      <c r="H263" s="65">
        <v>1</v>
      </c>
      <c r="I263" s="49">
        <f t="shared" si="28"/>
        <v>0</v>
      </c>
      <c r="J263" s="49">
        <f t="shared" si="29"/>
        <v>0</v>
      </c>
      <c r="K263" s="49">
        <f t="shared" si="30"/>
        <v>0</v>
      </c>
    </row>
    <row r="264" spans="1:12" x14ac:dyDescent="0.25">
      <c r="A264" s="48">
        <v>36</v>
      </c>
      <c r="B264" s="54" t="s">
        <v>177</v>
      </c>
      <c r="C264" s="54" t="s">
        <v>101</v>
      </c>
      <c r="D264" s="54" t="s">
        <v>272</v>
      </c>
      <c r="E264" s="53" t="s">
        <v>16</v>
      </c>
      <c r="F264" s="54"/>
      <c r="G264" s="49">
        <f>IF(ISNA(VLOOKUP($B264,'Other Capital Needs'!$C$51:$P$95,K$6,0)),0,VLOOKUP($B264,'Other Capital Needs'!$C$51:$P$95,K$6,0))+IF(ISNA(VLOOKUP('Project Details by Yr'!$B264,'Public Grounds'!$A$11:$N$49,K$6,0)),0,VLOOKUP('Project Details by Yr'!$B264,'Public Grounds'!$A$11:$N$49,K$6,0))+IF(ISNA(VLOOKUP('Project Details by Yr'!$B264,'Public Buildings'!$A$10:$N$96,K$6,0)),0,VLOOKUP('Project Details by Yr'!$B264,'Public Buildings'!$A$10:$N$96,K$6,0))+IF(ISNA(VLOOKUP('Project Details by Yr'!$B264,Bridges!$A$9:$N$24,K$6,0)),0,VLOOKUP('Project Details by Yr'!$B264,Bridges!$A$9:$N$24,K$6,0))+IF(ISNA(VLOOKUP('Project Details by Yr'!$B264,'Parking Lots &amp; Playgrounds'!$A$9:$N$33,K$6,0)),0,VLOOKUP('Project Details by Yr'!$B264,'Parking Lots &amp; Playgrounds'!$A$9:$N$33,K$6,0))+IF(ISNA(VLOOKUP($B264,Vehicles!$B$9:$O$50,K$6,0)),0,VLOOKUP($B264,Vehicles!$B$9:$O$50,K$6,0))</f>
        <v>0</v>
      </c>
      <c r="H264" s="65">
        <v>1</v>
      </c>
      <c r="I264" s="49">
        <f t="shared" si="28"/>
        <v>0</v>
      </c>
      <c r="J264" s="49">
        <f t="shared" si="29"/>
        <v>0</v>
      </c>
      <c r="K264" s="49">
        <f t="shared" si="30"/>
        <v>0</v>
      </c>
    </row>
    <row r="265" spans="1:12" x14ac:dyDescent="0.25">
      <c r="A265" s="48">
        <v>36</v>
      </c>
      <c r="B265" s="54" t="s">
        <v>179</v>
      </c>
      <c r="C265" s="54" t="s">
        <v>101</v>
      </c>
      <c r="D265" s="54" t="s">
        <v>272</v>
      </c>
      <c r="E265" s="53" t="s">
        <v>286</v>
      </c>
      <c r="F265" s="54"/>
      <c r="G265" s="49">
        <f>IF(ISNA(VLOOKUP($B265,'Other Capital Needs'!$C$51:$P$95,K$6,0)),0,VLOOKUP($B265,'Other Capital Needs'!$C$51:$P$95,K$6,0))+IF(ISNA(VLOOKUP('Project Details by Yr'!$B265,'Public Grounds'!$A$11:$N$49,K$6,0)),0,VLOOKUP('Project Details by Yr'!$B265,'Public Grounds'!$A$11:$N$49,K$6,0))+IF(ISNA(VLOOKUP('Project Details by Yr'!$B265,'Public Buildings'!$A$10:$N$96,K$6,0)),0,VLOOKUP('Project Details by Yr'!$B265,'Public Buildings'!$A$10:$N$96,K$6,0))+IF(ISNA(VLOOKUP('Project Details by Yr'!$B265,Bridges!$A$9:$N$24,K$6,0)),0,VLOOKUP('Project Details by Yr'!$B265,Bridges!$A$9:$N$24,K$6,0))+IF(ISNA(VLOOKUP('Project Details by Yr'!$B265,'Parking Lots &amp; Playgrounds'!$A$9:$N$33,K$6,0)),0,VLOOKUP('Project Details by Yr'!$B265,'Parking Lots &amp; Playgrounds'!$A$9:$N$33,K$6,0))+IF(ISNA(VLOOKUP($B265,Vehicles!$B$9:$O$50,K$6,0)),0,VLOOKUP($B265,Vehicles!$B$9:$O$50,K$6,0))</f>
        <v>120000</v>
      </c>
      <c r="H265" s="65">
        <v>1</v>
      </c>
      <c r="I265" s="49">
        <f t="shared" si="28"/>
        <v>0</v>
      </c>
      <c r="J265" s="49">
        <f t="shared" si="29"/>
        <v>0</v>
      </c>
      <c r="K265" s="49">
        <f t="shared" si="30"/>
        <v>120000</v>
      </c>
    </row>
    <row r="266" spans="1:12" x14ac:dyDescent="0.25">
      <c r="A266" s="48">
        <v>42</v>
      </c>
      <c r="B266" s="40" t="s">
        <v>184</v>
      </c>
      <c r="C266" s="40" t="s">
        <v>101</v>
      </c>
      <c r="D266" s="40" t="s">
        <v>272</v>
      </c>
      <c r="E266" s="43" t="s">
        <v>16</v>
      </c>
      <c r="G266" s="49">
        <f>IF(ISNA(VLOOKUP($B266,'Other Capital Needs'!$C$51:$P$95,K$6,0)),0,VLOOKUP($B266,'Other Capital Needs'!$C$51:$P$95,K$6,0))+IF(ISNA(VLOOKUP('Project Details by Yr'!$B266,'Public Grounds'!$A$11:$N$49,K$6,0)),0,VLOOKUP('Project Details by Yr'!$B266,'Public Grounds'!$A$11:$N$49,K$6,0))+IF(ISNA(VLOOKUP('Project Details by Yr'!$B266,'Public Buildings'!$A$10:$N$96,K$6,0)),0,VLOOKUP('Project Details by Yr'!$B266,'Public Buildings'!$A$10:$N$96,K$6,0))+IF(ISNA(VLOOKUP('Project Details by Yr'!$B266,Bridges!$A$9:$N$24,K$6,0)),0,VLOOKUP('Project Details by Yr'!$B266,Bridges!$A$9:$N$24,K$6,0))+IF(ISNA(VLOOKUP('Project Details by Yr'!$B266,'Parking Lots &amp; Playgrounds'!$A$9:$N$33,K$6,0)),0,VLOOKUP('Project Details by Yr'!$B266,'Parking Lots &amp; Playgrounds'!$A$9:$N$33,K$6,0))+IF(ISNA(VLOOKUP($B266,Vehicles!$B$9:$O$50,K$6,0)),0,VLOOKUP($B266,Vehicles!$B$9:$O$50,K$6,0))</f>
        <v>0</v>
      </c>
      <c r="H266" s="65"/>
      <c r="I266" s="49">
        <f t="shared" si="28"/>
        <v>0</v>
      </c>
      <c r="J266" s="49">
        <f t="shared" si="29"/>
        <v>0</v>
      </c>
      <c r="K266" s="49">
        <f t="shared" si="30"/>
        <v>0</v>
      </c>
    </row>
    <row r="267" spans="1:12" x14ac:dyDescent="0.25">
      <c r="A267" s="48">
        <v>43</v>
      </c>
      <c r="B267" s="40" t="s">
        <v>185</v>
      </c>
      <c r="C267" s="40" t="s">
        <v>101</v>
      </c>
      <c r="D267" s="40" t="s">
        <v>272</v>
      </c>
      <c r="E267" s="43" t="s">
        <v>16</v>
      </c>
      <c r="G267" s="49">
        <f>IF(ISNA(VLOOKUP($B267,'Other Capital Needs'!$C$51:$P$95,K$6,0)),0,VLOOKUP($B267,'Other Capital Needs'!$C$51:$P$95,K$6,0))+IF(ISNA(VLOOKUP('Project Details by Yr'!$B267,'Public Grounds'!$A$11:$N$49,K$6,0)),0,VLOOKUP('Project Details by Yr'!$B267,'Public Grounds'!$A$11:$N$49,K$6,0))+IF(ISNA(VLOOKUP('Project Details by Yr'!$B267,'Public Buildings'!$A$10:$N$96,K$6,0)),0,VLOOKUP('Project Details by Yr'!$B267,'Public Buildings'!$A$10:$N$96,K$6,0))+IF(ISNA(VLOOKUP('Project Details by Yr'!$B267,Bridges!$A$9:$N$24,K$6,0)),0,VLOOKUP('Project Details by Yr'!$B267,Bridges!$A$9:$N$24,K$6,0))+IF(ISNA(VLOOKUP('Project Details by Yr'!$B267,'Parking Lots &amp; Playgrounds'!$A$9:$N$33,K$6,0)),0,VLOOKUP('Project Details by Yr'!$B267,'Parking Lots &amp; Playgrounds'!$A$9:$N$33,K$6,0))+IF(ISNA(VLOOKUP($B267,Vehicles!$B$9:$O$50,K$6,0)),0,VLOOKUP($B267,Vehicles!$B$9:$O$50,K$6,0))</f>
        <v>0</v>
      </c>
      <c r="H267" s="65"/>
      <c r="I267" s="49">
        <f t="shared" si="28"/>
        <v>0</v>
      </c>
      <c r="J267" s="49">
        <f t="shared" si="29"/>
        <v>0</v>
      </c>
      <c r="K267" s="49">
        <f t="shared" si="30"/>
        <v>0</v>
      </c>
      <c r="L267" s="52" t="s">
        <v>294</v>
      </c>
    </row>
    <row r="268" spans="1:12" x14ac:dyDescent="0.25">
      <c r="A268" s="48">
        <v>43</v>
      </c>
      <c r="B268" s="40" t="s">
        <v>186</v>
      </c>
      <c r="C268" s="40" t="s">
        <v>101</v>
      </c>
      <c r="D268" s="40" t="s">
        <v>272</v>
      </c>
      <c r="E268" s="43" t="s">
        <v>16</v>
      </c>
      <c r="G268" s="49">
        <f>IF(ISNA(VLOOKUP($B268,'Other Capital Needs'!$C$51:$P$95,K$6,0)),0,VLOOKUP($B268,'Other Capital Needs'!$C$51:$P$95,K$6,0))+IF(ISNA(VLOOKUP('Project Details by Yr'!$B268,'Public Grounds'!$A$11:$N$49,K$6,0)),0,VLOOKUP('Project Details by Yr'!$B268,'Public Grounds'!$A$11:$N$49,K$6,0))+IF(ISNA(VLOOKUP('Project Details by Yr'!$B268,'Public Buildings'!$A$10:$N$96,K$6,0)),0,VLOOKUP('Project Details by Yr'!$B268,'Public Buildings'!$A$10:$N$96,K$6,0))+IF(ISNA(VLOOKUP('Project Details by Yr'!$B268,Bridges!$A$9:$N$24,K$6,0)),0,VLOOKUP('Project Details by Yr'!$B268,Bridges!$A$9:$N$24,K$6,0))+IF(ISNA(VLOOKUP('Project Details by Yr'!$B268,'Parking Lots &amp; Playgrounds'!$A$9:$N$33,K$6,0)),0,VLOOKUP('Project Details by Yr'!$B268,'Parking Lots &amp; Playgrounds'!$A$9:$N$33,K$6,0))+IF(ISNA(VLOOKUP($B268,Vehicles!$B$9:$O$50,K$6,0)),0,VLOOKUP($B268,Vehicles!$B$9:$O$50,K$6,0))</f>
        <v>0</v>
      </c>
      <c r="H268" s="65"/>
      <c r="I268" s="49">
        <f t="shared" si="28"/>
        <v>0</v>
      </c>
      <c r="J268" s="49">
        <f t="shared" si="29"/>
        <v>0</v>
      </c>
      <c r="K268" s="49">
        <f t="shared" si="30"/>
        <v>0</v>
      </c>
      <c r="L268" s="52" t="s">
        <v>294</v>
      </c>
    </row>
    <row r="269" spans="1:12" x14ac:dyDescent="0.25">
      <c r="A269" s="48">
        <v>53</v>
      </c>
      <c r="B269" s="40" t="s">
        <v>189</v>
      </c>
      <c r="C269" s="40" t="s">
        <v>101</v>
      </c>
      <c r="D269" s="40" t="s">
        <v>272</v>
      </c>
      <c r="E269" s="43" t="s">
        <v>16</v>
      </c>
      <c r="G269" s="49">
        <f>IF(ISNA(VLOOKUP($B269,'Other Capital Needs'!$C$51:$P$95,K$6,0)),0,VLOOKUP($B269,'Other Capital Needs'!$C$51:$P$95,K$6,0))+IF(ISNA(VLOOKUP('Project Details by Yr'!$B269,'Public Grounds'!$A$11:$N$49,K$6,0)),0,VLOOKUP('Project Details by Yr'!$B269,'Public Grounds'!$A$11:$N$49,K$6,0))+IF(ISNA(VLOOKUP('Project Details by Yr'!$B269,'Public Buildings'!$A$10:$N$96,K$6,0)),0,VLOOKUP('Project Details by Yr'!$B269,'Public Buildings'!$A$10:$N$96,K$6,0))+IF(ISNA(VLOOKUP('Project Details by Yr'!$B269,Bridges!$A$9:$N$24,K$6,0)),0,VLOOKUP('Project Details by Yr'!$B269,Bridges!$A$9:$N$24,K$6,0))+IF(ISNA(VLOOKUP('Project Details by Yr'!$B269,'Parking Lots &amp; Playgrounds'!$A$9:$N$33,K$6,0)),0,VLOOKUP('Project Details by Yr'!$B269,'Parking Lots &amp; Playgrounds'!$A$9:$N$33,K$6,0))+IF(ISNA(VLOOKUP($B269,Vehicles!$B$9:$O$50,K$6,0)),0,VLOOKUP($B269,Vehicles!$B$9:$O$50,K$6,0))</f>
        <v>0</v>
      </c>
      <c r="H269" s="65"/>
      <c r="I269" s="49">
        <f t="shared" si="28"/>
        <v>0</v>
      </c>
      <c r="J269" s="49">
        <f t="shared" si="29"/>
        <v>0</v>
      </c>
      <c r="K269" s="49">
        <f t="shared" si="30"/>
        <v>0</v>
      </c>
    </row>
    <row r="270" spans="1:12" x14ac:dyDescent="0.25">
      <c r="A270" s="48">
        <v>53</v>
      </c>
      <c r="B270" s="40" t="s">
        <v>190</v>
      </c>
      <c r="C270" s="40" t="s">
        <v>101</v>
      </c>
      <c r="D270" s="40" t="s">
        <v>272</v>
      </c>
      <c r="E270" s="43" t="s">
        <v>16</v>
      </c>
      <c r="G270" s="49">
        <f>IF(ISNA(VLOOKUP($B270,'Other Capital Needs'!$C$51:$P$95,K$6,0)),0,VLOOKUP($B270,'Other Capital Needs'!$C$51:$P$95,K$6,0))+IF(ISNA(VLOOKUP('Project Details by Yr'!$B270,'Public Grounds'!$A$11:$N$49,K$6,0)),0,VLOOKUP('Project Details by Yr'!$B270,'Public Grounds'!$A$11:$N$49,K$6,0))+IF(ISNA(VLOOKUP('Project Details by Yr'!$B270,'Public Buildings'!$A$10:$N$96,K$6,0)),0,VLOOKUP('Project Details by Yr'!$B270,'Public Buildings'!$A$10:$N$96,K$6,0))+IF(ISNA(VLOOKUP('Project Details by Yr'!$B270,Bridges!$A$9:$N$24,K$6,0)),0,VLOOKUP('Project Details by Yr'!$B270,Bridges!$A$9:$N$24,K$6,0))+IF(ISNA(VLOOKUP('Project Details by Yr'!$B270,'Parking Lots &amp; Playgrounds'!$A$9:$N$33,K$6,0)),0,VLOOKUP('Project Details by Yr'!$B270,'Parking Lots &amp; Playgrounds'!$A$9:$N$33,K$6,0))+IF(ISNA(VLOOKUP($B270,Vehicles!$B$9:$O$50,K$6,0)),0,VLOOKUP($B270,Vehicles!$B$9:$O$50,K$6,0))</f>
        <v>0</v>
      </c>
      <c r="H270" s="65"/>
      <c r="I270" s="49">
        <f t="shared" si="28"/>
        <v>0</v>
      </c>
      <c r="J270" s="49">
        <f t="shared" si="29"/>
        <v>0</v>
      </c>
      <c r="K270" s="49">
        <f t="shared" si="30"/>
        <v>0</v>
      </c>
    </row>
    <row r="271" spans="1:12" x14ac:dyDescent="0.25">
      <c r="B271" s="40" t="s">
        <v>24</v>
      </c>
      <c r="C271" s="54" t="s">
        <v>46</v>
      </c>
      <c r="D271" s="54" t="s">
        <v>272</v>
      </c>
      <c r="E271" s="43" t="s">
        <v>19</v>
      </c>
      <c r="G271" s="49">
        <f>IF(ISNA(VLOOKUP($B271,'Other Capital Needs'!$C$51:$P$95,K$6,0)),0,VLOOKUP($B271,'Other Capital Needs'!$C$51:$P$95,K$6,0))+IF(ISNA(VLOOKUP('Project Details by Yr'!$B271,'Public Grounds'!$A$11:$N$49,K$6,0)),0,VLOOKUP('Project Details by Yr'!$B271,'Public Grounds'!$A$11:$N$49,K$6,0))+IF(ISNA(VLOOKUP('Project Details by Yr'!$B271,'Public Buildings'!$A$10:$N$96,K$6,0)),0,VLOOKUP('Project Details by Yr'!$B271,'Public Buildings'!$A$10:$N$96,K$6,0))+IF(ISNA(VLOOKUP('Project Details by Yr'!$B271,Bridges!$A$9:$N$24,K$6,0)),0,VLOOKUP('Project Details by Yr'!$B271,Bridges!$A$9:$N$24,K$6,0))+IF(ISNA(VLOOKUP('Project Details by Yr'!$B271,'Parking Lots &amp; Playgrounds'!$A$9:$N$33,K$6,0)),0,VLOOKUP('Project Details by Yr'!$B271,'Parking Lots &amp; Playgrounds'!$A$9:$N$33,K$6,0))+IF(ISNA(VLOOKUP($B271,Vehicles!$B$9:$O$50,K$6,0)),0,VLOOKUP($B271,Vehicles!$B$9:$O$50,K$6,0))</f>
        <v>1500000</v>
      </c>
      <c r="H271" s="65">
        <v>0</v>
      </c>
      <c r="I271" s="51">
        <f t="shared" si="28"/>
        <v>0</v>
      </c>
      <c r="J271" s="49">
        <f t="shared" si="29"/>
        <v>0</v>
      </c>
      <c r="K271" s="49">
        <f t="shared" si="30"/>
        <v>0</v>
      </c>
    </row>
    <row r="272" spans="1:12" x14ac:dyDescent="0.25">
      <c r="B272" s="40" t="str">
        <f t="shared" ref="B272:E274" si="31">B220</f>
        <v>Sage 1 &amp; 2 construction - bathrooms &amp; concession, dugouts at Sage 2</v>
      </c>
      <c r="C272" s="40" t="str">
        <f t="shared" si="31"/>
        <v>Public Grounds</v>
      </c>
      <c r="D272" s="40" t="str">
        <f t="shared" si="31"/>
        <v>Town</v>
      </c>
      <c r="E272" s="43" t="str">
        <f t="shared" si="31"/>
        <v>GF</v>
      </c>
      <c r="G272" s="49">
        <f>G220</f>
        <v>0</v>
      </c>
      <c r="H272" s="65">
        <v>1</v>
      </c>
      <c r="I272" s="49">
        <f t="shared" ref="I272:I274" si="32">IF($H272=1,IF($E272="Bond",$G272,IF(E272="BAN",$G272,0)),0)</f>
        <v>0</v>
      </c>
      <c r="J272" s="49">
        <f t="shared" si="29"/>
        <v>0</v>
      </c>
      <c r="K272" s="49">
        <f t="shared" si="30"/>
        <v>0</v>
      </c>
    </row>
    <row r="273" spans="2:11" x14ac:dyDescent="0.25">
      <c r="B273" s="40" t="str">
        <f t="shared" si="31"/>
        <v>Dredging Sage Pond</v>
      </c>
      <c r="C273" s="40" t="str">
        <f t="shared" si="31"/>
        <v>Public Grounds</v>
      </c>
      <c r="D273" s="40" t="str">
        <f t="shared" si="31"/>
        <v>Town</v>
      </c>
      <c r="E273" s="43" t="str">
        <f t="shared" si="31"/>
        <v>GF</v>
      </c>
      <c r="G273" s="49">
        <f>G221</f>
        <v>80000</v>
      </c>
      <c r="H273" s="65">
        <v>1</v>
      </c>
      <c r="I273" s="49">
        <f t="shared" si="32"/>
        <v>0</v>
      </c>
      <c r="J273" s="49">
        <f t="shared" si="29"/>
        <v>80000</v>
      </c>
      <c r="K273" s="49">
        <f t="shared" si="30"/>
        <v>0</v>
      </c>
    </row>
    <row r="274" spans="2:11" x14ac:dyDescent="0.25">
      <c r="B274" s="40" t="str">
        <f t="shared" si="31"/>
        <v>Ragged Mountain Walking Trails</v>
      </c>
      <c r="C274" s="40" t="str">
        <f t="shared" si="31"/>
        <v>Public Grounds</v>
      </c>
      <c r="D274" s="40" t="str">
        <f t="shared" si="31"/>
        <v>Town</v>
      </c>
      <c r="E274" s="43" t="str">
        <f t="shared" si="31"/>
        <v>GF</v>
      </c>
      <c r="G274" s="49">
        <f>G222</f>
        <v>15000</v>
      </c>
      <c r="H274" s="65">
        <v>1</v>
      </c>
      <c r="I274" s="49">
        <f t="shared" si="32"/>
        <v>0</v>
      </c>
      <c r="J274" s="49">
        <f t="shared" si="29"/>
        <v>15000</v>
      </c>
      <c r="K274" s="49">
        <f t="shared" si="30"/>
        <v>0</v>
      </c>
    </row>
    <row r="275" spans="2:11" x14ac:dyDescent="0.25">
      <c r="B275" s="40" t="s">
        <v>39</v>
      </c>
      <c r="C275" s="54" t="s">
        <v>46</v>
      </c>
      <c r="D275" s="54" t="s">
        <v>272</v>
      </c>
      <c r="E275" s="43" t="s">
        <v>16</v>
      </c>
      <c r="G275" s="49">
        <f>IF(ISNA(VLOOKUP($B275,'Other Capital Needs'!$C$51:$P$95,K$6,0)),0,VLOOKUP($B275,'Other Capital Needs'!$C$51:$P$95,K$6,0))+IF(ISNA(VLOOKUP('Project Details by Yr'!$B275,'Public Grounds'!$A$11:$N$49,K$6,0)),0,VLOOKUP('Project Details by Yr'!$B275,'Public Grounds'!$A$11:$N$49,K$6,0))+IF(ISNA(VLOOKUP('Project Details by Yr'!$B275,'Public Buildings'!$A$10:$N$96,K$6,0)),0,VLOOKUP('Project Details by Yr'!$B275,'Public Buildings'!$A$10:$N$96,K$6,0))+IF(ISNA(VLOOKUP('Project Details by Yr'!$B275,Bridges!$A$9:$N$24,K$6,0)),0,VLOOKUP('Project Details by Yr'!$B275,Bridges!$A$9:$N$24,K$6,0))+IF(ISNA(VLOOKUP('Project Details by Yr'!$B275,'Parking Lots &amp; Playgrounds'!$A$9:$N$33,K$6,0)),0,VLOOKUP('Project Details by Yr'!$B275,'Parking Lots &amp; Playgrounds'!$A$9:$N$33,K$6,0))+IF(ISNA(VLOOKUP($B275,Vehicles!$B$9:$O$50,K$6,0)),0,VLOOKUP($B275,Vehicles!$B$9:$O$50,K$6,0))</f>
        <v>60000</v>
      </c>
      <c r="H275" s="65"/>
      <c r="I275" s="49">
        <f t="shared" si="28"/>
        <v>0</v>
      </c>
      <c r="J275" s="49">
        <f t="shared" si="29"/>
        <v>0</v>
      </c>
      <c r="K275" s="49">
        <f t="shared" si="30"/>
        <v>0</v>
      </c>
    </row>
    <row r="276" spans="2:11" x14ac:dyDescent="0.25">
      <c r="B276" s="40" t="s">
        <v>224</v>
      </c>
      <c r="C276" s="40" t="s">
        <v>47</v>
      </c>
      <c r="D276" s="40" t="s">
        <v>272</v>
      </c>
      <c r="E276" s="43" t="s">
        <v>16</v>
      </c>
      <c r="G276" s="49">
        <f>IF(ISNA(VLOOKUP($B276,'Other Capital Needs'!$C$51:$P$95,K$6,0)),0,VLOOKUP($B276,'Other Capital Needs'!$C$51:$P$95,K$6,0))+IF(ISNA(VLOOKUP('Project Details by Yr'!$B276,'Public Grounds'!$A$11:$N$49,K$6,0)),0,VLOOKUP('Project Details by Yr'!$B276,'Public Grounds'!$A$11:$N$49,K$6,0))+IF(ISNA(VLOOKUP('Project Details by Yr'!$B276,'Public Buildings'!$A$10:$N$96,K$6,0)),0,VLOOKUP('Project Details by Yr'!$B276,'Public Buildings'!$A$10:$N$96,K$6,0))+IF(ISNA(VLOOKUP('Project Details by Yr'!$B276,Bridges!$A$9:$N$24,K$6,0)),0,VLOOKUP('Project Details by Yr'!$B276,Bridges!$A$9:$N$24,K$6,0))+IF(ISNA(VLOOKUP('Project Details by Yr'!$B276,'Parking Lots &amp; Playgrounds'!$A$9:$N$33,K$6,0)),0,VLOOKUP('Project Details by Yr'!$B276,'Parking Lots &amp; Playgrounds'!$A$9:$N$33,K$6,0))+IF(ISNA(VLOOKUP($B276,Vehicles!$B$9:$O$50,K$6,0)),0,VLOOKUP($B276,Vehicles!$B$9:$O$50,K$6,0))</f>
        <v>45000</v>
      </c>
      <c r="H276" s="65"/>
      <c r="I276" s="49">
        <f t="shared" si="28"/>
        <v>0</v>
      </c>
      <c r="J276" s="49">
        <f t="shared" si="29"/>
        <v>0</v>
      </c>
      <c r="K276" s="49">
        <f t="shared" si="30"/>
        <v>0</v>
      </c>
    </row>
    <row r="277" spans="2:11" x14ac:dyDescent="0.25">
      <c r="B277" s="40" t="s">
        <v>225</v>
      </c>
      <c r="C277" s="40" t="s">
        <v>47</v>
      </c>
      <c r="D277" s="40" t="s">
        <v>272</v>
      </c>
      <c r="E277" s="43" t="s">
        <v>16</v>
      </c>
      <c r="G277" s="49">
        <f>IF(ISNA(VLOOKUP($B277,'Other Capital Needs'!$C$51:$P$95,K$6,0)),0,VLOOKUP($B277,'Other Capital Needs'!$C$51:$P$95,K$6,0))+IF(ISNA(VLOOKUP('Project Details by Yr'!$B277,'Public Grounds'!$A$11:$N$49,K$6,0)),0,VLOOKUP('Project Details by Yr'!$B277,'Public Grounds'!$A$11:$N$49,K$6,0))+IF(ISNA(VLOOKUP('Project Details by Yr'!$B277,'Public Buildings'!$A$10:$N$96,K$6,0)),0,VLOOKUP('Project Details by Yr'!$B277,'Public Buildings'!$A$10:$N$96,K$6,0))+IF(ISNA(VLOOKUP('Project Details by Yr'!$B277,Bridges!$A$9:$N$24,K$6,0)),0,VLOOKUP('Project Details by Yr'!$B277,Bridges!$A$9:$N$24,K$6,0))+IF(ISNA(VLOOKUP('Project Details by Yr'!$B277,'Parking Lots &amp; Playgrounds'!$A$9:$N$33,K$6,0)),0,VLOOKUP('Project Details by Yr'!$B277,'Parking Lots &amp; Playgrounds'!$A$9:$N$33,K$6,0))+IF(ISNA(VLOOKUP($B277,Vehicles!$B$9:$O$50,K$6,0)),0,VLOOKUP($B277,Vehicles!$B$9:$O$50,K$6,0))</f>
        <v>25000</v>
      </c>
      <c r="H277" s="65">
        <v>1</v>
      </c>
      <c r="I277" s="49">
        <f t="shared" si="28"/>
        <v>0</v>
      </c>
      <c r="J277" s="49">
        <f t="shared" si="29"/>
        <v>25000</v>
      </c>
      <c r="K277" s="49">
        <f t="shared" si="30"/>
        <v>0</v>
      </c>
    </row>
    <row r="278" spans="2:11" x14ac:dyDescent="0.25">
      <c r="B278" s="40" t="s">
        <v>191</v>
      </c>
      <c r="C278" s="40" t="s">
        <v>47</v>
      </c>
      <c r="D278" s="40" t="s">
        <v>273</v>
      </c>
      <c r="E278" s="43" t="s">
        <v>16</v>
      </c>
      <c r="G278" s="49">
        <f>IF(ISNA(VLOOKUP($B278,'Other Capital Needs'!$C$51:$P$95,K$6,0)),0,VLOOKUP($B278,'Other Capital Needs'!$C$51:$P$95,K$6,0))+IF(ISNA(VLOOKUP('Project Details by Yr'!$B278,'Public Grounds'!$A$11:$N$49,K$6,0)),0,VLOOKUP('Project Details by Yr'!$B278,'Public Grounds'!$A$11:$N$49,K$6,0))+IF(ISNA(VLOOKUP('Project Details by Yr'!$B278,'Public Buildings'!$A$10:$N$96,K$6,0)),0,VLOOKUP('Project Details by Yr'!$B278,'Public Buildings'!$A$10:$N$96,K$6,0))+IF(ISNA(VLOOKUP('Project Details by Yr'!$B278,Bridges!$A$9:$N$24,K$6,0)),0,VLOOKUP('Project Details by Yr'!$B278,Bridges!$A$9:$N$24,K$6,0))+IF(ISNA(VLOOKUP('Project Details by Yr'!$B278,'Parking Lots &amp; Playgrounds'!$A$9:$N$33,K$6,0)),0,VLOOKUP('Project Details by Yr'!$B278,'Parking Lots &amp; Playgrounds'!$A$9:$N$33,K$6,0))+IF(ISNA(VLOOKUP($B278,Vehicles!$B$9:$O$50,K$6,0)),0,VLOOKUP($B278,Vehicles!$B$9:$O$50,K$6,0))</f>
        <v>10000</v>
      </c>
      <c r="H278" s="65">
        <v>1</v>
      </c>
      <c r="I278" s="49">
        <f t="shared" si="28"/>
        <v>0</v>
      </c>
      <c r="J278" s="49">
        <f t="shared" si="29"/>
        <v>10000</v>
      </c>
      <c r="K278" s="49">
        <f t="shared" si="30"/>
        <v>0</v>
      </c>
    </row>
    <row r="279" spans="2:11" x14ac:dyDescent="0.25">
      <c r="B279" s="40" t="s">
        <v>192</v>
      </c>
      <c r="C279" s="40" t="s">
        <v>47</v>
      </c>
      <c r="D279" s="40" t="s">
        <v>273</v>
      </c>
      <c r="E279" s="43" t="s">
        <v>16</v>
      </c>
      <c r="G279" s="49">
        <f>IF(ISNA(VLOOKUP($B279,'Other Capital Needs'!$C$51:$P$95,K$6,0)),0,VLOOKUP($B279,'Other Capital Needs'!$C$51:$P$95,K$6,0))+IF(ISNA(VLOOKUP('Project Details by Yr'!$B279,'Public Grounds'!$A$11:$N$49,K$6,0)),0,VLOOKUP('Project Details by Yr'!$B279,'Public Grounds'!$A$11:$N$49,K$6,0))+IF(ISNA(VLOOKUP('Project Details by Yr'!$B279,'Public Buildings'!$A$10:$N$96,K$6,0)),0,VLOOKUP('Project Details by Yr'!$B279,'Public Buildings'!$A$10:$N$96,K$6,0))+IF(ISNA(VLOOKUP('Project Details by Yr'!$B279,Bridges!$A$9:$N$24,K$6,0)),0,VLOOKUP('Project Details by Yr'!$B279,Bridges!$A$9:$N$24,K$6,0))+IF(ISNA(VLOOKUP('Project Details by Yr'!$B279,'Parking Lots &amp; Playgrounds'!$A$9:$N$33,K$6,0)),0,VLOOKUP('Project Details by Yr'!$B279,'Parking Lots &amp; Playgrounds'!$A$9:$N$33,K$6,0))+IF(ISNA(VLOOKUP($B279,Vehicles!$B$9:$O$50,K$6,0)),0,VLOOKUP($B279,Vehicles!$B$9:$O$50,K$6,0))</f>
        <v>25000</v>
      </c>
      <c r="H279" s="65">
        <v>1</v>
      </c>
      <c r="I279" s="49">
        <f t="shared" si="28"/>
        <v>0</v>
      </c>
      <c r="J279" s="49">
        <f t="shared" si="29"/>
        <v>25000</v>
      </c>
      <c r="K279" s="49">
        <f t="shared" si="30"/>
        <v>0</v>
      </c>
    </row>
    <row r="280" spans="2:11" x14ac:dyDescent="0.25">
      <c r="B280" s="40" t="s">
        <v>193</v>
      </c>
      <c r="C280" s="40" t="s">
        <v>47</v>
      </c>
      <c r="D280" s="40" t="s">
        <v>273</v>
      </c>
      <c r="E280" s="43" t="s">
        <v>16</v>
      </c>
      <c r="G280" s="49">
        <f>IF(ISNA(VLOOKUP($B280,'Other Capital Needs'!$C$51:$P$95,K$6,0)),0,VLOOKUP($B280,'Other Capital Needs'!$C$51:$P$95,K$6,0))+IF(ISNA(VLOOKUP('Project Details by Yr'!$B280,'Public Grounds'!$A$11:$N$49,K$6,0)),0,VLOOKUP('Project Details by Yr'!$B280,'Public Grounds'!$A$11:$N$49,K$6,0))+IF(ISNA(VLOOKUP('Project Details by Yr'!$B280,'Public Buildings'!$A$10:$N$96,K$6,0)),0,VLOOKUP('Project Details by Yr'!$B280,'Public Buildings'!$A$10:$N$96,K$6,0))+IF(ISNA(VLOOKUP('Project Details by Yr'!$B280,Bridges!$A$9:$N$24,K$6,0)),0,VLOOKUP('Project Details by Yr'!$B280,Bridges!$A$9:$N$24,K$6,0))+IF(ISNA(VLOOKUP('Project Details by Yr'!$B280,'Parking Lots &amp; Playgrounds'!$A$9:$N$33,K$6,0)),0,VLOOKUP('Project Details by Yr'!$B280,'Parking Lots &amp; Playgrounds'!$A$9:$N$33,K$6,0))+IF(ISNA(VLOOKUP($B280,Vehicles!$B$9:$O$50,K$6,0)),0,VLOOKUP($B280,Vehicles!$B$9:$O$50,K$6,0))</f>
        <v>10000</v>
      </c>
      <c r="H280" s="65">
        <v>1</v>
      </c>
      <c r="I280" s="49">
        <f t="shared" si="28"/>
        <v>0</v>
      </c>
      <c r="J280" s="49">
        <f t="shared" si="29"/>
        <v>10000</v>
      </c>
      <c r="K280" s="49">
        <f t="shared" si="30"/>
        <v>0</v>
      </c>
    </row>
    <row r="281" spans="2:11" x14ac:dyDescent="0.25">
      <c r="B281" s="40" t="s">
        <v>95</v>
      </c>
      <c r="C281" s="40" t="s">
        <v>91</v>
      </c>
      <c r="D281" s="40" t="s">
        <v>273</v>
      </c>
      <c r="E281" s="43" t="s">
        <v>16</v>
      </c>
      <c r="G281" s="49">
        <f>IF(ISNA(VLOOKUP($B281,'Other Capital Needs'!$C$51:$P$95,K$6,0)),0,VLOOKUP($B281,'Other Capital Needs'!$C$51:$P$95,K$6,0))+IF(ISNA(VLOOKUP('Project Details by Yr'!$B281,'Public Grounds'!$A$11:$N$49,K$6,0)),0,VLOOKUP('Project Details by Yr'!$B281,'Public Grounds'!$A$11:$N$49,K$6,0))+IF(ISNA(VLOOKUP('Project Details by Yr'!$B281,'Public Buildings'!$A$10:$N$96,K$6,0)),0,VLOOKUP('Project Details by Yr'!$B281,'Public Buildings'!$A$10:$N$96,K$6,0))+IF(ISNA(VLOOKUP('Project Details by Yr'!$B281,Bridges!$A$9:$N$24,K$6,0)),0,VLOOKUP('Project Details by Yr'!$B281,Bridges!$A$9:$N$24,K$6,0))+IF(ISNA(VLOOKUP('Project Details by Yr'!$B281,'Parking Lots &amp; Playgrounds'!$A$9:$N$33,K$6,0)),0,VLOOKUP('Project Details by Yr'!$B281,'Parking Lots &amp; Playgrounds'!$A$9:$N$33,K$6,0))+IF(ISNA(VLOOKUP($B281,Vehicles!$B$9:$O$50,K$6,0)),0,VLOOKUP($B281,Vehicles!$B$9:$O$50,K$6,0))</f>
        <v>350000</v>
      </c>
      <c r="H281" s="65">
        <v>1</v>
      </c>
      <c r="I281" s="49">
        <f t="shared" si="28"/>
        <v>0</v>
      </c>
      <c r="J281" s="49">
        <f t="shared" si="29"/>
        <v>350000</v>
      </c>
      <c r="K281" s="49">
        <f t="shared" si="30"/>
        <v>0</v>
      </c>
    </row>
    <row r="282" spans="2:11" x14ac:dyDescent="0.25">
      <c r="B282" s="40" t="s">
        <v>124</v>
      </c>
      <c r="C282" s="40" t="s">
        <v>49</v>
      </c>
      <c r="D282" s="40" t="s">
        <v>272</v>
      </c>
      <c r="E282" s="43" t="s">
        <v>16</v>
      </c>
      <c r="G282" s="49">
        <f>IF(ISNA(VLOOKUP($B282,'Other Capital Needs'!$C$51:$P$95,K$6,0)),0,VLOOKUP($B282,'Other Capital Needs'!$C$51:$P$95,K$6,0))+IF(ISNA(VLOOKUP('Project Details by Yr'!$B282,'Public Grounds'!$A$11:$N$49,K$6,0)),0,VLOOKUP('Project Details by Yr'!$B282,'Public Grounds'!$A$11:$N$49,K$6,0))+IF(ISNA(VLOOKUP('Project Details by Yr'!$B282,'Public Buildings'!$A$10:$N$96,K$6,0)),0,VLOOKUP('Project Details by Yr'!$B282,'Public Buildings'!$A$10:$N$96,K$6,0))+IF(ISNA(VLOOKUP('Project Details by Yr'!$B282,Bridges!$A$9:$N$24,K$6,0)),0,VLOOKUP('Project Details by Yr'!$B282,Bridges!$A$9:$N$24,K$6,0))+IF(ISNA(VLOOKUP('Project Details by Yr'!$B282,'Parking Lots &amp; Playgrounds'!$A$9:$N$33,K$6,0)),0,VLOOKUP('Project Details by Yr'!$B282,'Parking Lots &amp; Playgrounds'!$A$9:$N$33,K$6,0))+IF(ISNA(VLOOKUP($B282,Vehicles!$B$9:$O$50,K$6,0)),0,VLOOKUP($B282,Vehicles!$B$9:$O$50,K$6,0))</f>
        <v>125000</v>
      </c>
      <c r="H282" s="65">
        <v>1</v>
      </c>
      <c r="I282" s="49">
        <f t="shared" si="28"/>
        <v>0</v>
      </c>
      <c r="J282" s="49">
        <f t="shared" si="29"/>
        <v>125000</v>
      </c>
      <c r="K282" s="49">
        <f t="shared" si="30"/>
        <v>0</v>
      </c>
    </row>
    <row r="283" spans="2:11" x14ac:dyDescent="0.25">
      <c r="B283" s="40" t="s">
        <v>127</v>
      </c>
      <c r="C283" s="40" t="s">
        <v>49</v>
      </c>
      <c r="D283" s="40" t="s">
        <v>272</v>
      </c>
      <c r="E283" s="43" t="s">
        <v>16</v>
      </c>
      <c r="G283" s="49">
        <f>IF(ISNA(VLOOKUP($B283,'Other Capital Needs'!$C$51:$P$95,K$6,0)),0,VLOOKUP($B283,'Other Capital Needs'!$C$51:$P$95,K$6,0))+IF(ISNA(VLOOKUP('Project Details by Yr'!$B283,'Public Grounds'!$A$11:$N$49,K$6,0)),0,VLOOKUP('Project Details by Yr'!$B283,'Public Grounds'!$A$11:$N$49,K$6,0))+IF(ISNA(VLOOKUP('Project Details by Yr'!$B283,'Public Buildings'!$A$10:$N$96,K$6,0)),0,VLOOKUP('Project Details by Yr'!$B283,'Public Buildings'!$A$10:$N$96,K$6,0))+IF(ISNA(VLOOKUP('Project Details by Yr'!$B283,Bridges!$A$9:$N$24,K$6,0)),0,VLOOKUP('Project Details by Yr'!$B283,Bridges!$A$9:$N$24,K$6,0))+IF(ISNA(VLOOKUP('Project Details by Yr'!$B283,'Parking Lots &amp; Playgrounds'!$A$9:$N$33,K$6,0)),0,VLOOKUP('Project Details by Yr'!$B283,'Parking Lots &amp; Playgrounds'!$A$9:$N$33,K$6,0))+IF(ISNA(VLOOKUP($B283,Vehicles!$B$9:$O$50,K$6,0)),0,VLOOKUP($B283,Vehicles!$B$9:$O$50,K$6,0))</f>
        <v>33000</v>
      </c>
      <c r="H283" s="65">
        <v>1</v>
      </c>
      <c r="I283" s="49">
        <f t="shared" si="28"/>
        <v>0</v>
      </c>
      <c r="J283" s="49">
        <f t="shared" si="29"/>
        <v>33000</v>
      </c>
      <c r="K283" s="49">
        <f t="shared" si="30"/>
        <v>0</v>
      </c>
    </row>
    <row r="284" spans="2:11" x14ac:dyDescent="0.25">
      <c r="B284" s="40" t="s">
        <v>128</v>
      </c>
      <c r="C284" s="40" t="s">
        <v>49</v>
      </c>
      <c r="D284" s="40" t="s">
        <v>272</v>
      </c>
      <c r="E284" s="43" t="s">
        <v>16</v>
      </c>
      <c r="G284" s="49">
        <f>IF(ISNA(VLOOKUP($B284,'Other Capital Needs'!$C$51:$P$95,K$6,0)),0,VLOOKUP($B284,'Other Capital Needs'!$C$51:$P$95,K$6,0))+IF(ISNA(VLOOKUP('Project Details by Yr'!$B284,'Public Grounds'!$A$11:$N$49,K$6,0)),0,VLOOKUP('Project Details by Yr'!$B284,'Public Grounds'!$A$11:$N$49,K$6,0))+IF(ISNA(VLOOKUP('Project Details by Yr'!$B284,'Public Buildings'!$A$10:$N$96,K$6,0)),0,VLOOKUP('Project Details by Yr'!$B284,'Public Buildings'!$A$10:$N$96,K$6,0))+IF(ISNA(VLOOKUP('Project Details by Yr'!$B284,Bridges!$A$9:$N$24,K$6,0)),0,VLOOKUP('Project Details by Yr'!$B284,Bridges!$A$9:$N$24,K$6,0))+IF(ISNA(VLOOKUP('Project Details by Yr'!$B284,'Parking Lots &amp; Playgrounds'!$A$9:$N$33,K$6,0)),0,VLOOKUP('Project Details by Yr'!$B284,'Parking Lots &amp; Playgrounds'!$A$9:$N$33,K$6,0))+IF(ISNA(VLOOKUP($B284,Vehicles!$B$9:$O$50,K$6,0)),0,VLOOKUP($B284,Vehicles!$B$9:$O$50,K$6,0))</f>
        <v>28000</v>
      </c>
      <c r="H284" s="65">
        <v>1</v>
      </c>
      <c r="I284" s="49">
        <f t="shared" si="28"/>
        <v>0</v>
      </c>
      <c r="J284" s="49">
        <f t="shared" si="29"/>
        <v>28000</v>
      </c>
      <c r="K284" s="49">
        <f t="shared" si="30"/>
        <v>0</v>
      </c>
    </row>
    <row r="285" spans="2:11" x14ac:dyDescent="0.25">
      <c r="B285" t="s">
        <v>309</v>
      </c>
      <c r="C285" s="40" t="s">
        <v>49</v>
      </c>
      <c r="D285" s="40" t="s">
        <v>272</v>
      </c>
      <c r="E285" s="43" t="s">
        <v>16</v>
      </c>
      <c r="G285" s="49">
        <f>IF(ISNA(VLOOKUP($B285,'Other Capital Needs'!$C$51:$P$95,K$6,0)),0,VLOOKUP($B285,'Other Capital Needs'!$C$51:$P$95,K$6,0))+IF(ISNA(VLOOKUP('Project Details by Yr'!$B285,'Public Grounds'!$A$11:$N$49,K$6,0)),0,VLOOKUP('Project Details by Yr'!$B285,'Public Grounds'!$A$11:$N$49,K$6,0))+IF(ISNA(VLOOKUP('Project Details by Yr'!$B285,'Public Buildings'!$A$10:$N$96,K$6,0)),0,VLOOKUP('Project Details by Yr'!$B285,'Public Buildings'!$A$10:$N$96,K$6,0))+IF(ISNA(VLOOKUP('Project Details by Yr'!$B285,Bridges!$A$9:$N$24,K$6,0)),0,VLOOKUP('Project Details by Yr'!$B285,Bridges!$A$9:$N$24,K$6,0))+IF(ISNA(VLOOKUP('Project Details by Yr'!$B285,'Parking Lots &amp; Playgrounds'!$A$9:$N$33,K$6,0)),0,VLOOKUP('Project Details by Yr'!$B285,'Parking Lots &amp; Playgrounds'!$A$9:$N$33,K$6,0))+IF(ISNA(VLOOKUP($B285,Vehicles!$B$9:$O$50,K$6,0)),0,VLOOKUP($B285,Vehicles!$B$9:$O$50,K$6,0))</f>
        <v>60000</v>
      </c>
      <c r="H285" s="65">
        <v>1</v>
      </c>
      <c r="I285" s="49">
        <f t="shared" ref="I285" si="33">IF($H285=1,IF($E285="Bond",$G285,IF(E285="BAN",$G285,0)),0)</f>
        <v>0</v>
      </c>
      <c r="J285" s="49">
        <f t="shared" si="29"/>
        <v>60000</v>
      </c>
      <c r="K285" s="49">
        <f t="shared" si="30"/>
        <v>0</v>
      </c>
    </row>
    <row r="286" spans="2:11" x14ac:dyDescent="0.25">
      <c r="B286" s="40" t="s">
        <v>120</v>
      </c>
      <c r="C286" s="40" t="s">
        <v>49</v>
      </c>
      <c r="D286" s="40" t="s">
        <v>272</v>
      </c>
      <c r="E286" s="43" t="s">
        <v>16</v>
      </c>
      <c r="G286" s="49">
        <f>IF(ISNA(VLOOKUP($B286,'Other Capital Needs'!$C$51:$P$95,K$6,0)),0,VLOOKUP($B286,'Other Capital Needs'!$C$51:$P$95,K$6,0))+IF(ISNA(VLOOKUP('Project Details by Yr'!$B286,'Public Grounds'!$A$11:$N$49,K$6,0)),0,VLOOKUP('Project Details by Yr'!$B286,'Public Grounds'!$A$11:$N$49,K$6,0))+IF(ISNA(VLOOKUP('Project Details by Yr'!$B286,'Public Buildings'!$A$10:$N$96,K$6,0)),0,VLOOKUP('Project Details by Yr'!$B286,'Public Buildings'!$A$10:$N$96,K$6,0))+IF(ISNA(VLOOKUP('Project Details by Yr'!$B286,Bridges!$A$9:$N$24,K$6,0)),0,VLOOKUP('Project Details by Yr'!$B286,Bridges!$A$9:$N$24,K$6,0))+IF(ISNA(VLOOKUP('Project Details by Yr'!$B286,'Parking Lots &amp; Playgrounds'!$A$9:$N$33,K$6,0)),0,VLOOKUP('Project Details by Yr'!$B286,'Parking Lots &amp; Playgrounds'!$A$9:$N$33,K$6,0))+IF(ISNA(VLOOKUP($B286,Vehicles!$B$9:$O$50,K$6,0)),0,VLOOKUP($B286,Vehicles!$B$9:$O$50,K$6,0))</f>
        <v>200000</v>
      </c>
      <c r="H286" s="65">
        <v>1</v>
      </c>
      <c r="I286" s="49">
        <f t="shared" si="28"/>
        <v>0</v>
      </c>
      <c r="J286" s="49">
        <f t="shared" si="29"/>
        <v>200000</v>
      </c>
      <c r="K286" s="49">
        <f t="shared" si="30"/>
        <v>0</v>
      </c>
    </row>
    <row r="287" spans="2:11" x14ac:dyDescent="0.25">
      <c r="B287" s="40" t="s">
        <v>122</v>
      </c>
      <c r="C287" s="40" t="s">
        <v>49</v>
      </c>
      <c r="D287" s="40" t="s">
        <v>272</v>
      </c>
      <c r="E287" s="43" t="s">
        <v>16</v>
      </c>
      <c r="G287" s="49">
        <f>IF(ISNA(VLOOKUP($B287,'Other Capital Needs'!$C$51:$P$95,K$6,0)),0,VLOOKUP($B287,'Other Capital Needs'!$C$51:$P$95,K$6,0))+IF(ISNA(VLOOKUP('Project Details by Yr'!$B287,'Public Grounds'!$A$11:$N$49,K$6,0)),0,VLOOKUP('Project Details by Yr'!$B287,'Public Grounds'!$A$11:$N$49,K$6,0))+IF(ISNA(VLOOKUP('Project Details by Yr'!$B287,'Public Buildings'!$A$10:$N$96,K$6,0)),0,VLOOKUP('Project Details by Yr'!$B287,'Public Buildings'!$A$10:$N$96,K$6,0))+IF(ISNA(VLOOKUP('Project Details by Yr'!$B287,Bridges!$A$9:$N$24,K$6,0)),0,VLOOKUP('Project Details by Yr'!$B287,Bridges!$A$9:$N$24,K$6,0))+IF(ISNA(VLOOKUP('Project Details by Yr'!$B287,'Parking Lots &amp; Playgrounds'!$A$9:$N$33,K$6,0)),0,VLOOKUP('Project Details by Yr'!$B287,'Parking Lots &amp; Playgrounds'!$A$9:$N$33,K$6,0))+IF(ISNA(VLOOKUP($B287,Vehicles!$B$9:$O$50,K$6,0)),0,VLOOKUP($B287,Vehicles!$B$9:$O$50,K$6,0))</f>
        <v>50913</v>
      </c>
      <c r="H287" s="65">
        <v>1</v>
      </c>
      <c r="I287" s="49">
        <f t="shared" si="28"/>
        <v>0</v>
      </c>
      <c r="J287" s="49">
        <f t="shared" si="29"/>
        <v>50913</v>
      </c>
      <c r="K287" s="49">
        <f t="shared" si="30"/>
        <v>0</v>
      </c>
    </row>
    <row r="288" spans="2:11" x14ac:dyDescent="0.25">
      <c r="B288" s="40" t="s">
        <v>118</v>
      </c>
      <c r="C288" s="40" t="s">
        <v>49</v>
      </c>
      <c r="D288" s="40" t="s">
        <v>272</v>
      </c>
      <c r="E288" s="43" t="s">
        <v>16</v>
      </c>
      <c r="G288" s="49">
        <f>IF(ISNA(VLOOKUP($B288,'Other Capital Needs'!$C$51:$P$95,K$6,0)),0,VLOOKUP($B288,'Other Capital Needs'!$C$51:$P$95,K$6,0))+IF(ISNA(VLOOKUP('Project Details by Yr'!$B288,'Public Grounds'!$A$11:$N$49,K$6,0)),0,VLOOKUP('Project Details by Yr'!$B288,'Public Grounds'!$A$11:$N$49,K$6,0))+IF(ISNA(VLOOKUP('Project Details by Yr'!$B288,'Public Buildings'!$A$10:$N$96,K$6,0)),0,VLOOKUP('Project Details by Yr'!$B288,'Public Buildings'!$A$10:$N$96,K$6,0))+IF(ISNA(VLOOKUP('Project Details by Yr'!$B288,Bridges!$A$9:$N$24,K$6,0)),0,VLOOKUP('Project Details by Yr'!$B288,Bridges!$A$9:$N$24,K$6,0))+IF(ISNA(VLOOKUP('Project Details by Yr'!$B288,'Parking Lots &amp; Playgrounds'!$A$9:$N$33,K$6,0)),0,VLOOKUP('Project Details by Yr'!$B288,'Parking Lots &amp; Playgrounds'!$A$9:$N$33,K$6,0))+IF(ISNA(VLOOKUP($B288,Vehicles!$B$9:$O$50,K$6,0)),0,VLOOKUP($B288,Vehicles!$B$9:$O$50,K$6,0))</f>
        <v>35950</v>
      </c>
      <c r="H288" s="65">
        <v>1</v>
      </c>
      <c r="I288" s="49">
        <f t="shared" si="28"/>
        <v>0</v>
      </c>
      <c r="J288" s="49">
        <f t="shared" si="29"/>
        <v>35950</v>
      </c>
      <c r="K288" s="49">
        <f t="shared" si="30"/>
        <v>0</v>
      </c>
    </row>
    <row r="289" spans="2:12" x14ac:dyDescent="0.25">
      <c r="B289" s="40" t="s">
        <v>117</v>
      </c>
      <c r="C289" s="40" t="s">
        <v>49</v>
      </c>
      <c r="D289" s="40" t="s">
        <v>272</v>
      </c>
      <c r="E289" s="43" t="s">
        <v>16</v>
      </c>
      <c r="G289" s="49">
        <f>IF(ISNA(VLOOKUP($B289,'Other Capital Needs'!$C$51:$P$95,K$6,0)),0,VLOOKUP($B289,'Other Capital Needs'!$C$51:$P$95,K$6,0))+IF(ISNA(VLOOKUP('Project Details by Yr'!$B289,'Public Grounds'!$A$11:$N$49,K$6,0)),0,VLOOKUP('Project Details by Yr'!$B289,'Public Grounds'!$A$11:$N$49,K$6,0))+IF(ISNA(VLOOKUP('Project Details by Yr'!$B289,'Public Buildings'!$A$10:$N$96,K$6,0)),0,VLOOKUP('Project Details by Yr'!$B289,'Public Buildings'!$A$10:$N$96,K$6,0))+IF(ISNA(VLOOKUP('Project Details by Yr'!$B289,Bridges!$A$9:$N$24,K$6,0)),0,VLOOKUP('Project Details by Yr'!$B289,Bridges!$A$9:$N$24,K$6,0))+IF(ISNA(VLOOKUP('Project Details by Yr'!$B289,'Parking Lots &amp; Playgrounds'!$A$9:$N$33,K$6,0)),0,VLOOKUP('Project Details by Yr'!$B289,'Parking Lots &amp; Playgrounds'!$A$9:$N$33,K$6,0))+IF(ISNA(VLOOKUP($B289,Vehicles!$B$9:$O$50,K$6,0)),0,VLOOKUP($B289,Vehicles!$B$9:$O$50,K$6,0))</f>
        <v>75000</v>
      </c>
      <c r="H289" s="65">
        <v>1</v>
      </c>
      <c r="I289" s="49">
        <f t="shared" si="28"/>
        <v>0</v>
      </c>
      <c r="J289" s="49">
        <f t="shared" si="29"/>
        <v>75000</v>
      </c>
      <c r="K289" s="49">
        <f t="shared" si="30"/>
        <v>0</v>
      </c>
    </row>
    <row r="290" spans="2:12" x14ac:dyDescent="0.25">
      <c r="B290" s="40" t="s">
        <v>131</v>
      </c>
      <c r="C290" s="40" t="s">
        <v>49</v>
      </c>
      <c r="D290" s="40" t="s">
        <v>272</v>
      </c>
      <c r="E290" s="43" t="s">
        <v>16</v>
      </c>
      <c r="G290" s="49">
        <f>IF(ISNA(VLOOKUP($B290,'Other Capital Needs'!$C$51:$P$95,K$6,0)),0,VLOOKUP($B290,'Other Capital Needs'!$C$51:$P$95,K$6,0))+IF(ISNA(VLOOKUP('Project Details by Yr'!$B290,'Public Grounds'!$A$11:$N$49,K$6,0)),0,VLOOKUP('Project Details by Yr'!$B290,'Public Grounds'!$A$11:$N$49,K$6,0))+IF(ISNA(VLOOKUP('Project Details by Yr'!$B290,'Public Buildings'!$A$10:$N$96,K$6,0)),0,VLOOKUP('Project Details by Yr'!$B290,'Public Buildings'!$A$10:$N$96,K$6,0))+IF(ISNA(VLOOKUP('Project Details by Yr'!$B290,Bridges!$A$9:$N$24,K$6,0)),0,VLOOKUP('Project Details by Yr'!$B290,Bridges!$A$9:$N$24,K$6,0))+IF(ISNA(VLOOKUP('Project Details by Yr'!$B290,'Parking Lots &amp; Playgrounds'!$A$9:$N$33,K$6,0)),0,VLOOKUP('Project Details by Yr'!$B290,'Parking Lots &amp; Playgrounds'!$A$9:$N$33,K$6,0))+IF(ISNA(VLOOKUP($B290,Vehicles!$B$9:$O$50,K$6,0)),0,VLOOKUP($B290,Vehicles!$B$9:$O$50,K$6,0))</f>
        <v>0</v>
      </c>
      <c r="H290" s="65">
        <v>1</v>
      </c>
      <c r="I290" s="49">
        <f t="shared" si="28"/>
        <v>0</v>
      </c>
      <c r="J290" s="49">
        <f t="shared" si="29"/>
        <v>0</v>
      </c>
      <c r="K290" s="49">
        <f t="shared" si="30"/>
        <v>0</v>
      </c>
    </row>
    <row r="291" spans="2:12" x14ac:dyDescent="0.25">
      <c r="B291" s="40" t="s">
        <v>132</v>
      </c>
      <c r="C291" s="40" t="s">
        <v>49</v>
      </c>
      <c r="D291" s="40" t="s">
        <v>272</v>
      </c>
      <c r="E291" s="43" t="s">
        <v>16</v>
      </c>
      <c r="G291" s="49">
        <f>IF(ISNA(VLOOKUP($B291,'Other Capital Needs'!$C$51:$P$95,K$6,0)),0,VLOOKUP($B291,'Other Capital Needs'!$C$51:$P$95,K$6,0))+IF(ISNA(VLOOKUP('Project Details by Yr'!$B291,'Public Grounds'!$A$11:$N$49,K$6,0)),0,VLOOKUP('Project Details by Yr'!$B291,'Public Grounds'!$A$11:$N$49,K$6,0))+IF(ISNA(VLOOKUP('Project Details by Yr'!$B291,'Public Buildings'!$A$10:$N$96,K$6,0)),0,VLOOKUP('Project Details by Yr'!$B291,'Public Buildings'!$A$10:$N$96,K$6,0))+IF(ISNA(VLOOKUP('Project Details by Yr'!$B291,Bridges!$A$9:$N$24,K$6,0)),0,VLOOKUP('Project Details by Yr'!$B291,Bridges!$A$9:$N$24,K$6,0))+IF(ISNA(VLOOKUP('Project Details by Yr'!$B291,'Parking Lots &amp; Playgrounds'!$A$9:$N$33,K$6,0)),0,VLOOKUP('Project Details by Yr'!$B291,'Parking Lots &amp; Playgrounds'!$A$9:$N$33,K$6,0))+IF(ISNA(VLOOKUP($B291,Vehicles!$B$9:$O$50,K$6,0)),0,VLOOKUP($B291,Vehicles!$B$9:$O$50,K$6,0))</f>
        <v>5000</v>
      </c>
      <c r="H291" s="65">
        <v>1</v>
      </c>
      <c r="I291" s="49">
        <f t="shared" si="28"/>
        <v>0</v>
      </c>
      <c r="J291" s="49">
        <f t="shared" si="29"/>
        <v>5000</v>
      </c>
      <c r="K291" s="49">
        <f t="shared" si="30"/>
        <v>0</v>
      </c>
    </row>
    <row r="292" spans="2:12" x14ac:dyDescent="0.25">
      <c r="B292" s="40" t="s">
        <v>133</v>
      </c>
      <c r="C292" s="40" t="s">
        <v>49</v>
      </c>
      <c r="D292" s="40" t="s">
        <v>272</v>
      </c>
      <c r="E292" s="43" t="s">
        <v>16</v>
      </c>
      <c r="G292" s="49">
        <f>IF(ISNA(VLOOKUP($B292,'Other Capital Needs'!$C$51:$P$95,K$6,0)),0,VLOOKUP($B292,'Other Capital Needs'!$C$51:$P$95,K$6,0))+IF(ISNA(VLOOKUP('Project Details by Yr'!$B292,'Public Grounds'!$A$11:$N$49,K$6,0)),0,VLOOKUP('Project Details by Yr'!$B292,'Public Grounds'!$A$11:$N$49,K$6,0))+IF(ISNA(VLOOKUP('Project Details by Yr'!$B292,'Public Buildings'!$A$10:$N$96,K$6,0)),0,VLOOKUP('Project Details by Yr'!$B292,'Public Buildings'!$A$10:$N$96,K$6,0))+IF(ISNA(VLOOKUP('Project Details by Yr'!$B292,Bridges!$A$9:$N$24,K$6,0)),0,VLOOKUP('Project Details by Yr'!$B292,Bridges!$A$9:$N$24,K$6,0))+IF(ISNA(VLOOKUP('Project Details by Yr'!$B292,'Parking Lots &amp; Playgrounds'!$A$9:$N$33,K$6,0)),0,VLOOKUP('Project Details by Yr'!$B292,'Parking Lots &amp; Playgrounds'!$A$9:$N$33,K$6,0))+IF(ISNA(VLOOKUP($B292,Vehicles!$B$9:$O$50,K$6,0)),0,VLOOKUP($B292,Vehicles!$B$9:$O$50,K$6,0))</f>
        <v>45000</v>
      </c>
      <c r="H292" s="65">
        <v>1</v>
      </c>
      <c r="I292" s="49">
        <f t="shared" si="28"/>
        <v>0</v>
      </c>
      <c r="J292" s="49">
        <f t="shared" si="29"/>
        <v>45000</v>
      </c>
      <c r="K292" s="49">
        <f t="shared" si="30"/>
        <v>0</v>
      </c>
    </row>
    <row r="293" spans="2:12" x14ac:dyDescent="0.25">
      <c r="B293" s="40" t="s">
        <v>134</v>
      </c>
      <c r="C293" s="40" t="s">
        <v>49</v>
      </c>
      <c r="D293" s="40" t="s">
        <v>272</v>
      </c>
      <c r="E293" s="43" t="s">
        <v>16</v>
      </c>
      <c r="G293" s="49">
        <f>IF(ISNA(VLOOKUP($B293,'Other Capital Needs'!$C$51:$P$95,K$6,0)),0,VLOOKUP($B293,'Other Capital Needs'!$C$51:$P$95,K$6,0))+IF(ISNA(VLOOKUP('Project Details by Yr'!$B293,'Public Grounds'!$A$11:$N$49,K$6,0)),0,VLOOKUP('Project Details by Yr'!$B293,'Public Grounds'!$A$11:$N$49,K$6,0))+IF(ISNA(VLOOKUP('Project Details by Yr'!$B293,'Public Buildings'!$A$10:$N$96,K$6,0)),0,VLOOKUP('Project Details by Yr'!$B293,'Public Buildings'!$A$10:$N$96,K$6,0))+IF(ISNA(VLOOKUP('Project Details by Yr'!$B293,Bridges!$A$9:$N$24,K$6,0)),0,VLOOKUP('Project Details by Yr'!$B293,Bridges!$A$9:$N$24,K$6,0))+IF(ISNA(VLOOKUP('Project Details by Yr'!$B293,'Parking Lots &amp; Playgrounds'!$A$9:$N$33,K$6,0)),0,VLOOKUP('Project Details by Yr'!$B293,'Parking Lots &amp; Playgrounds'!$A$9:$N$33,K$6,0))+IF(ISNA(VLOOKUP($B293,Vehicles!$B$9:$O$50,K$6,0)),0,VLOOKUP($B293,Vehicles!$B$9:$O$50,K$6,0))</f>
        <v>20271</v>
      </c>
      <c r="H293" s="65">
        <v>1</v>
      </c>
      <c r="I293" s="49">
        <f t="shared" si="28"/>
        <v>0</v>
      </c>
      <c r="J293" s="49">
        <f t="shared" si="29"/>
        <v>20271</v>
      </c>
      <c r="K293" s="49">
        <f t="shared" si="30"/>
        <v>0</v>
      </c>
    </row>
    <row r="294" spans="2:12" x14ac:dyDescent="0.25">
      <c r="B294" s="40" t="s">
        <v>139</v>
      </c>
      <c r="C294" s="40" t="s">
        <v>49</v>
      </c>
      <c r="D294" s="40" t="s">
        <v>273</v>
      </c>
      <c r="E294" s="43" t="s">
        <v>16</v>
      </c>
      <c r="G294" s="49">
        <f>IF(ISNA(VLOOKUP($B294,'Other Capital Needs'!$C$51:$P$95,K$6,0)),0,VLOOKUP($B294,'Other Capital Needs'!$C$51:$P$95,K$6,0))+IF(ISNA(VLOOKUP('Project Details by Yr'!$B294,'Public Grounds'!$A$11:$N$49,K$6,0)),0,VLOOKUP('Project Details by Yr'!$B294,'Public Grounds'!$A$11:$N$49,K$6,0))+IF(ISNA(VLOOKUP('Project Details by Yr'!$B294,'Public Buildings'!$A$10:$N$96,K$6,0)),0,VLOOKUP('Project Details by Yr'!$B294,'Public Buildings'!$A$10:$N$96,K$6,0))+IF(ISNA(VLOOKUP('Project Details by Yr'!$B294,Bridges!$A$9:$N$24,K$6,0)),0,VLOOKUP('Project Details by Yr'!$B294,Bridges!$A$9:$N$24,K$6,0))+IF(ISNA(VLOOKUP('Project Details by Yr'!$B294,'Parking Lots &amp; Playgrounds'!$A$9:$N$33,K$6,0)),0,VLOOKUP('Project Details by Yr'!$B294,'Parking Lots &amp; Playgrounds'!$A$9:$N$33,K$6,0))+IF(ISNA(VLOOKUP($B294,Vehicles!$B$9:$O$50,K$6,0)),0,VLOOKUP($B294,Vehicles!$B$9:$O$50,K$6,0))</f>
        <v>43604</v>
      </c>
      <c r="H294" s="65">
        <v>1</v>
      </c>
      <c r="I294" s="49">
        <f t="shared" si="28"/>
        <v>0</v>
      </c>
      <c r="J294" s="49">
        <f t="shared" si="29"/>
        <v>43604</v>
      </c>
      <c r="K294" s="49">
        <f t="shared" si="30"/>
        <v>0</v>
      </c>
    </row>
    <row r="295" spans="2:12" x14ac:dyDescent="0.25">
      <c r="E295" s="43"/>
      <c r="G295" s="49"/>
      <c r="H295" s="65"/>
      <c r="I295" s="62"/>
      <c r="J295" s="62"/>
    </row>
    <row r="296" spans="2:12" x14ac:dyDescent="0.25">
      <c r="B296" s="40" t="s">
        <v>274</v>
      </c>
      <c r="C296" s="40" t="s">
        <v>250</v>
      </c>
      <c r="D296" s="40" t="s">
        <v>272</v>
      </c>
      <c r="E296" s="43" t="s">
        <v>16</v>
      </c>
      <c r="G296" s="49">
        <f>Summary!I38</f>
        <v>1500000</v>
      </c>
      <c r="H296" s="65">
        <v>1</v>
      </c>
      <c r="I296" s="49">
        <f t="shared" ref="I296:I297" si="34">IF($H296=1,IF($E296="Bond",$G296,IF(E296="BAN",$G296,0)),0)</f>
        <v>0</v>
      </c>
      <c r="J296" s="49">
        <f t="shared" si="29"/>
        <v>1500000</v>
      </c>
      <c r="K296" s="49">
        <f t="shared" si="30"/>
        <v>0</v>
      </c>
    </row>
    <row r="297" spans="2:12" x14ac:dyDescent="0.25">
      <c r="B297" s="40" t="s">
        <v>205</v>
      </c>
      <c r="C297" s="40" t="s">
        <v>48</v>
      </c>
      <c r="D297" s="40" t="s">
        <v>272</v>
      </c>
      <c r="E297" s="43" t="s">
        <v>16</v>
      </c>
      <c r="G297" s="49">
        <f>IF(ISNA(VLOOKUP($B297,'Other Capital Needs'!$C$51:$P$95,K$6,0)),0,VLOOKUP($B297,'Other Capital Needs'!$C$51:$P$95,K$6,0))+IF(ISNA(VLOOKUP('Project Details by Yr'!$B297,'Public Grounds'!$A$11:$N$49,K$6,0)),0,VLOOKUP('Project Details by Yr'!$B297,'Public Grounds'!$A$11:$N$49,K$6,0))+IF(ISNA(VLOOKUP('Project Details by Yr'!$B297,'Public Buildings'!$A$10:$N$96,K$6,0)),0,VLOOKUP('Project Details by Yr'!$B297,'Public Buildings'!$A$10:$N$96,K$6,0))+IF(ISNA(VLOOKUP('Project Details by Yr'!$B297,Bridges!$A$9:$N$24,K$6,0)),0,VLOOKUP('Project Details by Yr'!$B297,Bridges!$A$9:$N$24,K$6,0))+IF(ISNA(VLOOKUP('Project Details by Yr'!$B297,'Parking Lots &amp; Playgrounds'!$A$9:$N$33,K$6,0)),0,VLOOKUP('Project Details by Yr'!$B297,'Parking Lots &amp; Playgrounds'!$A$9:$N$33,K$6,0))+IF(ISNA(VLOOKUP($B297,Vehicles!$B$9:$O$50,K$6,0)),0,VLOOKUP($B297,Vehicles!$B$9:$O$50,K$6,0))</f>
        <v>250000</v>
      </c>
      <c r="H297" s="65">
        <v>1</v>
      </c>
      <c r="I297" s="49">
        <f t="shared" si="34"/>
        <v>0</v>
      </c>
      <c r="J297" s="49">
        <f t="shared" si="29"/>
        <v>250000</v>
      </c>
      <c r="K297" s="49">
        <f t="shared" si="30"/>
        <v>0</v>
      </c>
    </row>
    <row r="298" spans="2:12" x14ac:dyDescent="0.25">
      <c r="E298" s="43"/>
      <c r="G298" s="49"/>
      <c r="H298" s="65"/>
      <c r="I298" s="62"/>
      <c r="J298" s="62"/>
    </row>
    <row r="299" spans="2:12" ht="15.75" thickBot="1" x14ac:dyDescent="0.3">
      <c r="G299" s="58">
        <f>SUM(G259:G298)</f>
        <v>4808438</v>
      </c>
      <c r="H299" s="59">
        <f t="shared" ref="H299:K299" si="35">SUM(H259:H298)</f>
        <v>30</v>
      </c>
      <c r="I299" s="58">
        <f t="shared" si="35"/>
        <v>0</v>
      </c>
      <c r="J299" s="58">
        <f t="shared" si="35"/>
        <v>3083438</v>
      </c>
      <c r="K299" s="58">
        <f t="shared" si="35"/>
        <v>120000</v>
      </c>
    </row>
    <row r="300" spans="2:12" ht="15.75" thickTop="1" x14ac:dyDescent="0.25">
      <c r="G300" s="60" t="e">
        <f>G299-Summary!I96</f>
        <v>#REF!</v>
      </c>
      <c r="H300" s="66"/>
      <c r="I300" s="63"/>
      <c r="J300" s="63"/>
      <c r="L300" s="52" t="s">
        <v>298</v>
      </c>
    </row>
    <row r="301" spans="2:12" x14ac:dyDescent="0.25">
      <c r="G301" s="60"/>
    </row>
  </sheetData>
  <pageMargins left="0.4" right="0.4" top="0.4" bottom="0.4" header="0" footer="0"/>
  <pageSetup scale="56" fitToHeight="0" orientation="landscape" r:id="rId1"/>
  <rowBreaks count="4" manualBreakCount="4">
    <brk id="82" max="16383" man="1"/>
    <brk id="143" max="16383" man="1"/>
    <brk id="201" max="16383" man="1"/>
    <brk id="255" max="16383" man="1"/>
  </rowBreaks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H84"/>
  <sheetViews>
    <sheetView zoomScaleNormal="100" workbookViewId="0">
      <selection activeCell="E98" sqref="E98"/>
    </sheetView>
  </sheetViews>
  <sheetFormatPr defaultRowHeight="15" x14ac:dyDescent="0.25"/>
  <cols>
    <col min="1" max="1" width="26.7109375" bestFit="1" customWidth="1"/>
    <col min="2" max="2" width="6.42578125" style="1" customWidth="1"/>
    <col min="3" max="3" width="76.7109375" bestFit="1" customWidth="1"/>
    <col min="4" max="4" width="12.7109375" style="100" customWidth="1"/>
    <col min="5" max="5" width="13.28515625" bestFit="1" customWidth="1"/>
    <col min="6" max="7" width="11.7109375" customWidth="1"/>
    <col min="8" max="8" width="9.140625" style="1"/>
  </cols>
  <sheetData>
    <row r="1" spans="1:8" ht="21" x14ac:dyDescent="0.35">
      <c r="A1" s="17" t="s">
        <v>62</v>
      </c>
      <c r="D1"/>
    </row>
    <row r="2" spans="1:8" ht="21" x14ac:dyDescent="0.35">
      <c r="A2" s="17" t="s">
        <v>63</v>
      </c>
      <c r="D2"/>
    </row>
    <row r="3" spans="1:8" ht="21" x14ac:dyDescent="0.35">
      <c r="A3" s="17" t="s">
        <v>400</v>
      </c>
      <c r="D3"/>
    </row>
    <row r="4" spans="1:8" x14ac:dyDescent="0.25">
      <c r="D4"/>
    </row>
    <row r="5" spans="1:8" x14ac:dyDescent="0.25">
      <c r="D5" s="6"/>
      <c r="F5" s="2" t="s">
        <v>409</v>
      </c>
      <c r="H5" s="2" t="s">
        <v>412</v>
      </c>
    </row>
    <row r="6" spans="1:8" x14ac:dyDescent="0.25">
      <c r="A6" s="99" t="s">
        <v>409</v>
      </c>
      <c r="B6" s="80" t="s">
        <v>206</v>
      </c>
      <c r="C6" s="99" t="s">
        <v>275</v>
      </c>
      <c r="D6" s="80" t="s">
        <v>271</v>
      </c>
      <c r="E6" s="3" t="s">
        <v>3</v>
      </c>
      <c r="F6" s="3" t="s">
        <v>410</v>
      </c>
      <c r="H6" s="3" t="s">
        <v>413</v>
      </c>
    </row>
    <row r="7" spans="1:8" x14ac:dyDescent="0.25">
      <c r="A7" t="s">
        <v>317</v>
      </c>
      <c r="B7" s="1">
        <v>14</v>
      </c>
      <c r="C7" t="s">
        <v>145</v>
      </c>
      <c r="D7" s="1" t="s">
        <v>16</v>
      </c>
      <c r="E7" s="6">
        <v>25000</v>
      </c>
      <c r="F7" s="6">
        <f>E7</f>
        <v>25000</v>
      </c>
    </row>
    <row r="8" spans="1:8" x14ac:dyDescent="0.25">
      <c r="A8" t="s">
        <v>316</v>
      </c>
      <c r="B8" s="1">
        <v>31</v>
      </c>
      <c r="C8" t="s">
        <v>153</v>
      </c>
      <c r="D8" s="1" t="s">
        <v>243</v>
      </c>
      <c r="E8" s="6">
        <v>32000</v>
      </c>
    </row>
    <row r="9" spans="1:8" x14ac:dyDescent="0.25">
      <c r="A9" t="s">
        <v>316</v>
      </c>
      <c r="B9" s="1">
        <v>31</v>
      </c>
      <c r="C9" t="s">
        <v>155</v>
      </c>
      <c r="D9" s="1" t="s">
        <v>16</v>
      </c>
      <c r="E9" s="30">
        <v>7500</v>
      </c>
    </row>
    <row r="10" spans="1:8" x14ac:dyDescent="0.25">
      <c r="A10" t="s">
        <v>316</v>
      </c>
      <c r="B10" s="1">
        <v>31</v>
      </c>
      <c r="C10" t="s">
        <v>156</v>
      </c>
      <c r="D10" s="1" t="s">
        <v>243</v>
      </c>
      <c r="E10" s="30">
        <v>29000</v>
      </c>
    </row>
    <row r="11" spans="1:8" x14ac:dyDescent="0.25">
      <c r="A11" t="s">
        <v>316</v>
      </c>
      <c r="B11" s="31">
        <v>32</v>
      </c>
      <c r="C11" s="26" t="s">
        <v>165</v>
      </c>
      <c r="D11" s="31" t="s">
        <v>16</v>
      </c>
      <c r="E11" s="30">
        <v>3500</v>
      </c>
    </row>
    <row r="12" spans="1:8" x14ac:dyDescent="0.25">
      <c r="A12" t="s">
        <v>316</v>
      </c>
      <c r="B12" s="31">
        <v>32</v>
      </c>
      <c r="C12" s="26" t="s">
        <v>167</v>
      </c>
      <c r="D12" s="31" t="s">
        <v>16</v>
      </c>
      <c r="E12" s="30">
        <v>900</v>
      </c>
    </row>
    <row r="13" spans="1:8" x14ac:dyDescent="0.25">
      <c r="A13" t="s">
        <v>316</v>
      </c>
      <c r="B13" s="31">
        <v>32</v>
      </c>
      <c r="C13" s="26" t="s">
        <v>168</v>
      </c>
      <c r="D13" s="31" t="s">
        <v>16</v>
      </c>
      <c r="E13" s="30">
        <v>8000</v>
      </c>
    </row>
    <row r="14" spans="1:8" x14ac:dyDescent="0.25">
      <c r="A14" t="s">
        <v>316</v>
      </c>
      <c r="B14" s="31">
        <v>32</v>
      </c>
      <c r="C14" s="26" t="s">
        <v>169</v>
      </c>
      <c r="D14" s="31" t="s">
        <v>16</v>
      </c>
      <c r="E14" s="30">
        <v>500</v>
      </c>
    </row>
    <row r="15" spans="1:8" x14ac:dyDescent="0.25">
      <c r="A15" t="s">
        <v>316</v>
      </c>
      <c r="B15" s="31">
        <v>32</v>
      </c>
      <c r="C15" s="26" t="s">
        <v>175</v>
      </c>
      <c r="D15" s="31" t="s">
        <v>16</v>
      </c>
      <c r="E15" s="30">
        <v>10000</v>
      </c>
      <c r="F15" s="6">
        <f>SUM(E8:E15)</f>
        <v>91400</v>
      </c>
    </row>
    <row r="16" spans="1:8" x14ac:dyDescent="0.25">
      <c r="A16" t="s">
        <v>366</v>
      </c>
      <c r="B16" s="1">
        <v>36</v>
      </c>
      <c r="C16" t="s">
        <v>177</v>
      </c>
      <c r="D16" s="1" t="s">
        <v>16</v>
      </c>
      <c r="E16" s="30">
        <v>40000</v>
      </c>
    </row>
    <row r="17" spans="1:8" x14ac:dyDescent="0.25">
      <c r="A17" t="s">
        <v>366</v>
      </c>
      <c r="B17" s="1">
        <v>36</v>
      </c>
      <c r="C17" t="s">
        <v>323</v>
      </c>
      <c r="D17" s="1" t="s">
        <v>16</v>
      </c>
      <c r="E17" s="30">
        <v>30000</v>
      </c>
      <c r="F17" s="6">
        <f>SUM(E16:E17)</f>
        <v>70000</v>
      </c>
    </row>
    <row r="18" spans="1:8" x14ac:dyDescent="0.25">
      <c r="A18" t="s">
        <v>367</v>
      </c>
      <c r="B18" s="1">
        <v>42</v>
      </c>
      <c r="C18" t="s">
        <v>182</v>
      </c>
      <c r="D18" s="1" t="s">
        <v>16</v>
      </c>
      <c r="E18" s="30">
        <v>7000</v>
      </c>
    </row>
    <row r="19" spans="1:8" x14ac:dyDescent="0.25">
      <c r="A19" t="s">
        <v>367</v>
      </c>
      <c r="B19" s="1">
        <v>42</v>
      </c>
      <c r="C19" t="s">
        <v>183</v>
      </c>
      <c r="D19" s="1" t="s">
        <v>16</v>
      </c>
      <c r="E19" s="30">
        <v>8300</v>
      </c>
    </row>
    <row r="20" spans="1:8" x14ac:dyDescent="0.25">
      <c r="A20" t="s">
        <v>367</v>
      </c>
      <c r="B20" s="1">
        <v>55</v>
      </c>
      <c r="C20" t="s">
        <v>357</v>
      </c>
      <c r="D20" s="1" t="s">
        <v>16</v>
      </c>
      <c r="E20" s="30">
        <v>15000</v>
      </c>
    </row>
    <row r="21" spans="1:8" x14ac:dyDescent="0.25">
      <c r="A21" t="s">
        <v>367</v>
      </c>
      <c r="B21" s="1">
        <v>43</v>
      </c>
      <c r="C21" t="s">
        <v>185</v>
      </c>
      <c r="D21" s="1" t="s">
        <v>16</v>
      </c>
      <c r="E21" s="30">
        <v>19662</v>
      </c>
    </row>
    <row r="22" spans="1:8" x14ac:dyDescent="0.25">
      <c r="A22" t="s">
        <v>367</v>
      </c>
      <c r="B22" s="1">
        <v>43</v>
      </c>
      <c r="C22" t="s">
        <v>308</v>
      </c>
      <c r="D22" s="1" t="s">
        <v>16</v>
      </c>
      <c r="E22" s="30">
        <v>6419</v>
      </c>
      <c r="F22" s="6">
        <f>SUM(E18:E22)</f>
        <v>56381</v>
      </c>
    </row>
    <row r="23" spans="1:8" x14ac:dyDescent="0.25">
      <c r="A23" t="s">
        <v>368</v>
      </c>
      <c r="B23" s="1">
        <v>53</v>
      </c>
      <c r="C23" t="s">
        <v>190</v>
      </c>
      <c r="D23" s="1" t="s">
        <v>16</v>
      </c>
      <c r="E23" s="30">
        <v>6587</v>
      </c>
      <c r="F23" s="6">
        <f>E23</f>
        <v>6587</v>
      </c>
    </row>
    <row r="24" spans="1:8" x14ac:dyDescent="0.25">
      <c r="A24" t="s">
        <v>315</v>
      </c>
      <c r="B24" s="20" t="s">
        <v>210</v>
      </c>
      <c r="C24" t="s">
        <v>204</v>
      </c>
      <c r="D24" s="1" t="s">
        <v>16</v>
      </c>
      <c r="E24" s="6">
        <v>100179</v>
      </c>
      <c r="H24" s="1" t="s">
        <v>411</v>
      </c>
    </row>
    <row r="25" spans="1:8" x14ac:dyDescent="0.25">
      <c r="A25" t="s">
        <v>315</v>
      </c>
      <c r="B25" s="20" t="s">
        <v>210</v>
      </c>
      <c r="C25" t="s">
        <v>360</v>
      </c>
      <c r="D25" s="1" t="s">
        <v>16</v>
      </c>
      <c r="E25" s="6">
        <f>215000*0.25</f>
        <v>53750</v>
      </c>
      <c r="H25" s="1" t="s">
        <v>411</v>
      </c>
    </row>
    <row r="26" spans="1:8" x14ac:dyDescent="0.25">
      <c r="A26" t="s">
        <v>315</v>
      </c>
      <c r="B26" s="20" t="s">
        <v>209</v>
      </c>
      <c r="C26" t="s">
        <v>107</v>
      </c>
      <c r="D26" s="1" t="s">
        <v>16</v>
      </c>
      <c r="E26" s="6">
        <v>50000</v>
      </c>
      <c r="F26" s="6">
        <f>SUM(E24:E26)</f>
        <v>203929</v>
      </c>
      <c r="H26" s="1" t="s">
        <v>411</v>
      </c>
    </row>
    <row r="27" spans="1:8" x14ac:dyDescent="0.25">
      <c r="A27" t="s">
        <v>316</v>
      </c>
      <c r="B27" s="1">
        <v>31</v>
      </c>
      <c r="C27" t="s">
        <v>370</v>
      </c>
      <c r="D27" s="1" t="s">
        <v>16</v>
      </c>
      <c r="E27" s="30">
        <v>68000</v>
      </c>
      <c r="H27" s="1" t="s">
        <v>411</v>
      </c>
    </row>
    <row r="28" spans="1:8" x14ac:dyDescent="0.25">
      <c r="A28" t="s">
        <v>316</v>
      </c>
      <c r="B28" s="31">
        <v>32</v>
      </c>
      <c r="C28" s="26" t="s">
        <v>173</v>
      </c>
      <c r="D28" s="31" t="s">
        <v>16</v>
      </c>
      <c r="E28" s="30">
        <v>138000</v>
      </c>
      <c r="F28" s="6">
        <f>SUM(E27:E28)</f>
        <v>206000</v>
      </c>
      <c r="H28" s="1" t="s">
        <v>411</v>
      </c>
    </row>
    <row r="29" spans="1:8" x14ac:dyDescent="0.25">
      <c r="A29" t="s">
        <v>366</v>
      </c>
      <c r="B29" s="31">
        <v>35</v>
      </c>
      <c r="C29" s="26" t="s">
        <v>319</v>
      </c>
      <c r="D29" s="31" t="s">
        <v>16</v>
      </c>
      <c r="E29" s="30">
        <v>100000</v>
      </c>
      <c r="H29" s="1" t="s">
        <v>411</v>
      </c>
    </row>
    <row r="30" spans="1:8" x14ac:dyDescent="0.25">
      <c r="A30" t="s">
        <v>366</v>
      </c>
      <c r="B30" s="1">
        <v>36</v>
      </c>
      <c r="C30" t="s">
        <v>178</v>
      </c>
      <c r="D30" s="1" t="s">
        <v>38</v>
      </c>
      <c r="E30" s="6">
        <v>50000</v>
      </c>
      <c r="H30" s="1" t="s">
        <v>411</v>
      </c>
    </row>
    <row r="31" spans="1:8" x14ac:dyDescent="0.25">
      <c r="A31" t="s">
        <v>366</v>
      </c>
      <c r="B31" s="1">
        <v>36</v>
      </c>
      <c r="C31" t="s">
        <v>179</v>
      </c>
      <c r="D31" s="1" t="s">
        <v>38</v>
      </c>
      <c r="E31" s="6">
        <v>120000</v>
      </c>
      <c r="H31" s="1" t="s">
        <v>411</v>
      </c>
    </row>
    <row r="32" spans="1:8" x14ac:dyDescent="0.25">
      <c r="A32" t="s">
        <v>366</v>
      </c>
      <c r="B32" s="31">
        <v>36</v>
      </c>
      <c r="C32" s="26" t="s">
        <v>110</v>
      </c>
      <c r="D32" s="31" t="s">
        <v>19</v>
      </c>
      <c r="E32" s="30">
        <v>1400000</v>
      </c>
      <c r="F32" s="6">
        <f>SUM(E29:E32)</f>
        <v>1670000</v>
      </c>
      <c r="H32" s="1" t="s">
        <v>411</v>
      </c>
    </row>
    <row r="33" spans="1:8" x14ac:dyDescent="0.25">
      <c r="A33" t="s">
        <v>1</v>
      </c>
      <c r="B33" s="1">
        <v>61</v>
      </c>
      <c r="C33" t="s">
        <v>360</v>
      </c>
      <c r="D33" s="1" t="s">
        <v>16</v>
      </c>
      <c r="E33" s="30">
        <f>215000*0.75</f>
        <v>161250</v>
      </c>
      <c r="F33" s="6">
        <f>E33</f>
        <v>161250</v>
      </c>
      <c r="G33" s="6">
        <f>SUM(F7:F33)</f>
        <v>2490547</v>
      </c>
      <c r="H33" s="1" t="s">
        <v>411</v>
      </c>
    </row>
    <row r="34" spans="1:8" x14ac:dyDescent="0.25">
      <c r="D34" s="1"/>
      <c r="E34" s="6"/>
    </row>
    <row r="35" spans="1:8" x14ac:dyDescent="0.25">
      <c r="A35" t="s">
        <v>46</v>
      </c>
      <c r="C35" t="s">
        <v>355</v>
      </c>
      <c r="D35" s="1" t="s">
        <v>16</v>
      </c>
      <c r="E35" s="6">
        <v>25000</v>
      </c>
    </row>
    <row r="36" spans="1:8" x14ac:dyDescent="0.25">
      <c r="A36" t="s">
        <v>46</v>
      </c>
      <c r="C36" t="s">
        <v>356</v>
      </c>
      <c r="D36" s="1" t="s">
        <v>16</v>
      </c>
      <c r="E36" s="6">
        <v>20000</v>
      </c>
    </row>
    <row r="37" spans="1:8" x14ac:dyDescent="0.25">
      <c r="A37" t="s">
        <v>46</v>
      </c>
      <c r="C37" t="s">
        <v>22</v>
      </c>
      <c r="D37" s="1" t="s">
        <v>16</v>
      </c>
      <c r="E37" s="6">
        <v>10000</v>
      </c>
    </row>
    <row r="38" spans="1:8" x14ac:dyDescent="0.25">
      <c r="A38" t="s">
        <v>46</v>
      </c>
      <c r="C38" t="s">
        <v>23</v>
      </c>
      <c r="D38" s="1" t="s">
        <v>16</v>
      </c>
      <c r="E38" s="6">
        <v>15000</v>
      </c>
    </row>
    <row r="39" spans="1:8" x14ac:dyDescent="0.25">
      <c r="A39" t="s">
        <v>46</v>
      </c>
      <c r="C39" t="s">
        <v>20</v>
      </c>
      <c r="D39" s="1" t="s">
        <v>16</v>
      </c>
      <c r="E39" s="6">
        <v>105000</v>
      </c>
      <c r="H39" s="1" t="s">
        <v>411</v>
      </c>
    </row>
    <row r="40" spans="1:8" x14ac:dyDescent="0.25">
      <c r="A40" t="s">
        <v>46</v>
      </c>
      <c r="C40" t="s">
        <v>12</v>
      </c>
      <c r="D40" s="1" t="s">
        <v>16</v>
      </c>
      <c r="E40" s="21">
        <v>892000</v>
      </c>
      <c r="H40" s="1" t="s">
        <v>411</v>
      </c>
    </row>
    <row r="41" spans="1:8" x14ac:dyDescent="0.25">
      <c r="A41" t="s">
        <v>46</v>
      </c>
      <c r="C41" t="s">
        <v>398</v>
      </c>
      <c r="D41" s="1" t="s">
        <v>37</v>
      </c>
      <c r="E41" s="21">
        <v>186750</v>
      </c>
      <c r="F41" s="6">
        <f>SUM(E35:E41)</f>
        <v>1253750</v>
      </c>
      <c r="G41" s="6">
        <f>F41</f>
        <v>1253750</v>
      </c>
      <c r="H41" s="1" t="s">
        <v>411</v>
      </c>
    </row>
    <row r="42" spans="1:8" x14ac:dyDescent="0.25">
      <c r="D42" s="1"/>
    </row>
    <row r="43" spans="1:8" x14ac:dyDescent="0.25">
      <c r="A43" t="s">
        <v>47</v>
      </c>
      <c r="C43" s="26" t="s">
        <v>224</v>
      </c>
      <c r="D43" s="31" t="s">
        <v>16</v>
      </c>
      <c r="E43" s="30">
        <v>45000</v>
      </c>
    </row>
    <row r="44" spans="1:8" x14ac:dyDescent="0.25">
      <c r="A44" t="s">
        <v>47</v>
      </c>
      <c r="C44" s="26" t="s">
        <v>341</v>
      </c>
      <c r="D44" s="31" t="s">
        <v>16</v>
      </c>
      <c r="E44" s="30">
        <v>10000</v>
      </c>
    </row>
    <row r="45" spans="1:8" x14ac:dyDescent="0.25">
      <c r="A45" t="s">
        <v>47</v>
      </c>
      <c r="C45" s="26" t="s">
        <v>348</v>
      </c>
      <c r="D45" s="31" t="s">
        <v>16</v>
      </c>
      <c r="E45" s="30">
        <v>5000</v>
      </c>
    </row>
    <row r="46" spans="1:8" x14ac:dyDescent="0.25">
      <c r="A46" t="s">
        <v>47</v>
      </c>
      <c r="C46" s="24" t="s">
        <v>401</v>
      </c>
      <c r="D46" s="1" t="s">
        <v>16</v>
      </c>
      <c r="E46" s="6">
        <v>25000</v>
      </c>
    </row>
    <row r="47" spans="1:8" x14ac:dyDescent="0.25">
      <c r="A47" t="s">
        <v>47</v>
      </c>
      <c r="C47" s="25" t="s">
        <v>402</v>
      </c>
      <c r="D47" s="1" t="s">
        <v>16</v>
      </c>
      <c r="E47" s="30">
        <v>30000</v>
      </c>
    </row>
    <row r="48" spans="1:8" x14ac:dyDescent="0.25">
      <c r="A48" t="s">
        <v>47</v>
      </c>
      <c r="C48" s="24" t="s">
        <v>403</v>
      </c>
      <c r="D48" s="1" t="s">
        <v>16</v>
      </c>
      <c r="E48" s="30">
        <v>8000</v>
      </c>
    </row>
    <row r="49" spans="1:8" x14ac:dyDescent="0.25">
      <c r="A49" t="s">
        <v>47</v>
      </c>
      <c r="C49" s="24" t="s">
        <v>404</v>
      </c>
      <c r="D49" s="1" t="s">
        <v>16</v>
      </c>
      <c r="E49" s="30">
        <v>35000</v>
      </c>
    </row>
    <row r="50" spans="1:8" x14ac:dyDescent="0.25">
      <c r="A50" t="s">
        <v>47</v>
      </c>
      <c r="C50" t="s">
        <v>225</v>
      </c>
      <c r="D50" s="1" t="s">
        <v>16</v>
      </c>
      <c r="E50" s="6">
        <v>25000</v>
      </c>
      <c r="F50" s="6"/>
    </row>
    <row r="51" spans="1:8" x14ac:dyDescent="0.25">
      <c r="A51" t="s">
        <v>47</v>
      </c>
      <c r="C51" s="26" t="s">
        <v>405</v>
      </c>
      <c r="D51" s="31" t="s">
        <v>16</v>
      </c>
      <c r="E51" s="30">
        <v>325000</v>
      </c>
      <c r="H51" s="1" t="s">
        <v>411</v>
      </c>
    </row>
    <row r="52" spans="1:8" x14ac:dyDescent="0.25">
      <c r="A52" t="s">
        <v>47</v>
      </c>
      <c r="C52" s="24" t="s">
        <v>406</v>
      </c>
      <c r="D52" s="1" t="s">
        <v>16</v>
      </c>
      <c r="E52" s="6">
        <v>50000</v>
      </c>
      <c r="H52" s="1" t="s">
        <v>411</v>
      </c>
    </row>
    <row r="53" spans="1:8" x14ac:dyDescent="0.25">
      <c r="A53" t="s">
        <v>47</v>
      </c>
      <c r="C53" s="24" t="s">
        <v>407</v>
      </c>
      <c r="D53" s="1" t="s">
        <v>16</v>
      </c>
      <c r="E53" s="6">
        <v>150000</v>
      </c>
      <c r="H53" s="1" t="s">
        <v>411</v>
      </c>
    </row>
    <row r="54" spans="1:8" x14ac:dyDescent="0.25">
      <c r="A54" t="s">
        <v>47</v>
      </c>
      <c r="C54" s="26" t="s">
        <v>361</v>
      </c>
      <c r="D54" s="31" t="s">
        <v>16</v>
      </c>
      <c r="E54" s="30">
        <v>5000</v>
      </c>
    </row>
    <row r="55" spans="1:8" x14ac:dyDescent="0.25">
      <c r="A55" t="s">
        <v>47</v>
      </c>
      <c r="C55" s="26" t="s">
        <v>191</v>
      </c>
      <c r="D55" s="31" t="s">
        <v>16</v>
      </c>
      <c r="E55" s="30">
        <v>10000</v>
      </c>
    </row>
    <row r="56" spans="1:8" x14ac:dyDescent="0.25">
      <c r="A56" t="s">
        <v>47</v>
      </c>
      <c r="C56" s="26" t="s">
        <v>192</v>
      </c>
      <c r="D56" s="31" t="s">
        <v>16</v>
      </c>
      <c r="E56" s="30">
        <v>25000</v>
      </c>
    </row>
    <row r="57" spans="1:8" x14ac:dyDescent="0.25">
      <c r="A57" t="s">
        <v>47</v>
      </c>
      <c r="C57" s="26" t="s">
        <v>193</v>
      </c>
      <c r="D57" s="31" t="s">
        <v>16</v>
      </c>
      <c r="E57" s="30">
        <v>10000</v>
      </c>
    </row>
    <row r="58" spans="1:8" x14ac:dyDescent="0.25">
      <c r="A58" t="s">
        <v>47</v>
      </c>
      <c r="C58" s="26" t="s">
        <v>358</v>
      </c>
      <c r="D58" s="31" t="s">
        <v>16</v>
      </c>
      <c r="E58" s="30">
        <v>125000</v>
      </c>
      <c r="H58" s="1" t="s">
        <v>411</v>
      </c>
    </row>
    <row r="59" spans="1:8" x14ac:dyDescent="0.25">
      <c r="A59" t="s">
        <v>47</v>
      </c>
      <c r="C59" s="26" t="s">
        <v>359</v>
      </c>
      <c r="D59" s="31" t="s">
        <v>16</v>
      </c>
      <c r="E59" s="30">
        <v>75000</v>
      </c>
      <c r="H59" s="1" t="s">
        <v>411</v>
      </c>
    </row>
    <row r="60" spans="1:8" x14ac:dyDescent="0.25">
      <c r="A60" t="s">
        <v>47</v>
      </c>
      <c r="C60" s="26" t="s">
        <v>240</v>
      </c>
      <c r="D60" s="31" t="s">
        <v>19</v>
      </c>
      <c r="E60" s="30">
        <v>1100000</v>
      </c>
      <c r="H60" s="1" t="s">
        <v>411</v>
      </c>
    </row>
    <row r="61" spans="1:8" x14ac:dyDescent="0.25">
      <c r="A61" t="s">
        <v>47</v>
      </c>
      <c r="C61" s="26" t="s">
        <v>200</v>
      </c>
      <c r="D61" s="31" t="s">
        <v>16</v>
      </c>
      <c r="E61" s="30">
        <v>50000</v>
      </c>
      <c r="F61" s="6">
        <f>SUM(E43:E61)</f>
        <v>2108000</v>
      </c>
      <c r="G61" s="6">
        <f>F61</f>
        <v>2108000</v>
      </c>
      <c r="H61" s="1" t="s">
        <v>411</v>
      </c>
    </row>
    <row r="63" spans="1:8" x14ac:dyDescent="0.25">
      <c r="A63" t="s">
        <v>52</v>
      </c>
      <c r="D63" s="1" t="s">
        <v>19</v>
      </c>
      <c r="E63" s="30">
        <v>1000000</v>
      </c>
      <c r="F63" s="6">
        <f>E63</f>
        <v>1000000</v>
      </c>
      <c r="G63" s="6">
        <f>F63</f>
        <v>1000000</v>
      </c>
    </row>
    <row r="65" spans="1:8" x14ac:dyDescent="0.25">
      <c r="A65" t="s">
        <v>48</v>
      </c>
      <c r="C65" t="s">
        <v>302</v>
      </c>
      <c r="D65" s="1" t="s">
        <v>19</v>
      </c>
      <c r="E65" s="6">
        <v>907800</v>
      </c>
      <c r="H65" s="1" t="s">
        <v>411</v>
      </c>
    </row>
    <row r="66" spans="1:8" x14ac:dyDescent="0.25">
      <c r="A66" t="s">
        <v>48</v>
      </c>
      <c r="C66" t="s">
        <v>301</v>
      </c>
      <c r="D66" s="1" t="s">
        <v>19</v>
      </c>
      <c r="E66" s="6">
        <v>425000</v>
      </c>
      <c r="H66" s="1" t="s">
        <v>411</v>
      </c>
    </row>
    <row r="67" spans="1:8" x14ac:dyDescent="0.25">
      <c r="A67" t="s">
        <v>48</v>
      </c>
      <c r="C67" t="s">
        <v>288</v>
      </c>
      <c r="D67" s="1" t="s">
        <v>16</v>
      </c>
      <c r="E67" s="6">
        <v>194950</v>
      </c>
      <c r="F67" s="6">
        <f>SUM(E65:E67)</f>
        <v>1527750</v>
      </c>
      <c r="G67" s="6">
        <f>F67</f>
        <v>1527750</v>
      </c>
      <c r="H67" s="1" t="s">
        <v>411</v>
      </c>
    </row>
    <row r="69" spans="1:8" x14ac:dyDescent="0.25">
      <c r="A69" t="s">
        <v>399</v>
      </c>
      <c r="C69" t="s">
        <v>88</v>
      </c>
      <c r="D69" s="1" t="s">
        <v>16</v>
      </c>
      <c r="E69" s="6">
        <v>210000</v>
      </c>
      <c r="F69" s="6">
        <f>E69</f>
        <v>210000</v>
      </c>
      <c r="G69" s="6">
        <f>F69</f>
        <v>210000</v>
      </c>
      <c r="H69" s="1" t="s">
        <v>411</v>
      </c>
    </row>
    <row r="71" spans="1:8" x14ac:dyDescent="0.25">
      <c r="A71" t="s">
        <v>49</v>
      </c>
      <c r="C71" t="s">
        <v>124</v>
      </c>
      <c r="D71" s="1" t="s">
        <v>16</v>
      </c>
      <c r="E71" s="6">
        <v>145000</v>
      </c>
      <c r="H71" s="1" t="s">
        <v>411</v>
      </c>
    </row>
    <row r="72" spans="1:8" x14ac:dyDescent="0.25">
      <c r="A72" t="s">
        <v>49</v>
      </c>
      <c r="C72" t="s">
        <v>127</v>
      </c>
      <c r="D72" s="1" t="s">
        <v>16</v>
      </c>
      <c r="E72" s="6">
        <v>33000</v>
      </c>
    </row>
    <row r="73" spans="1:8" x14ac:dyDescent="0.25">
      <c r="A73" t="s">
        <v>49</v>
      </c>
      <c r="C73" t="s">
        <v>128</v>
      </c>
      <c r="D73" s="1" t="s">
        <v>16</v>
      </c>
      <c r="E73" s="6">
        <v>28000</v>
      </c>
    </row>
    <row r="74" spans="1:8" x14ac:dyDescent="0.25">
      <c r="A74" t="s">
        <v>49</v>
      </c>
      <c r="C74" t="s">
        <v>309</v>
      </c>
      <c r="D74" s="1" t="s">
        <v>16</v>
      </c>
      <c r="E74" s="6">
        <v>60000</v>
      </c>
      <c r="H74" s="1" t="s">
        <v>411</v>
      </c>
    </row>
    <row r="75" spans="1:8" x14ac:dyDescent="0.25">
      <c r="A75" t="s">
        <v>49</v>
      </c>
      <c r="C75" t="s">
        <v>120</v>
      </c>
      <c r="D75" s="1" t="s">
        <v>16</v>
      </c>
      <c r="E75" s="21">
        <v>200000</v>
      </c>
      <c r="H75" s="1" t="s">
        <v>411</v>
      </c>
    </row>
    <row r="76" spans="1:8" x14ac:dyDescent="0.25">
      <c r="A76" t="s">
        <v>49</v>
      </c>
      <c r="C76" t="s">
        <v>121</v>
      </c>
      <c r="D76" s="1" t="s">
        <v>16</v>
      </c>
      <c r="E76" s="6">
        <v>81949</v>
      </c>
      <c r="H76" s="1" t="s">
        <v>411</v>
      </c>
    </row>
    <row r="77" spans="1:8" x14ac:dyDescent="0.25">
      <c r="A77" t="s">
        <v>49</v>
      </c>
      <c r="C77" t="s">
        <v>118</v>
      </c>
      <c r="D77" s="1" t="s">
        <v>16</v>
      </c>
      <c r="E77" s="6">
        <v>35000</v>
      </c>
    </row>
    <row r="78" spans="1:8" x14ac:dyDescent="0.25">
      <c r="A78" t="s">
        <v>49</v>
      </c>
      <c r="C78" t="s">
        <v>349</v>
      </c>
      <c r="D78" s="1" t="s">
        <v>16</v>
      </c>
      <c r="E78" s="6">
        <v>20000</v>
      </c>
    </row>
    <row r="79" spans="1:8" x14ac:dyDescent="0.25">
      <c r="A79" t="s">
        <v>49</v>
      </c>
      <c r="C79" t="s">
        <v>132</v>
      </c>
      <c r="D79" s="1" t="s">
        <v>16</v>
      </c>
      <c r="E79" s="6">
        <v>7500</v>
      </c>
    </row>
    <row r="80" spans="1:8" x14ac:dyDescent="0.25">
      <c r="A80" t="s">
        <v>49</v>
      </c>
      <c r="C80" t="s">
        <v>318</v>
      </c>
      <c r="D80" s="1" t="s">
        <v>16</v>
      </c>
      <c r="E80" s="6">
        <v>18000</v>
      </c>
    </row>
    <row r="81" spans="1:8" x14ac:dyDescent="0.25">
      <c r="A81" t="s">
        <v>49</v>
      </c>
      <c r="C81" t="s">
        <v>408</v>
      </c>
      <c r="D81" s="1" t="s">
        <v>16</v>
      </c>
      <c r="E81" s="6">
        <v>98000</v>
      </c>
      <c r="F81" s="6">
        <f>SUM(E71:E81)</f>
        <v>726449</v>
      </c>
      <c r="G81" s="6">
        <f>F81</f>
        <v>726449</v>
      </c>
      <c r="H81" s="1" t="s">
        <v>411</v>
      </c>
    </row>
    <row r="83" spans="1:8" x14ac:dyDescent="0.25">
      <c r="E83" s="6">
        <f>SUM(E7:E81)</f>
        <v>9316496</v>
      </c>
      <c r="F83" s="6">
        <f>SUM(F7:F81)</f>
        <v>9316496</v>
      </c>
      <c r="G83" s="6">
        <f>SUM(G7:G81)</f>
        <v>9316496</v>
      </c>
    </row>
    <row r="84" spans="1:8" x14ac:dyDescent="0.25">
      <c r="E84" s="6"/>
    </row>
  </sheetData>
  <pageMargins left="0.4" right="0.4" top="0.4" bottom="0.4" header="0" footer="0"/>
  <pageSetup scale="58" orientation="portrait" r:id="rId1"/>
  <headerFooter>
    <oddFooter>&amp;C&amp;Z&amp;F&amp;R&amp;D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Q151"/>
  <sheetViews>
    <sheetView topLeftCell="A130" zoomScaleNormal="100" workbookViewId="0">
      <selection activeCell="A145" sqref="A145:A150"/>
    </sheetView>
  </sheetViews>
  <sheetFormatPr defaultRowHeight="15" outlineLevelRow="1" x14ac:dyDescent="0.25"/>
  <cols>
    <col min="1" max="1" width="70.85546875" customWidth="1"/>
    <col min="2" max="2" width="13.5703125" style="1" bestFit="1" customWidth="1"/>
    <col min="3" max="3" width="2.85546875" customWidth="1"/>
    <col min="4" max="4" width="11.140625" style="6" customWidth="1"/>
    <col min="5" max="5" width="12.7109375" style="6" customWidth="1"/>
    <col min="6" max="8" width="11.140625" style="6" bestFit="1" customWidth="1"/>
    <col min="9" max="11" width="10.140625" style="6" customWidth="1"/>
    <col min="12" max="12" width="10.140625" style="6" bestFit="1" customWidth="1"/>
    <col min="13" max="14" width="10.140625" style="6" customWidth="1"/>
    <col min="15" max="15" width="11.140625" bestFit="1" customWidth="1"/>
    <col min="17" max="17" width="13.28515625" bestFit="1" customWidth="1"/>
  </cols>
  <sheetData>
    <row r="1" spans="1:14" ht="21" x14ac:dyDescent="0.35">
      <c r="A1" s="17" t="s">
        <v>62</v>
      </c>
      <c r="D1"/>
      <c r="E1"/>
      <c r="F1"/>
      <c r="G1"/>
      <c r="H1"/>
      <c r="I1"/>
      <c r="J1"/>
      <c r="K1"/>
      <c r="L1"/>
      <c r="M1"/>
      <c r="N1"/>
    </row>
    <row r="2" spans="1:14" ht="21" x14ac:dyDescent="0.35">
      <c r="A2" s="17" t="s">
        <v>71</v>
      </c>
      <c r="D2"/>
      <c r="E2"/>
      <c r="F2"/>
      <c r="G2"/>
      <c r="H2"/>
      <c r="I2"/>
      <c r="J2"/>
      <c r="K2"/>
      <c r="L2"/>
      <c r="M2"/>
      <c r="N2"/>
    </row>
    <row r="3" spans="1:14" ht="21" x14ac:dyDescent="0.35">
      <c r="A3" s="17" t="s">
        <v>64</v>
      </c>
      <c r="D3"/>
      <c r="E3"/>
      <c r="F3"/>
      <c r="G3"/>
      <c r="H3"/>
      <c r="I3"/>
      <c r="J3"/>
      <c r="K3"/>
      <c r="L3"/>
      <c r="M3"/>
      <c r="N3"/>
    </row>
    <row r="4" spans="1:14" x14ac:dyDescent="0.25">
      <c r="D4"/>
      <c r="E4"/>
      <c r="F4"/>
      <c r="G4"/>
      <c r="H4"/>
      <c r="I4"/>
      <c r="J4"/>
      <c r="K4"/>
      <c r="L4"/>
      <c r="M4"/>
      <c r="N4"/>
    </row>
    <row r="5" spans="1:14" x14ac:dyDescent="0.25"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45</v>
      </c>
    </row>
    <row r="6" spans="1:14" x14ac:dyDescent="0.25">
      <c r="D6"/>
      <c r="E6"/>
      <c r="F6"/>
      <c r="G6"/>
      <c r="H6"/>
      <c r="I6"/>
      <c r="J6"/>
      <c r="K6"/>
      <c r="L6"/>
      <c r="M6"/>
      <c r="N6"/>
    </row>
    <row r="7" spans="1:14" x14ac:dyDescent="0.25">
      <c r="A7" s="5"/>
      <c r="D7"/>
      <c r="E7"/>
      <c r="F7"/>
      <c r="G7"/>
      <c r="H7"/>
      <c r="I7"/>
      <c r="J7"/>
      <c r="K7"/>
      <c r="L7"/>
      <c r="M7"/>
      <c r="N7"/>
    </row>
    <row r="8" spans="1:14" hidden="1" outlineLevel="1" x14ac:dyDescent="0.25">
      <c r="A8" s="5" t="s">
        <v>46</v>
      </c>
      <c r="B8" s="11" t="s">
        <v>16</v>
      </c>
      <c r="D8" s="6">
        <f>'Public Grounds'!D57</f>
        <v>0</v>
      </c>
      <c r="E8" s="6">
        <f>'Public Grounds'!E57</f>
        <v>1067000</v>
      </c>
      <c r="F8" s="6">
        <f>'Public Grounds'!F57</f>
        <v>481500</v>
      </c>
      <c r="G8" s="6">
        <f>'Public Grounds'!G57</f>
        <v>114500</v>
      </c>
      <c r="H8" s="6">
        <f>'Public Grounds'!H57</f>
        <v>187000</v>
      </c>
      <c r="I8" s="6">
        <f>'Public Grounds'!I57</f>
        <v>105000</v>
      </c>
      <c r="J8" s="6">
        <f>'Public Grounds'!J57</f>
        <v>120000</v>
      </c>
      <c r="K8" s="6">
        <f>'Public Grounds'!K57</f>
        <v>45000</v>
      </c>
      <c r="L8" s="6">
        <f>'Public Grounds'!L57</f>
        <v>45000</v>
      </c>
      <c r="M8" s="6">
        <f>'Public Grounds'!M57</f>
        <v>60000</v>
      </c>
      <c r="N8" s="6">
        <f>'Public Grounds'!N57</f>
        <v>545000</v>
      </c>
    </row>
    <row r="9" spans="1:14" hidden="1" outlineLevel="1" x14ac:dyDescent="0.25">
      <c r="B9" s="11" t="s">
        <v>37</v>
      </c>
      <c r="D9" s="6">
        <f>'Public Grounds'!D58</f>
        <v>0</v>
      </c>
      <c r="E9" s="6">
        <f>'Public Grounds'!E58</f>
        <v>186750</v>
      </c>
      <c r="F9" s="6">
        <f>'Public Grounds'!F58</f>
        <v>0</v>
      </c>
      <c r="G9" s="6">
        <f>'Public Grounds'!G58</f>
        <v>0</v>
      </c>
      <c r="H9" s="6">
        <f>'Public Grounds'!H58</f>
        <v>0</v>
      </c>
      <c r="I9" s="6">
        <f>'Public Grounds'!I58</f>
        <v>0</v>
      </c>
      <c r="J9" s="6">
        <f>'Public Grounds'!J58</f>
        <v>205425.00000000003</v>
      </c>
      <c r="K9" s="6">
        <f>'Public Grounds'!K58</f>
        <v>0</v>
      </c>
      <c r="L9" s="6">
        <f>'Public Grounds'!L58</f>
        <v>0</v>
      </c>
      <c r="M9" s="6">
        <f>'Public Grounds'!M58</f>
        <v>0</v>
      </c>
      <c r="N9" s="6">
        <f>'Public Grounds'!N58</f>
        <v>0</v>
      </c>
    </row>
    <row r="10" spans="1:14" hidden="1" outlineLevel="1" x14ac:dyDescent="0.25">
      <c r="B10" s="11" t="s">
        <v>38</v>
      </c>
      <c r="D10" s="6">
        <f>'Public Grounds'!D59</f>
        <v>0</v>
      </c>
      <c r="E10" s="6">
        <f>'Public Grounds'!E59</f>
        <v>0</v>
      </c>
      <c r="F10" s="6">
        <f>'Public Grounds'!F59</f>
        <v>0</v>
      </c>
      <c r="G10" s="6">
        <f>'Public Grounds'!G59</f>
        <v>0</v>
      </c>
      <c r="H10" s="6">
        <f>'Public Grounds'!H59</f>
        <v>0</v>
      </c>
      <c r="I10" s="6">
        <f>'Public Grounds'!I59</f>
        <v>0</v>
      </c>
      <c r="J10" s="6">
        <f>'Public Grounds'!J59</f>
        <v>0</v>
      </c>
      <c r="K10" s="6">
        <f>'Public Grounds'!K59</f>
        <v>0</v>
      </c>
      <c r="L10" s="6">
        <f>'Public Grounds'!L59</f>
        <v>0</v>
      </c>
      <c r="M10" s="6">
        <f>'Public Grounds'!M59</f>
        <v>0</v>
      </c>
      <c r="N10" s="6">
        <f>'Public Grounds'!N59</f>
        <v>0</v>
      </c>
    </row>
    <row r="11" spans="1:14" hidden="1" outlineLevel="1" x14ac:dyDescent="0.25">
      <c r="B11" s="11" t="s">
        <v>19</v>
      </c>
      <c r="D11" s="6">
        <f>'Public Grounds'!D60</f>
        <v>0</v>
      </c>
      <c r="E11" s="6">
        <f>'Public Grounds'!E60</f>
        <v>0</v>
      </c>
      <c r="F11" s="6">
        <f>'Public Grounds'!F60</f>
        <v>0</v>
      </c>
      <c r="G11" s="6">
        <f>'Public Grounds'!G60</f>
        <v>0</v>
      </c>
      <c r="H11" s="6">
        <f>'Public Grounds'!H60</f>
        <v>0</v>
      </c>
      <c r="I11" s="6">
        <f>'Public Grounds'!I60</f>
        <v>1500000</v>
      </c>
      <c r="J11" s="6">
        <f>'Public Grounds'!J60</f>
        <v>0</v>
      </c>
      <c r="K11" s="6">
        <f>'Public Grounds'!K60</f>
        <v>0</v>
      </c>
      <c r="L11" s="6">
        <f>'Public Grounds'!L60</f>
        <v>0</v>
      </c>
      <c r="M11" s="6">
        <f>'Public Grounds'!M60</f>
        <v>0</v>
      </c>
      <c r="N11" s="6">
        <f>'Public Grounds'!N60</f>
        <v>0</v>
      </c>
    </row>
    <row r="12" spans="1:14" hidden="1" outlineLevel="1" x14ac:dyDescent="0.25">
      <c r="B12" s="11" t="s">
        <v>243</v>
      </c>
      <c r="D12" s="6">
        <f>'Public Grounds'!D61</f>
        <v>85000</v>
      </c>
      <c r="E12" s="6">
        <f>'Public Grounds'!E61</f>
        <v>0</v>
      </c>
      <c r="F12" s="6">
        <f>'Public Grounds'!F61</f>
        <v>0</v>
      </c>
      <c r="G12" s="6">
        <f>'Public Grounds'!G61</f>
        <v>0</v>
      </c>
      <c r="H12" s="6">
        <f>'Public Grounds'!H61</f>
        <v>0</v>
      </c>
      <c r="I12" s="6">
        <f>'Public Grounds'!I61</f>
        <v>0</v>
      </c>
      <c r="J12" s="6">
        <f>'Public Grounds'!J61</f>
        <v>0</v>
      </c>
      <c r="K12" s="6">
        <f>'Public Grounds'!K61</f>
        <v>0</v>
      </c>
      <c r="L12" s="6">
        <f>'Public Grounds'!L61</f>
        <v>0</v>
      </c>
      <c r="M12" s="6">
        <f>'Public Grounds'!M61</f>
        <v>0</v>
      </c>
      <c r="N12" s="6">
        <f>'Public Grounds'!N61</f>
        <v>0</v>
      </c>
    </row>
    <row r="13" spans="1:14" hidden="1" outlineLevel="1" x14ac:dyDescent="0.25">
      <c r="B13" s="11" t="s">
        <v>13</v>
      </c>
      <c r="D13" s="6">
        <f>'Public Grounds'!D62</f>
        <v>0</v>
      </c>
      <c r="E13" s="6">
        <f>'Public Grounds'!E62</f>
        <v>0</v>
      </c>
      <c r="F13" s="6">
        <f>'Public Grounds'!F62</f>
        <v>0</v>
      </c>
      <c r="G13" s="6">
        <f>'Public Grounds'!G62</f>
        <v>0</v>
      </c>
      <c r="H13" s="6">
        <f>'Public Grounds'!H62</f>
        <v>0</v>
      </c>
      <c r="I13" s="6">
        <f>'Public Grounds'!I62</f>
        <v>0</v>
      </c>
      <c r="J13" s="6">
        <f>'Public Grounds'!J62</f>
        <v>0</v>
      </c>
      <c r="K13" s="6">
        <f>'Public Grounds'!K62</f>
        <v>0</v>
      </c>
      <c r="L13" s="6">
        <f>'Public Grounds'!L62</f>
        <v>0</v>
      </c>
      <c r="M13" s="6">
        <f>'Public Grounds'!M62</f>
        <v>0</v>
      </c>
      <c r="N13" s="6">
        <f>'Public Grounds'!N62</f>
        <v>0</v>
      </c>
    </row>
    <row r="14" spans="1:14" hidden="1" outlineLevel="1" x14ac:dyDescent="0.25">
      <c r="B14" s="11" t="s">
        <v>50</v>
      </c>
      <c r="D14" s="6">
        <f>'Public Grounds'!D63</f>
        <v>0</v>
      </c>
      <c r="E14" s="6">
        <f>'Public Grounds'!E63</f>
        <v>0</v>
      </c>
      <c r="F14" s="6">
        <f>'Public Grounds'!F63</f>
        <v>0</v>
      </c>
      <c r="G14" s="6">
        <f>'Public Grounds'!G63</f>
        <v>0</v>
      </c>
      <c r="H14" s="6">
        <f>'Public Grounds'!H63</f>
        <v>0</v>
      </c>
      <c r="I14" s="6">
        <f>'Public Grounds'!I63</f>
        <v>0</v>
      </c>
      <c r="J14" s="6">
        <f>'Public Grounds'!J63</f>
        <v>0</v>
      </c>
      <c r="K14" s="6">
        <f>'Public Grounds'!K63</f>
        <v>0</v>
      </c>
      <c r="L14" s="6">
        <f>'Public Grounds'!L63</f>
        <v>0</v>
      </c>
      <c r="M14" s="6">
        <f>'Public Grounds'!M63</f>
        <v>0</v>
      </c>
      <c r="N14" s="6">
        <f>'Public Grounds'!N63</f>
        <v>0</v>
      </c>
    </row>
    <row r="15" spans="1:14" ht="15.75" collapsed="1" thickBot="1" x14ac:dyDescent="0.3">
      <c r="A15" t="s">
        <v>378</v>
      </c>
      <c r="D15" s="7">
        <f>SUM(D8:D14)</f>
        <v>85000</v>
      </c>
      <c r="E15" s="7">
        <f t="shared" ref="E15:N15" si="0">SUM(E8:E14)</f>
        <v>1253750</v>
      </c>
      <c r="F15" s="7">
        <f t="shared" si="0"/>
        <v>481500</v>
      </c>
      <c r="G15" s="7">
        <f t="shared" si="0"/>
        <v>114500</v>
      </c>
      <c r="H15" s="7">
        <f t="shared" si="0"/>
        <v>187000</v>
      </c>
      <c r="I15" s="7">
        <f t="shared" si="0"/>
        <v>1605000</v>
      </c>
      <c r="J15" s="7">
        <f t="shared" si="0"/>
        <v>325425</v>
      </c>
      <c r="K15" s="7">
        <f t="shared" si="0"/>
        <v>45000</v>
      </c>
      <c r="L15" s="7">
        <f t="shared" si="0"/>
        <v>45000</v>
      </c>
      <c r="M15" s="7">
        <f t="shared" si="0"/>
        <v>60000</v>
      </c>
      <c r="N15" s="7">
        <f t="shared" si="0"/>
        <v>545000</v>
      </c>
    </row>
    <row r="16" spans="1:14" ht="15.75" thickTop="1" x14ac:dyDescent="0.25">
      <c r="D16" s="8">
        <f>D15-'Public Grounds'!D51</f>
        <v>0</v>
      </c>
      <c r="E16" s="8">
        <f>E15-'Public Grounds'!E51</f>
        <v>0</v>
      </c>
      <c r="F16" s="8">
        <f>F15-'Public Grounds'!F51</f>
        <v>0</v>
      </c>
      <c r="G16" s="8">
        <f>G15-'Public Grounds'!G51</f>
        <v>0</v>
      </c>
      <c r="H16" s="8">
        <f>H15-'Public Grounds'!H51</f>
        <v>0</v>
      </c>
      <c r="I16" s="8">
        <f>I15-'Public Grounds'!I51</f>
        <v>0</v>
      </c>
      <c r="J16" s="8">
        <f>J15-'Public Grounds'!J51</f>
        <v>0</v>
      </c>
      <c r="K16" s="8">
        <f>K15-'Public Grounds'!K51</f>
        <v>0</v>
      </c>
      <c r="L16" s="8">
        <f>L15-'Public Grounds'!L51</f>
        <v>0</v>
      </c>
      <c r="M16" s="8">
        <f>M15-'Public Grounds'!M51</f>
        <v>0</v>
      </c>
      <c r="N16" s="8">
        <f>N15-'Public Grounds'!N51</f>
        <v>0</v>
      </c>
    </row>
    <row r="18" spans="1:14" hidden="1" outlineLevel="1" x14ac:dyDescent="0.25">
      <c r="A18" s="5" t="s">
        <v>47</v>
      </c>
      <c r="B18" s="11" t="s">
        <v>16</v>
      </c>
      <c r="D18" s="6">
        <f>'Public Buildings'!D105</f>
        <v>35000</v>
      </c>
      <c r="E18" s="6">
        <f>'Public Buildings'!E105</f>
        <v>1173000</v>
      </c>
      <c r="F18" s="6">
        <f>'Public Buildings'!F105</f>
        <v>1335000</v>
      </c>
      <c r="G18" s="6">
        <f>'Public Buildings'!G105</f>
        <v>1278333</v>
      </c>
      <c r="H18" s="6">
        <f>'Public Buildings'!H105</f>
        <v>1306333</v>
      </c>
      <c r="I18" s="6">
        <f>'Public Buildings'!I105</f>
        <v>998333</v>
      </c>
      <c r="J18" s="6">
        <f>'Public Buildings'!J105</f>
        <v>155000</v>
      </c>
      <c r="K18" s="6">
        <f>'Public Buildings'!K105</f>
        <v>155000</v>
      </c>
      <c r="L18" s="6">
        <f>'Public Buildings'!L105</f>
        <v>155000</v>
      </c>
      <c r="M18" s="6">
        <f>'Public Buildings'!M105</f>
        <v>155000</v>
      </c>
      <c r="N18" s="6">
        <f>'Public Buildings'!N105</f>
        <v>155000</v>
      </c>
    </row>
    <row r="19" spans="1:14" hidden="1" outlineLevel="1" x14ac:dyDescent="0.25">
      <c r="B19" s="11" t="s">
        <v>37</v>
      </c>
      <c r="D19" s="6">
        <f>'Public Buildings'!D106</f>
        <v>0</v>
      </c>
      <c r="E19" s="6">
        <f>'Public Buildings'!E106</f>
        <v>0</v>
      </c>
      <c r="F19" s="6">
        <f>'Public Buildings'!F106</f>
        <v>0</v>
      </c>
      <c r="G19" s="6">
        <f>'Public Buildings'!G106</f>
        <v>0</v>
      </c>
      <c r="H19" s="6">
        <f>'Public Buildings'!H106</f>
        <v>0</v>
      </c>
      <c r="I19" s="6">
        <f>'Public Buildings'!I106</f>
        <v>0</v>
      </c>
      <c r="J19" s="6">
        <f>'Public Buildings'!J106</f>
        <v>0</v>
      </c>
      <c r="K19" s="6">
        <f>'Public Buildings'!K106</f>
        <v>0</v>
      </c>
      <c r="L19" s="6">
        <f>'Public Buildings'!L106</f>
        <v>0</v>
      </c>
      <c r="M19" s="6">
        <f>'Public Buildings'!M106</f>
        <v>0</v>
      </c>
      <c r="N19" s="6">
        <f>'Public Buildings'!N106</f>
        <v>0</v>
      </c>
    </row>
    <row r="20" spans="1:14" hidden="1" outlineLevel="1" x14ac:dyDescent="0.25">
      <c r="B20" s="11" t="s">
        <v>38</v>
      </c>
      <c r="D20" s="6">
        <f>'Public Buildings'!D107</f>
        <v>0</v>
      </c>
      <c r="E20" s="6">
        <f>'Public Buildings'!E107</f>
        <v>0</v>
      </c>
      <c r="F20" s="6">
        <f>'Public Buildings'!F107</f>
        <v>0</v>
      </c>
      <c r="G20" s="6">
        <f>'Public Buildings'!G107</f>
        <v>0</v>
      </c>
      <c r="H20" s="6">
        <f>'Public Buildings'!H107</f>
        <v>0</v>
      </c>
      <c r="I20" s="6">
        <f>'Public Buildings'!I107</f>
        <v>0</v>
      </c>
      <c r="J20" s="6">
        <f>'Public Buildings'!J107</f>
        <v>0</v>
      </c>
      <c r="K20" s="6">
        <f>'Public Buildings'!K107</f>
        <v>0</v>
      </c>
      <c r="L20" s="6">
        <f>'Public Buildings'!L107</f>
        <v>0</v>
      </c>
      <c r="M20" s="6">
        <f>'Public Buildings'!M107</f>
        <v>0</v>
      </c>
      <c r="N20" s="6">
        <f>'Public Buildings'!N107</f>
        <v>0</v>
      </c>
    </row>
    <row r="21" spans="1:14" hidden="1" outlineLevel="1" x14ac:dyDescent="0.25">
      <c r="B21" s="11" t="s">
        <v>19</v>
      </c>
      <c r="D21" s="6">
        <f>'Public Buildings'!D108</f>
        <v>515000</v>
      </c>
      <c r="E21" s="6">
        <f>'Public Buildings'!E108</f>
        <v>0</v>
      </c>
      <c r="F21" s="6">
        <f>'Public Buildings'!F108</f>
        <v>0</v>
      </c>
      <c r="G21" s="6">
        <f>'Public Buildings'!G108</f>
        <v>3000000</v>
      </c>
      <c r="H21" s="6">
        <f>'Public Buildings'!H108</f>
        <v>2775000</v>
      </c>
      <c r="I21" s="6">
        <f>'Public Buildings'!I108</f>
        <v>1100000</v>
      </c>
      <c r="J21" s="6">
        <f>'Public Buildings'!J108</f>
        <v>0</v>
      </c>
      <c r="K21" s="6">
        <f>'Public Buildings'!K108</f>
        <v>1100000</v>
      </c>
      <c r="L21" s="6">
        <f>'Public Buildings'!L108</f>
        <v>0</v>
      </c>
      <c r="M21" s="6">
        <f>'Public Buildings'!M108</f>
        <v>0</v>
      </c>
      <c r="N21" s="6">
        <f>'Public Buildings'!N108</f>
        <v>0</v>
      </c>
    </row>
    <row r="22" spans="1:14" hidden="1" outlineLevel="1" x14ac:dyDescent="0.25">
      <c r="B22" s="11" t="s">
        <v>243</v>
      </c>
      <c r="D22" s="6">
        <f>'Public Buildings'!D109</f>
        <v>185000</v>
      </c>
      <c r="E22" s="6">
        <f>'Public Buildings'!E109</f>
        <v>0</v>
      </c>
      <c r="F22" s="6">
        <f>'Public Buildings'!F109</f>
        <v>0</v>
      </c>
      <c r="G22" s="6">
        <f>'Public Buildings'!G109</f>
        <v>0</v>
      </c>
      <c r="H22" s="6">
        <f>'Public Buildings'!H109</f>
        <v>0</v>
      </c>
      <c r="I22" s="6">
        <f>'Public Buildings'!I109</f>
        <v>0</v>
      </c>
      <c r="J22" s="6">
        <f>'Public Buildings'!J109</f>
        <v>0</v>
      </c>
      <c r="K22" s="6">
        <f>'Public Buildings'!K109</f>
        <v>0</v>
      </c>
      <c r="L22" s="6">
        <f>'Public Buildings'!L109</f>
        <v>0</v>
      </c>
      <c r="M22" s="6">
        <f>'Public Buildings'!M109</f>
        <v>0</v>
      </c>
      <c r="N22" s="6">
        <f>'Public Buildings'!N109</f>
        <v>0</v>
      </c>
    </row>
    <row r="23" spans="1:14" hidden="1" outlineLevel="1" x14ac:dyDescent="0.25">
      <c r="B23" s="11" t="s">
        <v>13</v>
      </c>
      <c r="D23" s="6">
        <f>'Public Buildings'!D110</f>
        <v>0</v>
      </c>
      <c r="E23" s="6">
        <f>'Public Buildings'!E110</f>
        <v>0</v>
      </c>
      <c r="F23" s="6">
        <f>'Public Buildings'!F110</f>
        <v>0</v>
      </c>
      <c r="G23" s="6">
        <f>'Public Buildings'!G110</f>
        <v>800000</v>
      </c>
      <c r="H23" s="6">
        <f>'Public Buildings'!H110</f>
        <v>0</v>
      </c>
      <c r="I23" s="6">
        <f>'Public Buildings'!I110</f>
        <v>0</v>
      </c>
      <c r="J23" s="6">
        <f>'Public Buildings'!J110</f>
        <v>0</v>
      </c>
      <c r="K23" s="6">
        <f>'Public Buildings'!K110</f>
        <v>0</v>
      </c>
      <c r="L23" s="6">
        <f>'Public Buildings'!L110</f>
        <v>0</v>
      </c>
      <c r="M23" s="6">
        <f>'Public Buildings'!M110</f>
        <v>0</v>
      </c>
      <c r="N23" s="6">
        <f>'Public Buildings'!N110</f>
        <v>0</v>
      </c>
    </row>
    <row r="24" spans="1:14" hidden="1" outlineLevel="1" x14ac:dyDescent="0.25">
      <c r="B24" s="11" t="s">
        <v>50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</row>
    <row r="25" spans="1:14" ht="15.75" collapsed="1" thickBot="1" x14ac:dyDescent="0.3">
      <c r="A25" t="s">
        <v>379</v>
      </c>
      <c r="D25" s="7">
        <f>SUM(D18:D24)</f>
        <v>735000</v>
      </c>
      <c r="E25" s="7">
        <f t="shared" ref="E25" si="1">SUM(E18:E24)</f>
        <v>1173000</v>
      </c>
      <c r="F25" s="7">
        <f t="shared" ref="F25" si="2">SUM(F18:F24)</f>
        <v>1335000</v>
      </c>
      <c r="G25" s="7">
        <f t="shared" ref="G25" si="3">SUM(G18:G24)</f>
        <v>5078333</v>
      </c>
      <c r="H25" s="7">
        <f t="shared" ref="H25" si="4">SUM(H18:H24)</f>
        <v>4081333</v>
      </c>
      <c r="I25" s="7">
        <f t="shared" ref="I25" si="5">SUM(I18:I24)</f>
        <v>2098333</v>
      </c>
      <c r="J25" s="7">
        <f t="shared" ref="J25" si="6">SUM(J18:J24)</f>
        <v>155000</v>
      </c>
      <c r="K25" s="7">
        <f t="shared" ref="K25" si="7">SUM(K18:K24)</f>
        <v>1255000</v>
      </c>
      <c r="L25" s="7">
        <f t="shared" ref="L25" si="8">SUM(L18:L24)</f>
        <v>155000</v>
      </c>
      <c r="M25" s="7">
        <f t="shared" ref="M25" si="9">SUM(M18:M24)</f>
        <v>155000</v>
      </c>
      <c r="N25" s="7">
        <f t="shared" ref="N25" si="10">SUM(N18:N24)</f>
        <v>155000</v>
      </c>
    </row>
    <row r="26" spans="1:14" ht="15.75" thickTop="1" x14ac:dyDescent="0.25">
      <c r="D26" s="8">
        <f>D25-'Public Buildings'!D98</f>
        <v>0</v>
      </c>
      <c r="E26" s="8">
        <f>E25-'Public Buildings'!E98</f>
        <v>0</v>
      </c>
      <c r="F26" s="8">
        <f>F25-'Public Buildings'!F98</f>
        <v>0</v>
      </c>
      <c r="G26" s="8">
        <f>G25-'Public Buildings'!G98</f>
        <v>0</v>
      </c>
      <c r="H26" s="8">
        <f>H25-'Public Buildings'!H98</f>
        <v>0</v>
      </c>
      <c r="I26" s="8">
        <f>I25-'Public Buildings'!I98</f>
        <v>0</v>
      </c>
      <c r="J26" s="8">
        <f>J25-'Public Buildings'!J98</f>
        <v>0</v>
      </c>
      <c r="K26" s="8">
        <f>K25-'Public Buildings'!K98</f>
        <v>0</v>
      </c>
      <c r="L26" s="8">
        <f>L25-'Public Buildings'!L98</f>
        <v>0</v>
      </c>
      <c r="M26" s="8">
        <f>M25-'Public Buildings'!M98</f>
        <v>0</v>
      </c>
      <c r="N26" s="8">
        <f>N25-'Public Buildings'!N98</f>
        <v>0</v>
      </c>
    </row>
    <row r="28" spans="1:14" hidden="1" outlineLevel="1" x14ac:dyDescent="0.25">
      <c r="A28" s="5" t="s">
        <v>48</v>
      </c>
      <c r="B28" s="11" t="s">
        <v>16</v>
      </c>
      <c r="D28" s="6">
        <f>Bridges!D31</f>
        <v>0</v>
      </c>
      <c r="E28" s="6">
        <f>Bridges!E31</f>
        <v>195600</v>
      </c>
      <c r="F28" s="6">
        <f>Bridges!F31</f>
        <v>500000</v>
      </c>
      <c r="G28" s="6">
        <f>Bridges!G31</f>
        <v>500000</v>
      </c>
      <c r="H28" s="6">
        <f>Bridges!H31</f>
        <v>250000</v>
      </c>
      <c r="I28" s="6">
        <f>Bridges!I31</f>
        <v>250000</v>
      </c>
      <c r="J28" s="6">
        <f>Bridges!J31</f>
        <v>250000</v>
      </c>
      <c r="K28" s="6">
        <f>Bridges!K31</f>
        <v>250000</v>
      </c>
      <c r="L28" s="6">
        <f>Bridges!L31</f>
        <v>250000</v>
      </c>
      <c r="M28" s="6">
        <f>Bridges!M31</f>
        <v>250000</v>
      </c>
      <c r="N28" s="6">
        <f>Bridges!N31</f>
        <v>250000</v>
      </c>
    </row>
    <row r="29" spans="1:14" hidden="1" outlineLevel="1" x14ac:dyDescent="0.25">
      <c r="A29" s="16" t="s">
        <v>268</v>
      </c>
      <c r="B29" s="11" t="s">
        <v>37</v>
      </c>
      <c r="D29" s="6">
        <f>Bridges!D32</f>
        <v>0</v>
      </c>
      <c r="E29" s="6">
        <f>Bridges!E32</f>
        <v>0</v>
      </c>
      <c r="F29" s="6">
        <f>Bridges!F32</f>
        <v>0</v>
      </c>
      <c r="G29" s="6">
        <f>Bridges!G32</f>
        <v>0</v>
      </c>
      <c r="H29" s="6">
        <f>Bridges!H32</f>
        <v>0</v>
      </c>
      <c r="I29" s="6">
        <f>Bridges!I32</f>
        <v>0</v>
      </c>
      <c r="J29" s="6">
        <f>Bridges!J32</f>
        <v>0</v>
      </c>
      <c r="K29" s="6">
        <f>Bridges!K32</f>
        <v>0</v>
      </c>
      <c r="L29" s="6">
        <f>Bridges!L32</f>
        <v>0</v>
      </c>
      <c r="M29" s="6">
        <f>Bridges!M32</f>
        <v>0</v>
      </c>
      <c r="N29" s="6">
        <f>Bridges!N32</f>
        <v>0</v>
      </c>
    </row>
    <row r="30" spans="1:14" hidden="1" outlineLevel="1" x14ac:dyDescent="0.25">
      <c r="B30" s="11" t="s">
        <v>38</v>
      </c>
      <c r="D30" s="6">
        <f>Bridges!D33</f>
        <v>0</v>
      </c>
      <c r="E30" s="6">
        <f>Bridges!E33</f>
        <v>782400</v>
      </c>
      <c r="F30" s="6">
        <f>Bridges!F33</f>
        <v>0</v>
      </c>
      <c r="G30" s="6">
        <f>Bridges!G33</f>
        <v>0</v>
      </c>
      <c r="H30" s="6">
        <f>Bridges!H33</f>
        <v>0</v>
      </c>
      <c r="I30" s="6">
        <f>Bridges!I33</f>
        <v>0</v>
      </c>
      <c r="J30" s="6">
        <f>Bridges!J33</f>
        <v>0</v>
      </c>
      <c r="K30" s="6">
        <f>Bridges!K33</f>
        <v>0</v>
      </c>
      <c r="L30" s="6">
        <f>Bridges!L33</f>
        <v>0</v>
      </c>
      <c r="M30" s="6">
        <f>Bridges!M33</f>
        <v>0</v>
      </c>
      <c r="N30" s="6">
        <f>Bridges!N33</f>
        <v>0</v>
      </c>
    </row>
    <row r="31" spans="1:14" hidden="1" outlineLevel="1" x14ac:dyDescent="0.25">
      <c r="B31" s="11" t="s">
        <v>19</v>
      </c>
      <c r="D31" s="6">
        <f>Bridges!D34</f>
        <v>1000000</v>
      </c>
      <c r="E31" s="6">
        <f>Bridges!E34</f>
        <v>1332800</v>
      </c>
      <c r="F31" s="6">
        <f>Bridges!F34</f>
        <v>1000000</v>
      </c>
      <c r="G31" s="6">
        <f>Bridges!G34</f>
        <v>0</v>
      </c>
      <c r="H31" s="6">
        <f>Bridges!H34</f>
        <v>0</v>
      </c>
      <c r="I31" s="6">
        <f>Bridges!I34</f>
        <v>0</v>
      </c>
      <c r="J31" s="6">
        <f>Bridges!J34</f>
        <v>0</v>
      </c>
      <c r="K31" s="6">
        <f>Bridges!K34</f>
        <v>0</v>
      </c>
      <c r="L31" s="6">
        <f>Bridges!L34</f>
        <v>0</v>
      </c>
      <c r="M31" s="6">
        <f>Bridges!M34</f>
        <v>0</v>
      </c>
      <c r="N31" s="6">
        <f>Bridges!N34</f>
        <v>0</v>
      </c>
    </row>
    <row r="32" spans="1:14" hidden="1" outlineLevel="1" x14ac:dyDescent="0.25">
      <c r="B32" s="11" t="s">
        <v>243</v>
      </c>
      <c r="D32" s="6">
        <f>Bridges!D35</f>
        <v>0</v>
      </c>
      <c r="E32" s="6">
        <f>Bridges!E35</f>
        <v>0</v>
      </c>
      <c r="F32" s="6">
        <f>Bridges!F35</f>
        <v>0</v>
      </c>
      <c r="G32" s="6">
        <f>Bridges!G35</f>
        <v>0</v>
      </c>
      <c r="H32" s="6">
        <f>Bridges!H35</f>
        <v>0</v>
      </c>
      <c r="I32" s="6">
        <f>Bridges!I35</f>
        <v>0</v>
      </c>
      <c r="J32" s="6">
        <f>Bridges!J35</f>
        <v>0</v>
      </c>
      <c r="K32" s="6">
        <f>Bridges!K35</f>
        <v>0</v>
      </c>
      <c r="L32" s="6">
        <f>Bridges!L35</f>
        <v>0</v>
      </c>
      <c r="M32" s="6">
        <f>Bridges!M35</f>
        <v>0</v>
      </c>
      <c r="N32" s="6">
        <f>Bridges!N35</f>
        <v>0</v>
      </c>
    </row>
    <row r="33" spans="1:17" hidden="1" outlineLevel="1" x14ac:dyDescent="0.25">
      <c r="B33" s="11" t="s">
        <v>13</v>
      </c>
      <c r="D33" s="6">
        <f>Bridges!D36</f>
        <v>0</v>
      </c>
      <c r="E33" s="6">
        <f>Bridges!E36</f>
        <v>0</v>
      </c>
      <c r="F33" s="6">
        <f>Bridges!F36</f>
        <v>0</v>
      </c>
      <c r="G33" s="6">
        <f>Bridges!G36</f>
        <v>0</v>
      </c>
      <c r="H33" s="6">
        <f>Bridges!H36</f>
        <v>0</v>
      </c>
      <c r="I33" s="6">
        <f>Bridges!I36</f>
        <v>0</v>
      </c>
      <c r="J33" s="6">
        <f>Bridges!J36</f>
        <v>0</v>
      </c>
      <c r="K33" s="6">
        <f>Bridges!K36</f>
        <v>0</v>
      </c>
      <c r="L33" s="6">
        <f>Bridges!L36</f>
        <v>0</v>
      </c>
      <c r="M33" s="6">
        <f>Bridges!M36</f>
        <v>0</v>
      </c>
      <c r="N33" s="6">
        <f>Bridges!N36</f>
        <v>0</v>
      </c>
    </row>
    <row r="34" spans="1:17" hidden="1" outlineLevel="1" x14ac:dyDescent="0.25">
      <c r="B34" s="11" t="s">
        <v>50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</row>
    <row r="35" spans="1:17" ht="15.75" collapsed="1" thickBot="1" x14ac:dyDescent="0.3">
      <c r="A35" t="s">
        <v>380</v>
      </c>
      <c r="D35" s="7">
        <f>SUM(D28:D34)</f>
        <v>1000000</v>
      </c>
      <c r="E35" s="7">
        <f t="shared" ref="E35" si="11">SUM(E28:E34)</f>
        <v>2310800</v>
      </c>
      <c r="F35" s="7">
        <f t="shared" ref="F35" si="12">SUM(F28:F34)</f>
        <v>1500000</v>
      </c>
      <c r="G35" s="7">
        <f t="shared" ref="G35" si="13">SUM(G28:G34)</f>
        <v>500000</v>
      </c>
      <c r="H35" s="7">
        <f t="shared" ref="H35" si="14">SUM(H28:H34)</f>
        <v>250000</v>
      </c>
      <c r="I35" s="7">
        <f t="shared" ref="I35" si="15">SUM(I28:I34)</f>
        <v>250000</v>
      </c>
      <c r="J35" s="7">
        <f t="shared" ref="J35" si="16">SUM(J28:J34)</f>
        <v>250000</v>
      </c>
      <c r="K35" s="7">
        <f t="shared" ref="K35" si="17">SUM(K28:K34)</f>
        <v>250000</v>
      </c>
      <c r="L35" s="7">
        <f t="shared" ref="L35" si="18">SUM(L28:L34)</f>
        <v>250000</v>
      </c>
      <c r="M35" s="7">
        <f t="shared" ref="M35" si="19">SUM(M28:M34)</f>
        <v>250000</v>
      </c>
      <c r="N35" s="7">
        <f t="shared" ref="N35" si="20">SUM(N28:N34)</f>
        <v>250000</v>
      </c>
    </row>
    <row r="36" spans="1:17" ht="15.75" thickTop="1" x14ac:dyDescent="0.25">
      <c r="D36" s="8">
        <f>D35-Bridges!D27</f>
        <v>0</v>
      </c>
      <c r="E36" s="8">
        <f>E35-Bridges!E27</f>
        <v>0</v>
      </c>
      <c r="F36" s="8">
        <f>F35-Bridges!F27</f>
        <v>0</v>
      </c>
      <c r="G36" s="8">
        <f>G35-Bridges!G27</f>
        <v>0</v>
      </c>
      <c r="H36" s="8">
        <f>H35-Bridges!H27</f>
        <v>0</v>
      </c>
      <c r="I36" s="8">
        <f>I35-Bridges!I27</f>
        <v>0</v>
      </c>
      <c r="J36" s="8">
        <f>J35-Bridges!J27</f>
        <v>0</v>
      </c>
      <c r="K36" s="8">
        <f>K35-Bridges!K27</f>
        <v>0</v>
      </c>
      <c r="L36" s="8">
        <f>L35-Bridges!L27</f>
        <v>0</v>
      </c>
      <c r="M36" s="8">
        <f>M35-Bridges!M27</f>
        <v>0</v>
      </c>
      <c r="N36" s="8">
        <f>N35-Bridges!N27</f>
        <v>0</v>
      </c>
    </row>
    <row r="38" spans="1:17" hidden="1" outlineLevel="1" x14ac:dyDescent="0.25">
      <c r="A38" s="5" t="s">
        <v>52</v>
      </c>
      <c r="B38" s="11" t="s">
        <v>16</v>
      </c>
      <c r="D38" s="6">
        <v>0</v>
      </c>
      <c r="E38" s="6">
        <v>0</v>
      </c>
      <c r="F38" s="6">
        <v>0</v>
      </c>
      <c r="G38" s="6">
        <v>1500000</v>
      </c>
      <c r="H38" s="6">
        <v>1500000</v>
      </c>
      <c r="I38" s="6">
        <v>1500000</v>
      </c>
      <c r="J38" s="6">
        <v>1500000</v>
      </c>
      <c r="K38" s="6">
        <v>1500000</v>
      </c>
      <c r="L38" s="6">
        <v>1500000</v>
      </c>
      <c r="M38" s="6">
        <v>1500000</v>
      </c>
      <c r="N38" s="6">
        <v>1500000</v>
      </c>
      <c r="Q38" s="8"/>
    </row>
    <row r="39" spans="1:17" hidden="1" outlineLevel="1" x14ac:dyDescent="0.25">
      <c r="A39" s="16" t="s">
        <v>269</v>
      </c>
      <c r="B39" s="11" t="s">
        <v>37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</row>
    <row r="40" spans="1:17" hidden="1" outlineLevel="1" x14ac:dyDescent="0.25">
      <c r="A40" s="16" t="s">
        <v>54</v>
      </c>
      <c r="B40" s="11" t="s">
        <v>38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</row>
    <row r="41" spans="1:17" hidden="1" outlineLevel="1" x14ac:dyDescent="0.25">
      <c r="A41" s="16" t="s">
        <v>105</v>
      </c>
      <c r="B41" s="11" t="s">
        <v>19</v>
      </c>
      <c r="D41" s="6">
        <v>1050000</v>
      </c>
      <c r="E41" s="6">
        <v>1500000</v>
      </c>
      <c r="F41" s="6">
        <v>1500000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</row>
    <row r="42" spans="1:17" hidden="1" outlineLevel="1" x14ac:dyDescent="0.25">
      <c r="A42" s="16" t="s">
        <v>106</v>
      </c>
      <c r="B42" s="11" t="s">
        <v>243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1:17" hidden="1" outlineLevel="1" x14ac:dyDescent="0.25">
      <c r="A43" s="16" t="s">
        <v>270</v>
      </c>
      <c r="B43" s="11" t="s">
        <v>13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</row>
    <row r="44" spans="1:17" hidden="1" outlineLevel="1" x14ac:dyDescent="0.25">
      <c r="B44" s="11" t="s">
        <v>50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</row>
    <row r="45" spans="1:17" ht="15.75" collapsed="1" thickBot="1" x14ac:dyDescent="0.3">
      <c r="A45" s="16" t="s">
        <v>381</v>
      </c>
      <c r="D45" s="7">
        <f>SUM(D38:D44)</f>
        <v>1050000</v>
      </c>
      <c r="E45" s="7">
        <f t="shared" ref="E45" si="21">SUM(E38:E44)</f>
        <v>1500000</v>
      </c>
      <c r="F45" s="7">
        <f t="shared" ref="F45" si="22">SUM(F38:F44)</f>
        <v>1500000</v>
      </c>
      <c r="G45" s="7">
        <f t="shared" ref="G45" si="23">SUM(G38:G44)</f>
        <v>1500000</v>
      </c>
      <c r="H45" s="7">
        <f t="shared" ref="H45" si="24">SUM(H38:H44)</f>
        <v>1500000</v>
      </c>
      <c r="I45" s="7">
        <f t="shared" ref="I45" si="25">SUM(I38:I44)</f>
        <v>1500000</v>
      </c>
      <c r="J45" s="7">
        <f t="shared" ref="J45" si="26">SUM(J38:J44)</f>
        <v>1500000</v>
      </c>
      <c r="K45" s="7">
        <f t="shared" ref="K45" si="27">SUM(K38:K44)</f>
        <v>1500000</v>
      </c>
      <c r="L45" s="7">
        <f t="shared" ref="L45" si="28">SUM(L38:L44)</f>
        <v>1500000</v>
      </c>
      <c r="M45" s="7">
        <f t="shared" ref="M45" si="29">SUM(M38:M44)</f>
        <v>1500000</v>
      </c>
      <c r="N45" s="7">
        <f t="shared" ref="N45" si="30">SUM(N38:N44)</f>
        <v>1500000</v>
      </c>
    </row>
    <row r="46" spans="1:17" ht="15.75" thickTop="1" x14ac:dyDescent="0.25"/>
    <row r="48" spans="1:17" hidden="1" outlineLevel="1" x14ac:dyDescent="0.25">
      <c r="A48" s="5" t="s">
        <v>91</v>
      </c>
      <c r="B48" s="11" t="s">
        <v>16</v>
      </c>
      <c r="D48" s="6">
        <f>'Parking Lots &amp; Playgrounds'!D39</f>
        <v>0</v>
      </c>
      <c r="E48" s="6">
        <f>'Parking Lots &amp; Playgrounds'!E39</f>
        <v>210000</v>
      </c>
      <c r="F48" s="6">
        <f>'Parking Lots &amp; Playgrounds'!F39</f>
        <v>470000</v>
      </c>
      <c r="G48" s="6">
        <f>'Parking Lots &amp; Playgrounds'!G39</f>
        <v>251000</v>
      </c>
      <c r="H48" s="6">
        <f>'Parking Lots &amp; Playgrounds'!H39</f>
        <v>325000</v>
      </c>
      <c r="I48" s="6">
        <f>'Parking Lots &amp; Playgrounds'!I39</f>
        <v>350000</v>
      </c>
      <c r="J48" s="6">
        <f>'Parking Lots &amp; Playgrounds'!J39</f>
        <v>145000</v>
      </c>
      <c r="K48" s="6">
        <f>'Parking Lots &amp; Playgrounds'!K39</f>
        <v>100000</v>
      </c>
      <c r="L48" s="6">
        <f>'Parking Lots &amp; Playgrounds'!L39</f>
        <v>125000</v>
      </c>
      <c r="M48" s="6">
        <f>'Parking Lots &amp; Playgrounds'!M39</f>
        <v>140000</v>
      </c>
      <c r="N48" s="6">
        <f>'Parking Lots &amp; Playgrounds'!N39</f>
        <v>35000</v>
      </c>
      <c r="P48" s="6"/>
      <c r="Q48" s="8"/>
    </row>
    <row r="49" spans="1:17" hidden="1" outlineLevel="1" x14ac:dyDescent="0.25">
      <c r="A49" s="16" t="s">
        <v>267</v>
      </c>
      <c r="B49" s="11" t="s">
        <v>37</v>
      </c>
      <c r="D49" s="6">
        <f>'Parking Lots &amp; Playgrounds'!D40</f>
        <v>0</v>
      </c>
      <c r="E49" s="6">
        <f>'Parking Lots &amp; Playgrounds'!E40</f>
        <v>0</v>
      </c>
      <c r="F49" s="6">
        <f>'Parking Lots &amp; Playgrounds'!F40</f>
        <v>0</v>
      </c>
      <c r="G49" s="6">
        <f>'Parking Lots &amp; Playgrounds'!G40</f>
        <v>0</v>
      </c>
      <c r="H49" s="6">
        <f>'Parking Lots &amp; Playgrounds'!H40</f>
        <v>0</v>
      </c>
      <c r="I49" s="6">
        <f>'Parking Lots &amp; Playgrounds'!I40</f>
        <v>0</v>
      </c>
      <c r="J49" s="6">
        <f>'Parking Lots &amp; Playgrounds'!J40</f>
        <v>0</v>
      </c>
      <c r="K49" s="6">
        <f>'Parking Lots &amp; Playgrounds'!K40</f>
        <v>0</v>
      </c>
      <c r="L49" s="6">
        <f>'Parking Lots &amp; Playgrounds'!L40</f>
        <v>0</v>
      </c>
      <c r="M49" s="6">
        <f>'Parking Lots &amp; Playgrounds'!M40</f>
        <v>0</v>
      </c>
      <c r="N49" s="6">
        <f>'Parking Lots &amp; Playgrounds'!N40</f>
        <v>0</v>
      </c>
      <c r="Q49" s="8"/>
    </row>
    <row r="50" spans="1:17" hidden="1" outlineLevel="1" x14ac:dyDescent="0.25">
      <c r="B50" s="11" t="s">
        <v>38</v>
      </c>
      <c r="D50" s="6">
        <f>'Parking Lots &amp; Playgrounds'!D41</f>
        <v>0</v>
      </c>
      <c r="E50" s="6">
        <f>'Parking Lots &amp; Playgrounds'!E41</f>
        <v>0</v>
      </c>
      <c r="F50" s="6">
        <f>'Parking Lots &amp; Playgrounds'!F41</f>
        <v>55000</v>
      </c>
      <c r="G50" s="6">
        <f>'Parking Lots &amp; Playgrounds'!G41</f>
        <v>0</v>
      </c>
      <c r="H50" s="6">
        <f>'Parking Lots &amp; Playgrounds'!H41</f>
        <v>0</v>
      </c>
      <c r="I50" s="6">
        <f>'Parking Lots &amp; Playgrounds'!I41</f>
        <v>0</v>
      </c>
      <c r="J50" s="6">
        <f>'Parking Lots &amp; Playgrounds'!J41</f>
        <v>0</v>
      </c>
      <c r="K50" s="6">
        <f>'Parking Lots &amp; Playgrounds'!K41</f>
        <v>0</v>
      </c>
      <c r="L50" s="6">
        <f>'Parking Lots &amp; Playgrounds'!L41</f>
        <v>0</v>
      </c>
      <c r="M50" s="6">
        <f>'Parking Lots &amp; Playgrounds'!M41</f>
        <v>0</v>
      </c>
      <c r="N50" s="6">
        <f>'Parking Lots &amp; Playgrounds'!N41</f>
        <v>0</v>
      </c>
      <c r="Q50" s="8"/>
    </row>
    <row r="51" spans="1:17" hidden="1" outlineLevel="1" x14ac:dyDescent="0.25">
      <c r="B51" s="11" t="s">
        <v>19</v>
      </c>
      <c r="D51" s="6">
        <f>'Parking Lots &amp; Playgrounds'!D42</f>
        <v>0</v>
      </c>
      <c r="E51" s="6">
        <f>'Parking Lots &amp; Playgrounds'!E42</f>
        <v>0</v>
      </c>
      <c r="F51" s="6">
        <f>'Parking Lots &amp; Playgrounds'!F42</f>
        <v>0</v>
      </c>
      <c r="G51" s="6">
        <f>'Parking Lots &amp; Playgrounds'!G42</f>
        <v>0</v>
      </c>
      <c r="H51" s="6">
        <f>'Parking Lots &amp; Playgrounds'!H42</f>
        <v>0</v>
      </c>
      <c r="I51" s="6">
        <f>'Parking Lots &amp; Playgrounds'!I42</f>
        <v>0</v>
      </c>
      <c r="J51" s="6">
        <f>'Parking Lots &amp; Playgrounds'!J42</f>
        <v>0</v>
      </c>
      <c r="K51" s="6">
        <f>'Parking Lots &amp; Playgrounds'!K42</f>
        <v>0</v>
      </c>
      <c r="L51" s="6">
        <f>'Parking Lots &amp; Playgrounds'!L42</f>
        <v>0</v>
      </c>
      <c r="M51" s="6">
        <f>'Parking Lots &amp; Playgrounds'!M42</f>
        <v>0</v>
      </c>
      <c r="N51" s="6">
        <f>'Parking Lots &amp; Playgrounds'!N42</f>
        <v>0</v>
      </c>
      <c r="Q51" s="8"/>
    </row>
    <row r="52" spans="1:17" hidden="1" outlineLevel="1" x14ac:dyDescent="0.25">
      <c r="B52" s="11" t="s">
        <v>243</v>
      </c>
      <c r="D52" s="6">
        <f>'Parking Lots &amp; Playgrounds'!D43</f>
        <v>0</v>
      </c>
      <c r="E52" s="6">
        <f>'Parking Lots &amp; Playgrounds'!E43</f>
        <v>0</v>
      </c>
      <c r="F52" s="6">
        <f>'Parking Lots &amp; Playgrounds'!F43</f>
        <v>0</v>
      </c>
      <c r="G52" s="6">
        <f>'Parking Lots &amp; Playgrounds'!G43</f>
        <v>0</v>
      </c>
      <c r="H52" s="6">
        <f>'Parking Lots &amp; Playgrounds'!H43</f>
        <v>0</v>
      </c>
      <c r="I52" s="6">
        <f>'Parking Lots &amp; Playgrounds'!I43</f>
        <v>0</v>
      </c>
      <c r="J52" s="6">
        <f>'Parking Lots &amp; Playgrounds'!J43</f>
        <v>0</v>
      </c>
      <c r="K52" s="6">
        <f>'Parking Lots &amp; Playgrounds'!K43</f>
        <v>0</v>
      </c>
      <c r="L52" s="6">
        <f>'Parking Lots &amp; Playgrounds'!L43</f>
        <v>0</v>
      </c>
      <c r="M52" s="6">
        <f>'Parking Lots &amp; Playgrounds'!M43</f>
        <v>0</v>
      </c>
      <c r="N52" s="6">
        <f>'Parking Lots &amp; Playgrounds'!N43</f>
        <v>0</v>
      </c>
      <c r="Q52" s="8"/>
    </row>
    <row r="53" spans="1:17" hidden="1" outlineLevel="1" x14ac:dyDescent="0.25">
      <c r="B53" s="11" t="s">
        <v>13</v>
      </c>
      <c r="D53" s="6">
        <f>'Parking Lots &amp; Playgrounds'!D44</f>
        <v>0</v>
      </c>
      <c r="E53" s="6">
        <f>'Parking Lots &amp; Playgrounds'!E44</f>
        <v>0</v>
      </c>
      <c r="F53" s="6">
        <f>'Parking Lots &amp; Playgrounds'!F44</f>
        <v>0</v>
      </c>
      <c r="G53" s="6">
        <f>'Parking Lots &amp; Playgrounds'!G44</f>
        <v>0</v>
      </c>
      <c r="H53" s="6">
        <f>'Parking Lots &amp; Playgrounds'!H44</f>
        <v>0</v>
      </c>
      <c r="I53" s="6">
        <f>'Parking Lots &amp; Playgrounds'!I44</f>
        <v>0</v>
      </c>
      <c r="J53" s="6">
        <f>'Parking Lots &amp; Playgrounds'!J44</f>
        <v>0</v>
      </c>
      <c r="K53" s="6">
        <f>'Parking Lots &amp; Playgrounds'!K44</f>
        <v>0</v>
      </c>
      <c r="L53" s="6">
        <f>'Parking Lots &amp; Playgrounds'!L44</f>
        <v>0</v>
      </c>
      <c r="M53" s="6">
        <f>'Parking Lots &amp; Playgrounds'!M44</f>
        <v>0</v>
      </c>
      <c r="N53" s="6">
        <f>'Parking Lots &amp; Playgrounds'!N44</f>
        <v>0</v>
      </c>
      <c r="Q53" s="8"/>
    </row>
    <row r="54" spans="1:17" hidden="1" outlineLevel="1" x14ac:dyDescent="0.25">
      <c r="B54" s="11" t="s">
        <v>50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Q54" s="8"/>
    </row>
    <row r="55" spans="1:17" ht="15.75" collapsed="1" thickBot="1" x14ac:dyDescent="0.3">
      <c r="A55" t="s">
        <v>382</v>
      </c>
      <c r="D55" s="7">
        <f>SUM(D48:D54)</f>
        <v>0</v>
      </c>
      <c r="E55" s="7">
        <f t="shared" ref="E55" si="31">SUM(E48:E54)</f>
        <v>210000</v>
      </c>
      <c r="F55" s="7">
        <f t="shared" ref="F55" si="32">SUM(F48:F54)</f>
        <v>525000</v>
      </c>
      <c r="G55" s="7">
        <f t="shared" ref="G55" si="33">SUM(G48:G54)</f>
        <v>251000</v>
      </c>
      <c r="H55" s="7">
        <f t="shared" ref="H55" si="34">SUM(H48:H54)</f>
        <v>325000</v>
      </c>
      <c r="I55" s="7">
        <f t="shared" ref="I55" si="35">SUM(I48:I54)</f>
        <v>350000</v>
      </c>
      <c r="J55" s="7">
        <f t="shared" ref="J55" si="36">SUM(J48:J54)</f>
        <v>145000</v>
      </c>
      <c r="K55" s="7">
        <f t="shared" ref="K55" si="37">SUM(K48:K54)</f>
        <v>100000</v>
      </c>
      <c r="L55" s="7">
        <f t="shared" ref="L55" si="38">SUM(L48:L54)</f>
        <v>125000</v>
      </c>
      <c r="M55" s="7">
        <f t="shared" ref="M55" si="39">SUM(M48:M54)</f>
        <v>140000</v>
      </c>
      <c r="N55" s="7">
        <f t="shared" ref="N55" si="40">SUM(N48:N54)</f>
        <v>35000</v>
      </c>
      <c r="Q55" s="8"/>
    </row>
    <row r="56" spans="1:17" ht="15.75" thickTop="1" x14ac:dyDescent="0.25">
      <c r="D56" s="8">
        <f>D55-'Parking Lots &amp; Playgrounds'!D35</f>
        <v>0</v>
      </c>
      <c r="E56" s="8">
        <f>E55-'Parking Lots &amp; Playgrounds'!E35</f>
        <v>0</v>
      </c>
      <c r="F56" s="8">
        <f>F55-'Parking Lots &amp; Playgrounds'!F35</f>
        <v>0</v>
      </c>
      <c r="G56" s="8">
        <f>G55-'Parking Lots &amp; Playgrounds'!G35</f>
        <v>0</v>
      </c>
      <c r="H56" s="8">
        <f>H55-'Parking Lots &amp; Playgrounds'!H35</f>
        <v>0</v>
      </c>
      <c r="I56" s="8">
        <f>I55-'Parking Lots &amp; Playgrounds'!I35</f>
        <v>0</v>
      </c>
      <c r="J56" s="8">
        <f>J55-'Parking Lots &amp; Playgrounds'!J35</f>
        <v>0</v>
      </c>
      <c r="K56" s="8">
        <f>K55-'Parking Lots &amp; Playgrounds'!K35</f>
        <v>0</v>
      </c>
      <c r="L56" s="8">
        <f>L55-'Parking Lots &amp; Playgrounds'!L35</f>
        <v>0</v>
      </c>
      <c r="M56" s="8">
        <f>M55-'Parking Lots &amp; Playgrounds'!M35</f>
        <v>0</v>
      </c>
      <c r="N56" s="8">
        <f>N55-'Parking Lots &amp; Playgrounds'!N35</f>
        <v>0</v>
      </c>
      <c r="Q56" s="8"/>
    </row>
    <row r="57" spans="1:17" x14ac:dyDescent="0.25">
      <c r="Q57" s="8"/>
    </row>
    <row r="58" spans="1:17" hidden="1" outlineLevel="1" x14ac:dyDescent="0.25">
      <c r="A58" s="5" t="s">
        <v>49</v>
      </c>
      <c r="B58" s="11" t="s">
        <v>16</v>
      </c>
      <c r="D58" s="6">
        <f>Vehicles!E57</f>
        <v>46950</v>
      </c>
      <c r="E58" s="6">
        <f>Vehicles!F57</f>
        <v>726449</v>
      </c>
      <c r="F58" s="6">
        <f>Vehicles!G57</f>
        <v>716742</v>
      </c>
      <c r="G58" s="6">
        <f>Vehicles!H57</f>
        <v>1119643</v>
      </c>
      <c r="H58" s="6">
        <f>Vehicles!I57</f>
        <v>925191</v>
      </c>
      <c r="I58" s="6">
        <f>Vehicles!J57</f>
        <v>829738</v>
      </c>
      <c r="J58" s="6">
        <f>Vehicles!K57</f>
        <v>802186</v>
      </c>
      <c r="K58" s="6">
        <f>Vehicles!L57</f>
        <v>651018</v>
      </c>
      <c r="L58" s="6">
        <f>Vehicles!M57</f>
        <v>692799</v>
      </c>
      <c r="M58" s="6">
        <f>Vehicles!N57</f>
        <v>987187</v>
      </c>
      <c r="N58" s="6">
        <f>Vehicles!O57</f>
        <v>627543</v>
      </c>
      <c r="P58" s="6"/>
      <c r="Q58" s="8"/>
    </row>
    <row r="59" spans="1:17" hidden="1" outlineLevel="1" x14ac:dyDescent="0.25">
      <c r="A59" s="16" t="s">
        <v>266</v>
      </c>
      <c r="B59" s="11" t="s">
        <v>37</v>
      </c>
      <c r="D59" s="6">
        <f>Vehicles!E58</f>
        <v>0</v>
      </c>
      <c r="E59" s="6">
        <f>Vehicles!F58</f>
        <v>0</v>
      </c>
      <c r="F59" s="6">
        <f>Vehicles!G58</f>
        <v>0</v>
      </c>
      <c r="G59" s="6">
        <f>Vehicles!H58</f>
        <v>0</v>
      </c>
      <c r="H59" s="6">
        <f>Vehicles!I58</f>
        <v>0</v>
      </c>
      <c r="I59" s="6">
        <f>Vehicles!J58</f>
        <v>0</v>
      </c>
      <c r="J59" s="6">
        <f>Vehicles!K58</f>
        <v>0</v>
      </c>
      <c r="K59" s="6">
        <f>Vehicles!L58</f>
        <v>0</v>
      </c>
      <c r="L59" s="6">
        <f>Vehicles!M58</f>
        <v>0</v>
      </c>
      <c r="M59" s="6">
        <f>Vehicles!N58</f>
        <v>0</v>
      </c>
      <c r="N59" s="6">
        <f>Vehicles!O58</f>
        <v>0</v>
      </c>
    </row>
    <row r="60" spans="1:17" hidden="1" outlineLevel="1" x14ac:dyDescent="0.25">
      <c r="B60" s="11" t="s">
        <v>38</v>
      </c>
      <c r="D60" s="6">
        <f>Vehicles!E59</f>
        <v>0</v>
      </c>
      <c r="E60" s="6">
        <f>Vehicles!F59</f>
        <v>0</v>
      </c>
      <c r="F60" s="6">
        <f>Vehicles!G59</f>
        <v>0</v>
      </c>
      <c r="G60" s="6">
        <f>Vehicles!H59</f>
        <v>0</v>
      </c>
      <c r="H60" s="6">
        <f>Vehicles!I59</f>
        <v>0</v>
      </c>
      <c r="I60" s="6">
        <f>Vehicles!J59</f>
        <v>0</v>
      </c>
      <c r="J60" s="6">
        <f>Vehicles!K59</f>
        <v>0</v>
      </c>
      <c r="K60" s="6">
        <f>Vehicles!L59</f>
        <v>0</v>
      </c>
      <c r="L60" s="6">
        <f>Vehicles!M59</f>
        <v>0</v>
      </c>
      <c r="M60" s="6">
        <f>Vehicles!N59</f>
        <v>0</v>
      </c>
      <c r="N60" s="6">
        <f>Vehicles!O59</f>
        <v>0</v>
      </c>
    </row>
    <row r="61" spans="1:17" hidden="1" outlineLevel="1" x14ac:dyDescent="0.25">
      <c r="B61" s="11" t="s">
        <v>19</v>
      </c>
      <c r="D61" s="6">
        <f>Vehicles!E60</f>
        <v>0</v>
      </c>
      <c r="E61" s="6">
        <f>Vehicles!F60</f>
        <v>0</v>
      </c>
      <c r="F61" s="6">
        <f>Vehicles!G60</f>
        <v>1300000</v>
      </c>
      <c r="G61" s="6">
        <f>Vehicles!H60</f>
        <v>0</v>
      </c>
      <c r="H61" s="6">
        <f>Vehicles!I60</f>
        <v>0</v>
      </c>
      <c r="I61" s="6">
        <f>Vehicles!J60</f>
        <v>0</v>
      </c>
      <c r="J61" s="6">
        <f>Vehicles!K60</f>
        <v>1300000</v>
      </c>
      <c r="K61" s="6">
        <f>Vehicles!L60</f>
        <v>0</v>
      </c>
      <c r="L61" s="6">
        <f>Vehicles!M60</f>
        <v>0</v>
      </c>
      <c r="M61" s="6">
        <f>Vehicles!N60</f>
        <v>0</v>
      </c>
      <c r="N61" s="6">
        <f>Vehicles!O60</f>
        <v>0</v>
      </c>
    </row>
    <row r="62" spans="1:17" hidden="1" outlineLevel="1" x14ac:dyDescent="0.25">
      <c r="B62" s="11" t="s">
        <v>243</v>
      </c>
      <c r="D62" s="6">
        <f>Vehicles!E61</f>
        <v>0</v>
      </c>
      <c r="E62" s="6">
        <f>Vehicles!F61</f>
        <v>0</v>
      </c>
      <c r="F62" s="6">
        <f>Vehicles!G61</f>
        <v>0</v>
      </c>
      <c r="G62" s="6">
        <f>Vehicles!H61</f>
        <v>0</v>
      </c>
      <c r="H62" s="6">
        <f>Vehicles!I61</f>
        <v>0</v>
      </c>
      <c r="I62" s="6">
        <f>Vehicles!J61</f>
        <v>0</v>
      </c>
      <c r="J62" s="6">
        <f>Vehicles!K61</f>
        <v>0</v>
      </c>
      <c r="K62" s="6">
        <f>Vehicles!L61</f>
        <v>0</v>
      </c>
      <c r="L62" s="6">
        <f>Vehicles!M61</f>
        <v>0</v>
      </c>
      <c r="M62" s="6">
        <f>Vehicles!N61</f>
        <v>0</v>
      </c>
      <c r="N62" s="6">
        <f>Vehicles!O61</f>
        <v>0</v>
      </c>
    </row>
    <row r="63" spans="1:17" hidden="1" outlineLevel="1" x14ac:dyDescent="0.25">
      <c r="B63" s="11" t="s">
        <v>13</v>
      </c>
      <c r="D63" s="6">
        <f>Vehicles!E62</f>
        <v>0</v>
      </c>
      <c r="E63" s="6">
        <f>Vehicles!F62</f>
        <v>0</v>
      </c>
      <c r="F63" s="6">
        <f>Vehicles!G62</f>
        <v>0</v>
      </c>
      <c r="G63" s="6">
        <f>Vehicles!H62</f>
        <v>0</v>
      </c>
      <c r="H63" s="6">
        <f>Vehicles!I62</f>
        <v>0</v>
      </c>
      <c r="I63" s="6">
        <f>Vehicles!J62</f>
        <v>0</v>
      </c>
      <c r="J63" s="6">
        <f>Vehicles!K62</f>
        <v>0</v>
      </c>
      <c r="K63" s="6">
        <f>Vehicles!L62</f>
        <v>0</v>
      </c>
      <c r="L63" s="6">
        <f>Vehicles!M62</f>
        <v>0</v>
      </c>
      <c r="M63" s="6">
        <f>Vehicles!N62</f>
        <v>0</v>
      </c>
      <c r="N63" s="6">
        <f>Vehicles!O62</f>
        <v>0</v>
      </c>
    </row>
    <row r="64" spans="1:17" hidden="1" outlineLevel="1" x14ac:dyDescent="0.25">
      <c r="B64" s="11" t="s">
        <v>50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</row>
    <row r="65" spans="1:14" ht="15.75" collapsed="1" thickBot="1" x14ac:dyDescent="0.3">
      <c r="A65" t="s">
        <v>383</v>
      </c>
      <c r="D65" s="7">
        <f>SUM(D58:D64)</f>
        <v>46950</v>
      </c>
      <c r="E65" s="7">
        <f t="shared" ref="E65" si="41">SUM(E58:E64)</f>
        <v>726449</v>
      </c>
      <c r="F65" s="7">
        <f t="shared" ref="F65" si="42">SUM(F58:F64)</f>
        <v>2016742</v>
      </c>
      <c r="G65" s="7">
        <f t="shared" ref="G65" si="43">SUM(G58:G64)</f>
        <v>1119643</v>
      </c>
      <c r="H65" s="7">
        <f t="shared" ref="H65" si="44">SUM(H58:H64)</f>
        <v>925191</v>
      </c>
      <c r="I65" s="7">
        <f t="shared" ref="I65" si="45">SUM(I58:I64)</f>
        <v>829738</v>
      </c>
      <c r="J65" s="7">
        <f t="shared" ref="J65" si="46">SUM(J58:J64)</f>
        <v>2102186</v>
      </c>
      <c r="K65" s="7">
        <f t="shared" ref="K65" si="47">SUM(K58:K64)</f>
        <v>651018</v>
      </c>
      <c r="L65" s="7">
        <f t="shared" ref="L65" si="48">SUM(L58:L64)</f>
        <v>692799</v>
      </c>
      <c r="M65" s="7">
        <f t="shared" ref="M65" si="49">SUM(M58:M64)</f>
        <v>987187</v>
      </c>
      <c r="N65" s="7">
        <f t="shared" ref="N65" si="50">SUM(N58:N64)</f>
        <v>627543</v>
      </c>
    </row>
    <row r="66" spans="1:14" ht="15.75" thickTop="1" x14ac:dyDescent="0.25">
      <c r="D66" s="8">
        <f>D65-Vehicles!E53</f>
        <v>0</v>
      </c>
      <c r="E66" s="8">
        <f>E65-Vehicles!F53</f>
        <v>0</v>
      </c>
      <c r="F66" s="8">
        <f>F65-Vehicles!G53</f>
        <v>0</v>
      </c>
      <c r="G66" s="8">
        <f>G65-Vehicles!H53</f>
        <v>0</v>
      </c>
      <c r="H66" s="8">
        <f>H65-Vehicles!I53</f>
        <v>0</v>
      </c>
      <c r="I66" s="8">
        <f>I65-Vehicles!J53</f>
        <v>0</v>
      </c>
      <c r="J66" s="8">
        <f>J65-Vehicles!K53</f>
        <v>0</v>
      </c>
      <c r="K66" s="8">
        <f>K65-Vehicles!L53</f>
        <v>0</v>
      </c>
      <c r="L66" s="8">
        <f>L65-Vehicles!M53</f>
        <v>0</v>
      </c>
      <c r="M66" s="8">
        <f>M65-Vehicles!N53</f>
        <v>0</v>
      </c>
      <c r="N66" s="8">
        <f>N65-Vehicles!O53</f>
        <v>0</v>
      </c>
    </row>
    <row r="68" spans="1:14" hidden="1" outlineLevel="1" x14ac:dyDescent="0.25">
      <c r="A68" s="5" t="s">
        <v>101</v>
      </c>
      <c r="B68" s="11" t="s">
        <v>16</v>
      </c>
      <c r="D68" s="6">
        <f>'Other Capital Needs'!F104</f>
        <v>15869</v>
      </c>
      <c r="E68" s="6">
        <f>'Other Capital Needs'!G104</f>
        <v>859547</v>
      </c>
      <c r="F68" s="6">
        <f>'Other Capital Needs'!H104</f>
        <v>1411530</v>
      </c>
      <c r="G68" s="6">
        <f>'Other Capital Needs'!I104</f>
        <v>1300678</v>
      </c>
      <c r="H68" s="6">
        <f>'Other Capital Needs'!J104</f>
        <v>734967</v>
      </c>
      <c r="I68" s="6">
        <f>'Other Capital Needs'!K104</f>
        <v>678718</v>
      </c>
      <c r="J68" s="6">
        <f>'Other Capital Needs'!L104</f>
        <v>601814</v>
      </c>
      <c r="K68" s="6">
        <f>'Other Capital Needs'!M104</f>
        <v>572249</v>
      </c>
      <c r="L68" s="6">
        <f>'Other Capital Needs'!N104</f>
        <v>599685</v>
      </c>
      <c r="M68" s="6">
        <f>'Other Capital Needs'!O104</f>
        <v>621185</v>
      </c>
      <c r="N68" s="6">
        <f>'Other Capital Needs'!P104</f>
        <v>849185</v>
      </c>
    </row>
    <row r="69" spans="1:14" hidden="1" outlineLevel="1" x14ac:dyDescent="0.25">
      <c r="B69" s="11" t="s">
        <v>37</v>
      </c>
      <c r="D69" s="6">
        <f>'Other Capital Needs'!F105</f>
        <v>0</v>
      </c>
      <c r="E69" s="6">
        <f>'Other Capital Needs'!G105</f>
        <v>0</v>
      </c>
      <c r="F69" s="6">
        <f>'Other Capital Needs'!H105</f>
        <v>100000</v>
      </c>
      <c r="G69" s="6">
        <f>'Other Capital Needs'!I105</f>
        <v>0</v>
      </c>
      <c r="H69" s="6">
        <f>'Other Capital Needs'!J105</f>
        <v>75000</v>
      </c>
      <c r="I69" s="6">
        <f>'Other Capital Needs'!K105</f>
        <v>75000</v>
      </c>
      <c r="J69" s="6">
        <f>'Other Capital Needs'!L105</f>
        <v>0</v>
      </c>
      <c r="K69" s="6">
        <f>'Other Capital Needs'!M105</f>
        <v>0</v>
      </c>
      <c r="L69" s="6">
        <f>'Other Capital Needs'!N105</f>
        <v>0</v>
      </c>
      <c r="M69" s="6">
        <f>'Other Capital Needs'!O105</f>
        <v>0</v>
      </c>
      <c r="N69" s="6">
        <f>'Other Capital Needs'!P105</f>
        <v>0</v>
      </c>
    </row>
    <row r="70" spans="1:14" hidden="1" outlineLevel="1" x14ac:dyDescent="0.25">
      <c r="B70" s="11" t="s">
        <v>38</v>
      </c>
      <c r="D70" s="6">
        <f>'Other Capital Needs'!F106</f>
        <v>0</v>
      </c>
      <c r="E70" s="6">
        <f>'Other Capital Needs'!G106</f>
        <v>170000</v>
      </c>
      <c r="F70" s="6">
        <f>'Other Capital Needs'!H106</f>
        <v>470000</v>
      </c>
      <c r="G70" s="6">
        <f>'Other Capital Needs'!I106</f>
        <v>270000</v>
      </c>
      <c r="H70" s="6">
        <f>'Other Capital Needs'!J106</f>
        <v>270000</v>
      </c>
      <c r="I70" s="6">
        <f>'Other Capital Needs'!K106</f>
        <v>270000</v>
      </c>
      <c r="J70" s="6">
        <f>'Other Capital Needs'!L106</f>
        <v>270000</v>
      </c>
      <c r="K70" s="6">
        <f>'Other Capital Needs'!M106</f>
        <v>270000</v>
      </c>
      <c r="L70" s="6">
        <f>'Other Capital Needs'!N106</f>
        <v>270000</v>
      </c>
      <c r="M70" s="6">
        <f>'Other Capital Needs'!O106</f>
        <v>270000</v>
      </c>
      <c r="N70" s="6">
        <f>'Other Capital Needs'!P106</f>
        <v>270000</v>
      </c>
    </row>
    <row r="71" spans="1:14" hidden="1" outlineLevel="1" x14ac:dyDescent="0.25">
      <c r="B71" s="11" t="s">
        <v>19</v>
      </c>
      <c r="D71" s="6">
        <f>'Other Capital Needs'!F107</f>
        <v>2100000</v>
      </c>
      <c r="E71" s="6">
        <f>'Other Capital Needs'!G107</f>
        <v>1400000</v>
      </c>
      <c r="F71" s="6">
        <f>'Other Capital Needs'!H107</f>
        <v>0</v>
      </c>
      <c r="G71" s="6">
        <f>'Other Capital Needs'!I107</f>
        <v>1000000</v>
      </c>
      <c r="H71" s="6">
        <f>'Other Capital Needs'!J107</f>
        <v>0</v>
      </c>
      <c r="I71" s="6">
        <f>'Other Capital Needs'!K107</f>
        <v>0</v>
      </c>
      <c r="J71" s="6">
        <f>'Other Capital Needs'!L107</f>
        <v>0</v>
      </c>
      <c r="K71" s="6">
        <f>'Other Capital Needs'!M107</f>
        <v>0</v>
      </c>
      <c r="L71" s="6">
        <f>'Other Capital Needs'!N107</f>
        <v>0</v>
      </c>
      <c r="M71" s="6">
        <f>'Other Capital Needs'!O107</f>
        <v>0</v>
      </c>
      <c r="N71" s="6">
        <f>'Other Capital Needs'!P107</f>
        <v>0</v>
      </c>
    </row>
    <row r="72" spans="1:14" hidden="1" outlineLevel="1" x14ac:dyDescent="0.25">
      <c r="B72" s="11" t="s">
        <v>243</v>
      </c>
      <c r="D72" s="6">
        <f>'Other Capital Needs'!F108</f>
        <v>0</v>
      </c>
      <c r="E72" s="6">
        <f>'Other Capital Needs'!G108</f>
        <v>61000</v>
      </c>
      <c r="F72" s="6">
        <f>'Other Capital Needs'!H108</f>
        <v>0</v>
      </c>
      <c r="G72" s="6">
        <f>'Other Capital Needs'!I108</f>
        <v>0</v>
      </c>
      <c r="H72" s="6">
        <f>'Other Capital Needs'!J108</f>
        <v>16000</v>
      </c>
      <c r="I72" s="6">
        <f>'Other Capital Needs'!K108</f>
        <v>0</v>
      </c>
      <c r="J72" s="6">
        <f>'Other Capital Needs'!L108</f>
        <v>0</v>
      </c>
      <c r="K72" s="6">
        <f>'Other Capital Needs'!M108</f>
        <v>0</v>
      </c>
      <c r="L72" s="6">
        <f>'Other Capital Needs'!N108</f>
        <v>0</v>
      </c>
      <c r="M72" s="6">
        <f>'Other Capital Needs'!O108</f>
        <v>0</v>
      </c>
      <c r="N72" s="6">
        <f>'Other Capital Needs'!P108</f>
        <v>0</v>
      </c>
    </row>
    <row r="73" spans="1:14" hidden="1" outlineLevel="1" x14ac:dyDescent="0.25">
      <c r="B73" s="11" t="s">
        <v>13</v>
      </c>
      <c r="D73" s="6">
        <f>'Other Capital Needs'!F109</f>
        <v>0</v>
      </c>
      <c r="E73" s="6">
        <f>'Other Capital Needs'!G109</f>
        <v>0</v>
      </c>
      <c r="F73" s="6">
        <f>'Other Capital Needs'!H109</f>
        <v>0</v>
      </c>
      <c r="G73" s="6">
        <f>'Other Capital Needs'!I109</f>
        <v>0</v>
      </c>
      <c r="H73" s="6">
        <f>'Other Capital Needs'!J109</f>
        <v>0</v>
      </c>
      <c r="I73" s="6">
        <f>'Other Capital Needs'!K109</f>
        <v>0</v>
      </c>
      <c r="J73" s="6">
        <f>'Other Capital Needs'!L109</f>
        <v>0</v>
      </c>
      <c r="K73" s="6">
        <f>'Other Capital Needs'!M109</f>
        <v>0</v>
      </c>
      <c r="L73" s="6">
        <f>'Other Capital Needs'!N109</f>
        <v>0</v>
      </c>
      <c r="M73" s="6">
        <f>'Other Capital Needs'!O109</f>
        <v>0</v>
      </c>
      <c r="N73" s="6">
        <f>'Other Capital Needs'!P109</f>
        <v>0</v>
      </c>
    </row>
    <row r="74" spans="1:14" hidden="1" outlineLevel="1" x14ac:dyDescent="0.25">
      <c r="B74" s="11" t="s">
        <v>50</v>
      </c>
      <c r="D74" s="6">
        <f>'Other Capital Needs'!F110</f>
        <v>0</v>
      </c>
      <c r="E74" s="6">
        <f>'Other Capital Needs'!G110</f>
        <v>0</v>
      </c>
      <c r="F74" s="6">
        <f>'Other Capital Needs'!H110</f>
        <v>0</v>
      </c>
      <c r="G74" s="6">
        <f>'Other Capital Needs'!I110</f>
        <v>0</v>
      </c>
      <c r="H74" s="6">
        <f>'Other Capital Needs'!J110</f>
        <v>0</v>
      </c>
      <c r="I74" s="6">
        <f>'Other Capital Needs'!K110</f>
        <v>0</v>
      </c>
      <c r="J74" s="6">
        <f>'Other Capital Needs'!L110</f>
        <v>0</v>
      </c>
      <c r="K74" s="6">
        <f>'Other Capital Needs'!M110</f>
        <v>0</v>
      </c>
      <c r="L74" s="6">
        <f>'Other Capital Needs'!N110</f>
        <v>0</v>
      </c>
      <c r="M74" s="6">
        <f>'Other Capital Needs'!O110</f>
        <v>0</v>
      </c>
      <c r="N74" s="6">
        <f>'Other Capital Needs'!P110</f>
        <v>0</v>
      </c>
    </row>
    <row r="75" spans="1:14" ht="15.75" collapsed="1" thickBot="1" x14ac:dyDescent="0.3">
      <c r="A75" t="s">
        <v>384</v>
      </c>
      <c r="D75" s="7">
        <f>SUM(D68:D74)</f>
        <v>2115869</v>
      </c>
      <c r="E75" s="7">
        <f t="shared" ref="E75:N75" si="51">SUM(E68:E74)</f>
        <v>2490547</v>
      </c>
      <c r="F75" s="7">
        <f t="shared" si="51"/>
        <v>1981530</v>
      </c>
      <c r="G75" s="7">
        <f t="shared" si="51"/>
        <v>2570678</v>
      </c>
      <c r="H75" s="7">
        <f t="shared" si="51"/>
        <v>1095967</v>
      </c>
      <c r="I75" s="7">
        <f t="shared" si="51"/>
        <v>1023718</v>
      </c>
      <c r="J75" s="7">
        <f t="shared" si="51"/>
        <v>871814</v>
      </c>
      <c r="K75" s="7">
        <f t="shared" si="51"/>
        <v>842249</v>
      </c>
      <c r="L75" s="7">
        <f t="shared" si="51"/>
        <v>869685</v>
      </c>
      <c r="M75" s="7">
        <f t="shared" si="51"/>
        <v>891185</v>
      </c>
      <c r="N75" s="7">
        <f t="shared" si="51"/>
        <v>1119185</v>
      </c>
    </row>
    <row r="76" spans="1:14" ht="15.75" thickTop="1" x14ac:dyDescent="0.25">
      <c r="D76" s="8">
        <f>D75-'Other Capital Needs'!F97</f>
        <v>0</v>
      </c>
      <c r="E76" s="8">
        <f>E75-'Other Capital Needs'!G97</f>
        <v>0</v>
      </c>
      <c r="F76" s="8">
        <f>F75-'Other Capital Needs'!H97</f>
        <v>0</v>
      </c>
      <c r="G76" s="8">
        <f>G75-'Other Capital Needs'!I97</f>
        <v>0</v>
      </c>
      <c r="H76" s="8">
        <f>H75-'Other Capital Needs'!J97</f>
        <v>0</v>
      </c>
      <c r="I76" s="8">
        <f>I75-'Other Capital Needs'!K97</f>
        <v>0</v>
      </c>
      <c r="J76" s="8">
        <f>J75-'Other Capital Needs'!L97</f>
        <v>0</v>
      </c>
      <c r="K76" s="8">
        <f>K75-'Other Capital Needs'!M97</f>
        <v>0</v>
      </c>
      <c r="L76" s="8">
        <f>L75-'Other Capital Needs'!N97</f>
        <v>0</v>
      </c>
      <c r="M76" s="8">
        <f>M75-'Other Capital Needs'!O97</f>
        <v>0</v>
      </c>
      <c r="N76" s="8">
        <f>N75-'Other Capital Needs'!P97</f>
        <v>0</v>
      </c>
    </row>
    <row r="78" spans="1:14" hidden="1" outlineLevel="1" x14ac:dyDescent="0.25">
      <c r="A78" s="5" t="s">
        <v>50</v>
      </c>
      <c r="B78" s="11" t="s">
        <v>16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</row>
    <row r="79" spans="1:14" hidden="1" outlineLevel="1" x14ac:dyDescent="0.25">
      <c r="B79" s="11" t="s">
        <v>37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</row>
    <row r="80" spans="1:14" hidden="1" outlineLevel="1" x14ac:dyDescent="0.25">
      <c r="B80" s="11" t="s">
        <v>38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</row>
    <row r="81" spans="1:14" hidden="1" outlineLevel="1" x14ac:dyDescent="0.25">
      <c r="B81" s="11" t="s">
        <v>19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</row>
    <row r="82" spans="1:14" hidden="1" outlineLevel="1" x14ac:dyDescent="0.25">
      <c r="B82" s="11" t="s">
        <v>243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</row>
    <row r="83" spans="1:14" hidden="1" outlineLevel="1" x14ac:dyDescent="0.25">
      <c r="B83" s="11" t="s">
        <v>13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</row>
    <row r="84" spans="1:14" hidden="1" outlineLevel="1" x14ac:dyDescent="0.25">
      <c r="B84" s="11" t="s">
        <v>50</v>
      </c>
      <c r="D84" s="6" t="e">
        <f>'Water Control'!#REF!</f>
        <v>#REF!</v>
      </c>
      <c r="E84" s="6" t="e">
        <f>'Water Control'!#REF!</f>
        <v>#REF!</v>
      </c>
      <c r="F84" s="6" t="e">
        <f>'Water Control'!#REF!</f>
        <v>#REF!</v>
      </c>
      <c r="G84" s="6" t="e">
        <f>'Water Control'!#REF!</f>
        <v>#REF!</v>
      </c>
      <c r="H84" s="6" t="e">
        <f>'Water Control'!#REF!</f>
        <v>#REF!</v>
      </c>
      <c r="I84" s="6" t="e">
        <f>'Water Control'!#REF!</f>
        <v>#REF!</v>
      </c>
      <c r="J84" s="6" t="e">
        <f>'Water Control'!#REF!</f>
        <v>#REF!</v>
      </c>
      <c r="K84" s="6" t="e">
        <f>'Water Control'!#REF!</f>
        <v>#REF!</v>
      </c>
      <c r="L84" s="6" t="e">
        <f>'Water Control'!#REF!</f>
        <v>#REF!</v>
      </c>
      <c r="M84" s="6" t="e">
        <f>'Water Control'!#REF!</f>
        <v>#REF!</v>
      </c>
      <c r="N84" s="6" t="e">
        <f>'Water Control'!#REF!</f>
        <v>#REF!</v>
      </c>
    </row>
    <row r="85" spans="1:14" ht="15.75" collapsed="1" thickBot="1" x14ac:dyDescent="0.3">
      <c r="A85" t="s">
        <v>385</v>
      </c>
      <c r="D85" s="7" t="e">
        <f>SUM(D78:D84)</f>
        <v>#REF!</v>
      </c>
      <c r="E85" s="7" t="e">
        <f t="shared" ref="E85" si="52">SUM(E78:E84)</f>
        <v>#REF!</v>
      </c>
      <c r="F85" s="7" t="e">
        <f t="shared" ref="F85" si="53">SUM(F78:F84)</f>
        <v>#REF!</v>
      </c>
      <c r="G85" s="7" t="e">
        <f t="shared" ref="G85" si="54">SUM(G78:G84)</f>
        <v>#REF!</v>
      </c>
      <c r="H85" s="7" t="e">
        <f t="shared" ref="H85" si="55">SUM(H78:H84)</f>
        <v>#REF!</v>
      </c>
      <c r="I85" s="7" t="e">
        <f t="shared" ref="I85" si="56">SUM(I78:I84)</f>
        <v>#REF!</v>
      </c>
      <c r="J85" s="7" t="e">
        <f t="shared" ref="J85" si="57">SUM(J78:J84)</f>
        <v>#REF!</v>
      </c>
      <c r="K85" s="7" t="e">
        <f t="shared" ref="K85" si="58">SUM(K78:K84)</f>
        <v>#REF!</v>
      </c>
      <c r="L85" s="7" t="e">
        <f t="shared" ref="L85" si="59">SUM(L78:L84)</f>
        <v>#REF!</v>
      </c>
      <c r="M85" s="7" t="e">
        <f t="shared" ref="M85" si="60">SUM(M78:M84)</f>
        <v>#REF!</v>
      </c>
      <c r="N85" s="7" t="e">
        <f t="shared" ref="N85" si="61">SUM(N78:N84)</f>
        <v>#REF!</v>
      </c>
    </row>
    <row r="86" spans="1:14" ht="15.75" thickTop="1" x14ac:dyDescent="0.25">
      <c r="D86" s="8" t="e">
        <f>D85-'Water Control'!D33</f>
        <v>#REF!</v>
      </c>
      <c r="E86" s="8" t="e">
        <f>E85-'Water Control'!E33</f>
        <v>#REF!</v>
      </c>
      <c r="F86" s="8" t="e">
        <f>F85-'Water Control'!F33</f>
        <v>#REF!</v>
      </c>
      <c r="G86" s="8" t="e">
        <f>G85-'Water Control'!G33</f>
        <v>#REF!</v>
      </c>
      <c r="H86" s="8" t="e">
        <f>H85-'Water Control'!H33</f>
        <v>#REF!</v>
      </c>
      <c r="I86" s="8" t="e">
        <f>I85-'Water Control'!I33</f>
        <v>#REF!</v>
      </c>
      <c r="J86" s="8" t="e">
        <f>J85-'Water Control'!J33</f>
        <v>#REF!</v>
      </c>
      <c r="K86" s="8" t="e">
        <f>K85-'Water Control'!K33</f>
        <v>#REF!</v>
      </c>
      <c r="L86" s="8" t="e">
        <f>L85-'Water Control'!L33</f>
        <v>#REF!</v>
      </c>
      <c r="M86" s="8" t="e">
        <f>M85-'Water Control'!M33</f>
        <v>#REF!</v>
      </c>
      <c r="N86" s="8" t="e">
        <f>N85-'Water Control'!N33</f>
        <v>#REF!</v>
      </c>
    </row>
    <row r="88" spans="1:14" x14ac:dyDescent="0.25">
      <c r="A88" s="81"/>
      <c r="B88" s="82"/>
      <c r="C88" s="81"/>
      <c r="D88" s="83" t="str">
        <f>D5</f>
        <v>FY18</v>
      </c>
      <c r="E88" s="83" t="str">
        <f t="shared" ref="E88:N88" si="62">E5</f>
        <v>FY19</v>
      </c>
      <c r="F88" s="83" t="str">
        <f t="shared" si="62"/>
        <v>FY20</v>
      </c>
      <c r="G88" s="83" t="str">
        <f t="shared" si="62"/>
        <v>FY21</v>
      </c>
      <c r="H88" s="83" t="str">
        <f t="shared" si="62"/>
        <v>FY22</v>
      </c>
      <c r="I88" s="83" t="str">
        <f t="shared" si="62"/>
        <v>FY23</v>
      </c>
      <c r="J88" s="83" t="str">
        <f t="shared" si="62"/>
        <v>FY24</v>
      </c>
      <c r="K88" s="83" t="str">
        <f t="shared" si="62"/>
        <v>FY25</v>
      </c>
      <c r="L88" s="83" t="str">
        <f t="shared" si="62"/>
        <v>FY26</v>
      </c>
      <c r="M88" s="83" t="str">
        <f t="shared" si="62"/>
        <v>FY27</v>
      </c>
      <c r="N88" s="83" t="str">
        <f t="shared" si="62"/>
        <v>FY28</v>
      </c>
    </row>
    <row r="89" spans="1:14" x14ac:dyDescent="0.25">
      <c r="A89" s="84" t="s">
        <v>51</v>
      </c>
      <c r="B89" s="85" t="s">
        <v>16</v>
      </c>
      <c r="C89" s="81"/>
      <c r="D89" s="86">
        <f t="shared" ref="D89:D95" si="63">D8+D18+D28+D38+D48+D58+D78+D68</f>
        <v>97819</v>
      </c>
      <c r="E89" s="86">
        <f t="shared" ref="E89:N89" si="64">E8+E18+E28+E38+E48+E58+E78+E68</f>
        <v>4231596</v>
      </c>
      <c r="F89" s="86">
        <f t="shared" si="64"/>
        <v>4914772</v>
      </c>
      <c r="G89" s="86">
        <f t="shared" si="64"/>
        <v>6064154</v>
      </c>
      <c r="H89" s="86">
        <f t="shared" si="64"/>
        <v>5228491</v>
      </c>
      <c r="I89" s="86">
        <f t="shared" si="64"/>
        <v>4711789</v>
      </c>
      <c r="J89" s="86">
        <f t="shared" si="64"/>
        <v>3574000</v>
      </c>
      <c r="K89" s="86">
        <f t="shared" si="64"/>
        <v>3273267</v>
      </c>
      <c r="L89" s="86">
        <f t="shared" si="64"/>
        <v>3367484</v>
      </c>
      <c r="M89" s="86">
        <f t="shared" si="64"/>
        <v>3713372</v>
      </c>
      <c r="N89" s="86">
        <f t="shared" si="64"/>
        <v>3961728</v>
      </c>
    </row>
    <row r="90" spans="1:14" x14ac:dyDescent="0.25">
      <c r="A90" s="81"/>
      <c r="B90" s="85" t="s">
        <v>37</v>
      </c>
      <c r="C90" s="81"/>
      <c r="D90" s="86">
        <f t="shared" si="63"/>
        <v>0</v>
      </c>
      <c r="E90" s="86">
        <f t="shared" ref="E90:N90" si="65">E9+E19+E29+E39+E49+E59+E79+E69</f>
        <v>186750</v>
      </c>
      <c r="F90" s="86">
        <f t="shared" si="65"/>
        <v>100000</v>
      </c>
      <c r="G90" s="86">
        <f t="shared" si="65"/>
        <v>0</v>
      </c>
      <c r="H90" s="86">
        <f t="shared" si="65"/>
        <v>75000</v>
      </c>
      <c r="I90" s="86">
        <f t="shared" si="65"/>
        <v>75000</v>
      </c>
      <c r="J90" s="86">
        <f t="shared" si="65"/>
        <v>205425.00000000003</v>
      </c>
      <c r="K90" s="86">
        <f t="shared" si="65"/>
        <v>0</v>
      </c>
      <c r="L90" s="86">
        <f t="shared" si="65"/>
        <v>0</v>
      </c>
      <c r="M90" s="86">
        <f t="shared" si="65"/>
        <v>0</v>
      </c>
      <c r="N90" s="86">
        <f t="shared" si="65"/>
        <v>0</v>
      </c>
    </row>
    <row r="91" spans="1:14" x14ac:dyDescent="0.25">
      <c r="A91" s="81"/>
      <c r="B91" s="85" t="s">
        <v>38</v>
      </c>
      <c r="C91" s="81"/>
      <c r="D91" s="86">
        <f t="shared" si="63"/>
        <v>0</v>
      </c>
      <c r="E91" s="86">
        <f t="shared" ref="E91:N91" si="66">E10+E20+E30+E40+E50+E60+E80+E70</f>
        <v>952400</v>
      </c>
      <c r="F91" s="86">
        <f t="shared" si="66"/>
        <v>525000</v>
      </c>
      <c r="G91" s="86">
        <f t="shared" si="66"/>
        <v>270000</v>
      </c>
      <c r="H91" s="86">
        <f t="shared" si="66"/>
        <v>270000</v>
      </c>
      <c r="I91" s="86">
        <f t="shared" si="66"/>
        <v>270000</v>
      </c>
      <c r="J91" s="86">
        <f t="shared" si="66"/>
        <v>270000</v>
      </c>
      <c r="K91" s="86">
        <f t="shared" si="66"/>
        <v>270000</v>
      </c>
      <c r="L91" s="86">
        <f t="shared" si="66"/>
        <v>270000</v>
      </c>
      <c r="M91" s="86">
        <f t="shared" si="66"/>
        <v>270000</v>
      </c>
      <c r="N91" s="86">
        <f t="shared" si="66"/>
        <v>270000</v>
      </c>
    </row>
    <row r="92" spans="1:14" x14ac:dyDescent="0.25">
      <c r="A92" s="81"/>
      <c r="B92" s="85" t="s">
        <v>19</v>
      </c>
      <c r="C92" s="81"/>
      <c r="D92" s="86">
        <f t="shared" si="63"/>
        <v>4665000</v>
      </c>
      <c r="E92" s="86">
        <f t="shared" ref="E92:N92" si="67">E11+E21+E31+E41+E51+E61+E81+E71</f>
        <v>4232800</v>
      </c>
      <c r="F92" s="86">
        <f t="shared" si="67"/>
        <v>3800000</v>
      </c>
      <c r="G92" s="86">
        <f t="shared" si="67"/>
        <v>4000000</v>
      </c>
      <c r="H92" s="86">
        <f t="shared" si="67"/>
        <v>2775000</v>
      </c>
      <c r="I92" s="86">
        <f t="shared" si="67"/>
        <v>2600000</v>
      </c>
      <c r="J92" s="86">
        <f t="shared" si="67"/>
        <v>1300000</v>
      </c>
      <c r="K92" s="86">
        <f t="shared" si="67"/>
        <v>1100000</v>
      </c>
      <c r="L92" s="86">
        <f t="shared" si="67"/>
        <v>0</v>
      </c>
      <c r="M92" s="86">
        <f t="shared" si="67"/>
        <v>0</v>
      </c>
      <c r="N92" s="86">
        <f t="shared" si="67"/>
        <v>0</v>
      </c>
    </row>
    <row r="93" spans="1:14" x14ac:dyDescent="0.25">
      <c r="A93" s="81"/>
      <c r="B93" s="85" t="s">
        <v>243</v>
      </c>
      <c r="C93" s="81"/>
      <c r="D93" s="86">
        <f t="shared" si="63"/>
        <v>270000</v>
      </c>
      <c r="E93" s="86">
        <f t="shared" ref="E93:N93" si="68">E12+E22+E32+E42+E52+E62+E82+E72</f>
        <v>61000</v>
      </c>
      <c r="F93" s="86">
        <f t="shared" si="68"/>
        <v>0</v>
      </c>
      <c r="G93" s="86">
        <f t="shared" si="68"/>
        <v>0</v>
      </c>
      <c r="H93" s="86">
        <f t="shared" si="68"/>
        <v>16000</v>
      </c>
      <c r="I93" s="86">
        <f t="shared" si="68"/>
        <v>0</v>
      </c>
      <c r="J93" s="86">
        <f t="shared" si="68"/>
        <v>0</v>
      </c>
      <c r="K93" s="86">
        <f t="shared" si="68"/>
        <v>0</v>
      </c>
      <c r="L93" s="86">
        <f t="shared" si="68"/>
        <v>0</v>
      </c>
      <c r="M93" s="86">
        <f t="shared" si="68"/>
        <v>0</v>
      </c>
      <c r="N93" s="86">
        <f t="shared" si="68"/>
        <v>0</v>
      </c>
    </row>
    <row r="94" spans="1:14" x14ac:dyDescent="0.25">
      <c r="A94" s="81"/>
      <c r="B94" s="85" t="s">
        <v>13</v>
      </c>
      <c r="C94" s="81"/>
      <c r="D94" s="86">
        <f t="shared" si="63"/>
        <v>0</v>
      </c>
      <c r="E94" s="86">
        <f t="shared" ref="E94:N94" si="69">E13+E23+E33+E43+E53+E63+E83+E73</f>
        <v>0</v>
      </c>
      <c r="F94" s="86">
        <f t="shared" si="69"/>
        <v>0</v>
      </c>
      <c r="G94" s="86">
        <f t="shared" si="69"/>
        <v>800000</v>
      </c>
      <c r="H94" s="86">
        <f t="shared" si="69"/>
        <v>0</v>
      </c>
      <c r="I94" s="86">
        <f t="shared" si="69"/>
        <v>0</v>
      </c>
      <c r="J94" s="86">
        <f t="shared" si="69"/>
        <v>0</v>
      </c>
      <c r="K94" s="86">
        <f t="shared" si="69"/>
        <v>0</v>
      </c>
      <c r="L94" s="86">
        <f t="shared" si="69"/>
        <v>0</v>
      </c>
      <c r="M94" s="86">
        <f t="shared" si="69"/>
        <v>0</v>
      </c>
      <c r="N94" s="86">
        <f t="shared" si="69"/>
        <v>0</v>
      </c>
    </row>
    <row r="95" spans="1:14" x14ac:dyDescent="0.25">
      <c r="A95" s="81"/>
      <c r="B95" s="85" t="s">
        <v>50</v>
      </c>
      <c r="C95" s="81"/>
      <c r="D95" s="86" t="e">
        <f t="shared" si="63"/>
        <v>#REF!</v>
      </c>
      <c r="E95" s="86" t="e">
        <f t="shared" ref="E95:N95" si="70">E14+E24+E34+E44+E54+E64+E84+E74</f>
        <v>#REF!</v>
      </c>
      <c r="F95" s="86" t="e">
        <f t="shared" si="70"/>
        <v>#REF!</v>
      </c>
      <c r="G95" s="86" t="e">
        <f t="shared" si="70"/>
        <v>#REF!</v>
      </c>
      <c r="H95" s="86" t="e">
        <f t="shared" si="70"/>
        <v>#REF!</v>
      </c>
      <c r="I95" s="86" t="e">
        <f t="shared" si="70"/>
        <v>#REF!</v>
      </c>
      <c r="J95" s="86" t="e">
        <f t="shared" si="70"/>
        <v>#REF!</v>
      </c>
      <c r="K95" s="86" t="e">
        <f t="shared" si="70"/>
        <v>#REF!</v>
      </c>
      <c r="L95" s="86" t="e">
        <f t="shared" si="70"/>
        <v>#REF!</v>
      </c>
      <c r="M95" s="86" t="e">
        <f t="shared" si="70"/>
        <v>#REF!</v>
      </c>
      <c r="N95" s="86" t="e">
        <f t="shared" si="70"/>
        <v>#REF!</v>
      </c>
    </row>
    <row r="96" spans="1:14" ht="15.75" thickBot="1" x14ac:dyDescent="0.3">
      <c r="A96" s="81"/>
      <c r="B96" s="82"/>
      <c r="C96" s="81"/>
      <c r="D96" s="87" t="e">
        <f>SUM(D89:D95)</f>
        <v>#REF!</v>
      </c>
      <c r="E96" s="87" t="e">
        <f t="shared" ref="E96" si="71">SUM(E89:E95)</f>
        <v>#REF!</v>
      </c>
      <c r="F96" s="87" t="e">
        <f t="shared" ref="F96" si="72">SUM(F89:F95)</f>
        <v>#REF!</v>
      </c>
      <c r="G96" s="87" t="e">
        <f t="shared" ref="G96" si="73">SUM(G89:G95)</f>
        <v>#REF!</v>
      </c>
      <c r="H96" s="87" t="e">
        <f t="shared" ref="H96" si="74">SUM(H89:H95)</f>
        <v>#REF!</v>
      </c>
      <c r="I96" s="87" t="e">
        <f t="shared" ref="I96" si="75">SUM(I89:I95)</f>
        <v>#REF!</v>
      </c>
      <c r="J96" s="87" t="e">
        <f t="shared" ref="J96" si="76">SUM(J89:J95)</f>
        <v>#REF!</v>
      </c>
      <c r="K96" s="87" t="e">
        <f t="shared" ref="K96" si="77">SUM(K89:K95)</f>
        <v>#REF!</v>
      </c>
      <c r="L96" s="87" t="e">
        <f t="shared" ref="L96" si="78">SUM(L89:L95)</f>
        <v>#REF!</v>
      </c>
      <c r="M96" s="87" t="e">
        <f t="shared" ref="M96" si="79">SUM(M89:M95)</f>
        <v>#REF!</v>
      </c>
      <c r="N96" s="87" t="e">
        <f t="shared" ref="N96" si="80">SUM(N89:N95)</f>
        <v>#REF!</v>
      </c>
    </row>
    <row r="97" spans="1:14" ht="15.75" thickTop="1" x14ac:dyDescent="0.25">
      <c r="D97" s="8" t="e">
        <f>D96-('Other Capital Needs'!F97+'Public Grounds'!D51+'Public Buildings'!D98+Bridges!D27+'Parking Lots &amp; Playgrounds'!D35+Vehicles!E53+Summary!D45+'Water Control'!#REF!)</f>
        <v>#REF!</v>
      </c>
      <c r="E97" s="8" t="e">
        <f>E96-('Other Capital Needs'!G97+'Public Grounds'!E51+'Public Buildings'!E98+Bridges!E27+'Parking Lots &amp; Playgrounds'!E35+Vehicles!F53+Summary!E45+'Water Control'!#REF!)</f>
        <v>#REF!</v>
      </c>
      <c r="F97" s="8" t="e">
        <f>F96-('Other Capital Needs'!H97+'Public Grounds'!F51+'Public Buildings'!F98+Bridges!F27+'Parking Lots &amp; Playgrounds'!F35+Vehicles!G53+Summary!F45+'Water Control'!#REF!)</f>
        <v>#REF!</v>
      </c>
      <c r="G97" s="8" t="e">
        <f>G96-('Other Capital Needs'!I97+'Public Grounds'!G51+'Public Buildings'!G98+Bridges!G27+'Parking Lots &amp; Playgrounds'!G35+Vehicles!H53+Summary!G45+'Water Control'!#REF!)</f>
        <v>#REF!</v>
      </c>
      <c r="H97" s="8" t="e">
        <f>H96-('Other Capital Needs'!J97+'Public Grounds'!H51+'Public Buildings'!H98+Bridges!H27+'Parking Lots &amp; Playgrounds'!H35+Vehicles!I53+Summary!H45+'Water Control'!#REF!)</f>
        <v>#REF!</v>
      </c>
      <c r="I97" s="8" t="e">
        <f>I96-('Other Capital Needs'!K97+'Public Grounds'!I51+'Public Buildings'!I98+Bridges!I27+'Parking Lots &amp; Playgrounds'!I35+Vehicles!J53+Summary!I45+'Water Control'!#REF!)</f>
        <v>#REF!</v>
      </c>
      <c r="J97" s="8" t="e">
        <f>J96-('Other Capital Needs'!L97+'Public Grounds'!J51+'Public Buildings'!J98+Bridges!J27+'Parking Lots &amp; Playgrounds'!J35+Vehicles!K53+Summary!J45+'Water Control'!#REF!)</f>
        <v>#REF!</v>
      </c>
      <c r="K97" s="8" t="e">
        <f>K96-('Other Capital Needs'!M97+'Public Grounds'!K51+'Public Buildings'!K98+Bridges!K27+'Parking Lots &amp; Playgrounds'!K35+Vehicles!L53+Summary!K45+'Water Control'!#REF!)</f>
        <v>#REF!</v>
      </c>
      <c r="L97" s="8" t="e">
        <f>L96-('Other Capital Needs'!N97+'Public Grounds'!L51+'Public Buildings'!L98+Bridges!L27+'Parking Lots &amp; Playgrounds'!L35+Vehicles!M53+Summary!L45+'Water Control'!#REF!)</f>
        <v>#REF!</v>
      </c>
      <c r="M97" s="8" t="e">
        <f>M96-('Other Capital Needs'!O97+'Public Grounds'!M51+'Public Buildings'!M98+Bridges!M27+'Parking Lots &amp; Playgrounds'!M35+Vehicles!N53+Summary!M45+'Water Control'!#REF!)</f>
        <v>#REF!</v>
      </c>
      <c r="N97" s="8" t="e">
        <f>N96-('Other Capital Needs'!P97+'Public Grounds'!N51+'Public Buildings'!N98+Bridges!N27+'Parking Lots &amp; Playgrounds'!N35+Vehicles!O53+Summary!N45+'Water Control'!#REF!)</f>
        <v>#REF!</v>
      </c>
    </row>
    <row r="99" spans="1:14" x14ac:dyDescent="0.25">
      <c r="D99" s="80" t="str">
        <f>D5</f>
        <v>FY18</v>
      </c>
      <c r="E99" s="80" t="str">
        <f t="shared" ref="E99:N99" si="81">E5</f>
        <v>FY19</v>
      </c>
      <c r="F99" s="80" t="str">
        <f t="shared" si="81"/>
        <v>FY20</v>
      </c>
      <c r="G99" s="80" t="str">
        <f t="shared" si="81"/>
        <v>FY21</v>
      </c>
      <c r="H99" s="80" t="str">
        <f t="shared" si="81"/>
        <v>FY22</v>
      </c>
      <c r="I99" s="80" t="str">
        <f t="shared" si="81"/>
        <v>FY23</v>
      </c>
      <c r="J99" s="80" t="str">
        <f t="shared" si="81"/>
        <v>FY24</v>
      </c>
      <c r="K99" s="80" t="str">
        <f t="shared" si="81"/>
        <v>FY25</v>
      </c>
      <c r="L99" s="80" t="str">
        <f t="shared" si="81"/>
        <v>FY26</v>
      </c>
      <c r="M99" s="80" t="str">
        <f t="shared" si="81"/>
        <v>FY27</v>
      </c>
      <c r="N99" s="80" t="str">
        <f t="shared" si="81"/>
        <v>FY28</v>
      </c>
    </row>
    <row r="100" spans="1:14" x14ac:dyDescent="0.25">
      <c r="A100" s="72" t="s">
        <v>315</v>
      </c>
      <c r="B100" s="73"/>
      <c r="C100" s="74"/>
      <c r="D100" s="75">
        <f>'Other Capital Needs'!F115+'Public Grounds'!D68+'Public Buildings'!D116+Bridges!D49+'Parking Lots &amp; Playgrounds'!D50+Vehicles!E68</f>
        <v>3450</v>
      </c>
      <c r="E100" s="75">
        <f>'Other Capital Needs'!G115+'Public Grounds'!E68+'Public Buildings'!E116+Bridges!E49+'Parking Lots &amp; Playgrounds'!E50+Vehicles!F68</f>
        <v>203929</v>
      </c>
      <c r="F100" s="75">
        <f>'Other Capital Needs'!H115+'Public Grounds'!F68+'Public Buildings'!F116+Bridges!F49+'Parking Lots &amp; Playgrounds'!F50+Vehicles!G68</f>
        <v>231679</v>
      </c>
      <c r="G100" s="75">
        <f>'Other Capital Needs'!I115+'Public Grounds'!G68+'Public Buildings'!G116+Bridges!G49+'Parking Lots &amp; Playgrounds'!G50+Vehicles!H68</f>
        <v>93640</v>
      </c>
      <c r="H100" s="75">
        <f>'Other Capital Needs'!J115+'Public Grounds'!H68+'Public Buildings'!H116+Bridges!H49+'Parking Lots &amp; Playgrounds'!H50+Vehicles!I68</f>
        <v>96500</v>
      </c>
      <c r="I100" s="75">
        <f>'Other Capital Needs'!K115+'Public Grounds'!I68+'Public Buildings'!I116+Bridges!I49+'Parking Lots &amp; Playgrounds'!I50+Vehicles!J68</f>
        <v>146700</v>
      </c>
      <c r="J100" s="75">
        <f>'Other Capital Needs'!L115+'Public Grounds'!J68+'Public Buildings'!J116+Bridges!J49+'Parking Lots &amp; Playgrounds'!J50+Vehicles!K68</f>
        <v>106500</v>
      </c>
      <c r="K100" s="75">
        <f>'Other Capital Needs'!M115+'Public Grounds'!K68+'Public Buildings'!K116+Bridges!K49+'Parking Lots &amp; Playgrounds'!K50+Vehicles!L68</f>
        <v>75200</v>
      </c>
      <c r="L100" s="75">
        <f>'Other Capital Needs'!N115+'Public Grounds'!L68+'Public Buildings'!L116+Bridges!L49+'Parking Lots &amp; Playgrounds'!L50+Vehicles!M68</f>
        <v>105200</v>
      </c>
      <c r="M100" s="75">
        <f>'Other Capital Needs'!O115+'Public Grounds'!M68+'Public Buildings'!M116+Bridges!M49+'Parking Lots &amp; Playgrounds'!M50+Vehicles!N68</f>
        <v>125900</v>
      </c>
      <c r="N100" s="75">
        <f>'Other Capital Needs'!P115+'Public Grounds'!N68+'Public Buildings'!N116+Bridges!N49+'Parking Lots &amp; Playgrounds'!N50+Vehicles!O68</f>
        <v>236900</v>
      </c>
    </row>
    <row r="101" spans="1:14" x14ac:dyDescent="0.25">
      <c r="A101" s="72" t="s">
        <v>317</v>
      </c>
      <c r="B101" s="73"/>
      <c r="C101" s="74"/>
      <c r="D101" s="75">
        <f>'Other Capital Needs'!F116+'Public Grounds'!D69+'Public Buildings'!D117+Bridges!D50+'Parking Lots &amp; Playgrounds'!D51+Vehicles!E69</f>
        <v>0</v>
      </c>
      <c r="E101" s="75">
        <f>'Other Capital Needs'!G116+'Public Grounds'!E69+'Public Buildings'!E117+Bridges!E50+'Parking Lots &amp; Playgrounds'!E51+Vehicles!F69</f>
        <v>25000</v>
      </c>
      <c r="F101" s="75">
        <f>'Other Capital Needs'!H116+'Public Grounds'!F69+'Public Buildings'!F117+Bridges!F50+'Parking Lots &amp; Playgrounds'!F51+Vehicles!G69</f>
        <v>200000</v>
      </c>
      <c r="G101" s="75">
        <f>'Other Capital Needs'!I116+'Public Grounds'!G69+'Public Buildings'!G117+Bridges!G50+'Parking Lots &amp; Playgrounds'!G51+Vehicles!H69</f>
        <v>0</v>
      </c>
      <c r="H101" s="75">
        <f>'Other Capital Needs'!J116+'Public Grounds'!H69+'Public Buildings'!H117+Bridges!H50+'Parking Lots &amp; Playgrounds'!H51+Vehicles!I69</f>
        <v>0</v>
      </c>
      <c r="I101" s="75">
        <f>'Other Capital Needs'!K116+'Public Grounds'!I69+'Public Buildings'!I117+Bridges!I50+'Parking Lots &amp; Playgrounds'!I51+Vehicles!J69</f>
        <v>0</v>
      </c>
      <c r="J101" s="75">
        <f>'Other Capital Needs'!L116+'Public Grounds'!J69+'Public Buildings'!J117+Bridges!J50+'Parking Lots &amp; Playgrounds'!J51+Vehicles!K69</f>
        <v>0</v>
      </c>
      <c r="K101" s="75">
        <f>'Other Capital Needs'!M116+'Public Grounds'!K69+'Public Buildings'!K117+Bridges!K50+'Parking Lots &amp; Playgrounds'!K51+Vehicles!L69</f>
        <v>0</v>
      </c>
      <c r="L101" s="75">
        <f>'Other Capital Needs'!N116+'Public Grounds'!L69+'Public Buildings'!L117+Bridges!L50+'Parking Lots &amp; Playgrounds'!L51+Vehicles!M69</f>
        <v>0</v>
      </c>
      <c r="M101" s="75">
        <f>'Other Capital Needs'!O116+'Public Grounds'!M69+'Public Buildings'!M117+Bridges!M50+'Parking Lots &amp; Playgrounds'!M51+Vehicles!N69</f>
        <v>0</v>
      </c>
      <c r="N101" s="75">
        <f>'Other Capital Needs'!P116+'Public Grounds'!N69+'Public Buildings'!N117+Bridges!N50+'Parking Lots &amp; Playgrounds'!N51+Vehicles!O69</f>
        <v>0</v>
      </c>
    </row>
    <row r="102" spans="1:14" x14ac:dyDescent="0.25">
      <c r="A102" s="72" t="s">
        <v>316</v>
      </c>
      <c r="B102" s="73"/>
      <c r="C102" s="74"/>
      <c r="D102" s="75">
        <f>'Other Capital Needs'!F117+'Public Grounds'!D70+'Public Buildings'!D118+Bridges!D51+'Parking Lots &amp; Playgrounds'!D52+Vehicles!E70</f>
        <v>2106000</v>
      </c>
      <c r="E102" s="75">
        <f>'Other Capital Needs'!G117+'Public Grounds'!E70+'Public Buildings'!E118+Bridges!E51+'Parking Lots &amp; Playgrounds'!E52+Vehicles!F70</f>
        <v>563400</v>
      </c>
      <c r="F102" s="75">
        <f>'Other Capital Needs'!H117+'Public Grounds'!F70+'Public Buildings'!F118+Bridges!F51+'Parking Lots &amp; Playgrounds'!F52+Vehicles!G70</f>
        <v>1980154</v>
      </c>
      <c r="G102" s="75">
        <f>'Other Capital Needs'!I117+'Public Grounds'!G70+'Public Buildings'!G118+Bridges!G51+'Parking Lots &amp; Playgrounds'!G52+Vehicles!H70</f>
        <v>1917654</v>
      </c>
      <c r="H102" s="75">
        <f>'Other Capital Needs'!J117+'Public Grounds'!H70+'Public Buildings'!H118+Bridges!H51+'Parking Lots &amp; Playgrounds'!H52+Vehicles!I70</f>
        <v>591000</v>
      </c>
      <c r="I102" s="75">
        <f>'Other Capital Needs'!K117+'Public Grounds'!I70+'Public Buildings'!I118+Bridges!I51+'Parking Lots &amp; Playgrounds'!I52+Vehicles!J70</f>
        <v>498000</v>
      </c>
      <c r="J102" s="75">
        <f>'Other Capital Needs'!L117+'Public Grounds'!J70+'Public Buildings'!J118+Bridges!J51+'Parking Lots &amp; Playgrounds'!J52+Vehicles!K70</f>
        <v>1734036</v>
      </c>
      <c r="K102" s="75">
        <f>'Other Capital Needs'!M117+'Public Grounds'!K70+'Public Buildings'!K118+Bridges!K51+'Parking Lots &amp; Playgrounds'!K52+Vehicles!L70</f>
        <v>456736</v>
      </c>
      <c r="L102" s="75">
        <f>'Other Capital Needs'!N117+'Public Grounds'!L70+'Public Buildings'!L118+Bridges!L51+'Parking Lots &amp; Playgrounds'!L52+Vehicles!M70</f>
        <v>361700</v>
      </c>
      <c r="M102" s="75">
        <f>'Other Capital Needs'!O117+'Public Grounds'!M70+'Public Buildings'!M118+Bridges!M51+'Parking Lots &amp; Playgrounds'!M52+Vehicles!N70</f>
        <v>645500</v>
      </c>
      <c r="N102" s="75">
        <f>'Other Capital Needs'!P117+'Public Grounds'!N70+'Public Buildings'!N118+Bridges!N51+'Parking Lots &amp; Playgrounds'!N52+Vehicles!O70</f>
        <v>429500</v>
      </c>
    </row>
    <row r="103" spans="1:14" x14ac:dyDescent="0.25">
      <c r="A103" s="72" t="s">
        <v>366</v>
      </c>
      <c r="B103" s="73"/>
      <c r="C103" s="74"/>
      <c r="D103" s="75">
        <f>'Other Capital Needs'!F118+'Public Grounds'!D71+'Public Buildings'!D119+Bridges!D52+'Parking Lots &amp; Playgrounds'!D53+Vehicles!E71+D45</f>
        <v>2785000</v>
      </c>
      <c r="E103" s="75">
        <f>'Other Capital Needs'!G118+'Public Grounds'!E71+'Public Buildings'!E119+Bridges!E52+'Parking Lots &amp; Playgrounds'!E53+Vehicles!F71+E45</f>
        <v>7268749</v>
      </c>
      <c r="F103" s="75">
        <f>'Other Capital Needs'!H118+'Public Grounds'!F71+'Public Buildings'!F119+Bridges!F52+'Parking Lots &amp; Playgrounds'!F53+Vehicles!G71+F45</f>
        <v>5828000</v>
      </c>
      <c r="G103" s="75">
        <f>'Other Capital Needs'!I118+'Public Grounds'!G71+'Public Buildings'!G119+Bridges!G52+'Parking Lots &amp; Playgrounds'!G53+Vehicles!H71+G45</f>
        <v>8328167</v>
      </c>
      <c r="H103" s="75">
        <f>'Other Capital Needs'!J118+'Public Grounds'!H71+'Public Buildings'!H119+Bridges!H52+'Parking Lots &amp; Playgrounds'!H53+Vehicles!I71+H45</f>
        <v>7084306</v>
      </c>
      <c r="I103" s="75">
        <f>'Other Capital Needs'!K118+'Public Grounds'!I71+'Public Buildings'!I119+Bridges!I52+'Parking Lots &amp; Playgrounds'!I53+Vehicles!J71+I45</f>
        <v>4953467</v>
      </c>
      <c r="J103" s="75">
        <f>'Other Capital Needs'!L118+'Public Grounds'!J71+'Public Buildings'!J119+Bridges!J52+'Parking Lots &amp; Playgrounds'!J53+Vehicles!K71+J45</f>
        <v>2694849</v>
      </c>
      <c r="K103" s="75">
        <f>'Other Capital Needs'!M118+'Public Grounds'!K71+'Public Buildings'!K119+Bridges!K52+'Parking Lots &amp; Playgrounds'!K53+Vehicles!L71+K45</f>
        <v>3663000</v>
      </c>
      <c r="L103" s="75">
        <f>'Other Capital Needs'!N118+'Public Grounds'!L71+'Public Buildings'!L119+Bridges!L52+'Parking Lots &amp; Playgrounds'!L53+Vehicles!M71+L45</f>
        <v>2626715</v>
      </c>
      <c r="M103" s="75">
        <f>'Other Capital Needs'!O118+'Public Grounds'!M71+'Public Buildings'!M119+Bridges!M52+'Parking Lots &amp; Playgrounds'!M53+Vehicles!N71+M45</f>
        <v>2642683</v>
      </c>
      <c r="N103" s="75">
        <f>'Other Capital Needs'!P118+'Public Grounds'!N71+'Public Buildings'!N119+Bridges!N52+'Parking Lots &amp; Playgrounds'!N53+Vehicles!O71+N45</f>
        <v>2597847</v>
      </c>
    </row>
    <row r="104" spans="1:14" x14ac:dyDescent="0.25">
      <c r="A104" s="72" t="s">
        <v>367</v>
      </c>
      <c r="B104" s="73"/>
      <c r="C104" s="74"/>
      <c r="D104" s="75">
        <f>'Other Capital Needs'!F119+'Public Grounds'!D72+'Public Buildings'!D120+Bridges!D53+'Parking Lots &amp; Playgrounds'!D54+Vehicles!E72</f>
        <v>99419</v>
      </c>
      <c r="E104" s="75">
        <f>'Other Capital Needs'!G119+'Public Grounds'!E72+'Public Buildings'!E120+Bridges!E53+'Parking Lots &amp; Playgrounds'!E54+Vehicles!F72</f>
        <v>1337631</v>
      </c>
      <c r="F104" s="75">
        <f>'Other Capital Needs'!H119+'Public Grounds'!F72+'Public Buildings'!F120+Bridges!F53+'Parking Lots &amp; Playgrounds'!F54+Vehicles!G72</f>
        <v>743081</v>
      </c>
      <c r="G104" s="75">
        <f>'Other Capital Needs'!I119+'Public Grounds'!G72+'Public Buildings'!G120+Bridges!G53+'Parking Lots &amp; Playgrounds'!G54+Vehicles!H72</f>
        <v>383226</v>
      </c>
      <c r="H104" s="75">
        <f>'Other Capital Needs'!J119+'Public Grounds'!H72+'Public Buildings'!H120+Bridges!H53+'Parking Lots &amp; Playgrounds'!H54+Vehicles!I72</f>
        <v>240726</v>
      </c>
      <c r="I104" s="75">
        <f>'Other Capital Needs'!K119+'Public Grounds'!I72+'Public Buildings'!I120+Bridges!I53+'Parking Lots &amp; Playgrounds'!I54+Vehicles!J72</f>
        <v>1701226</v>
      </c>
      <c r="J104" s="75">
        <f>'Other Capital Needs'!L119+'Public Grounds'!J72+'Public Buildings'!J120+Bridges!J53+'Parking Lots &amp; Playgrounds'!J54+Vehicles!K72</f>
        <v>456989</v>
      </c>
      <c r="K104" s="75">
        <f>'Other Capital Needs'!M119+'Public Grounds'!K72+'Public Buildings'!K120+Bridges!K53+'Parking Lots &amp; Playgrounds'!K54+Vehicles!L72</f>
        <v>88599</v>
      </c>
      <c r="L104" s="75">
        <f>'Other Capital Needs'!N119+'Public Grounds'!L72+'Public Buildings'!L120+Bridges!L53+'Parking Lots &amp; Playgrounds'!L54+Vehicles!M72</f>
        <v>209035</v>
      </c>
      <c r="M104" s="75">
        <f>'Other Capital Needs'!O119+'Public Grounds'!M72+'Public Buildings'!M120+Bridges!M53+'Parking Lots &amp; Playgrounds'!M54+Vehicles!N72</f>
        <v>207035</v>
      </c>
      <c r="N104" s="75">
        <f>'Other Capital Needs'!P119+'Public Grounds'!N72+'Public Buildings'!N120+Bridges!N53+'Parking Lots &amp; Playgrounds'!N54+Vehicles!O72</f>
        <v>557035</v>
      </c>
    </row>
    <row r="105" spans="1:14" x14ac:dyDescent="0.25">
      <c r="A105" s="72" t="s">
        <v>368</v>
      </c>
      <c r="B105" s="73"/>
      <c r="C105" s="74"/>
      <c r="D105" s="75">
        <f>'Other Capital Needs'!F120+'Public Grounds'!D73+'Public Buildings'!D121+Bridges!D54+'Parking Lots &amp; Playgrounds'!D55+Vehicles!E73</f>
        <v>0</v>
      </c>
      <c r="E105" s="75">
        <f>'Other Capital Needs'!G120+'Public Grounds'!E73+'Public Buildings'!E121+Bridges!E54+'Parking Lots &amp; Playgrounds'!E55+Vehicles!F73</f>
        <v>6587</v>
      </c>
      <c r="F105" s="75">
        <f>'Other Capital Needs'!H120+'Public Grounds'!F73+'Public Buildings'!F121+Bridges!F54+'Parking Lots &amp; Playgrounds'!F55+Vehicles!G73</f>
        <v>12270</v>
      </c>
      <c r="G105" s="75">
        <f>'Other Capital Needs'!I120+'Public Grounds'!G73+'Public Buildings'!G121+Bridges!G54+'Parking Lots &amp; Playgrounds'!G55+Vehicles!H73</f>
        <v>12812</v>
      </c>
      <c r="H105" s="75">
        <f>'Other Capital Needs'!J120+'Public Grounds'!H73+'Public Buildings'!H121+Bridges!H54+'Parking Lots &amp; Playgrounds'!H55+Vehicles!I73</f>
        <v>10241</v>
      </c>
      <c r="I105" s="75">
        <f>'Other Capital Needs'!K120+'Public Grounds'!I73+'Public Buildings'!I121+Bridges!I54+'Parking Lots &amp; Playgrounds'!I55+Vehicles!J73</f>
        <v>13792</v>
      </c>
      <c r="J105" s="75">
        <f>'Other Capital Needs'!L120+'Public Grounds'!J73+'Public Buildings'!J121+Bridges!J54+'Parking Lots &amp; Playgrounds'!J55+Vehicles!K73</f>
        <v>13750</v>
      </c>
      <c r="K105" s="75">
        <f>'Other Capital Needs'!M120+'Public Grounds'!K73+'Public Buildings'!K121+Bridges!K54+'Parking Lots &amp; Playgrounds'!K55+Vehicles!L73</f>
        <v>13750</v>
      </c>
      <c r="L105" s="75">
        <f>'Other Capital Needs'!N120+'Public Grounds'!L73+'Public Buildings'!L121+Bridges!L54+'Parking Lots &amp; Playgrounds'!L55+Vehicles!M73</f>
        <v>13750</v>
      </c>
      <c r="M105" s="75">
        <f>'Other Capital Needs'!O120+'Public Grounds'!M73+'Public Buildings'!M121+Bridges!M54+'Parking Lots &amp; Playgrounds'!M55+Vehicles!N73</f>
        <v>13750</v>
      </c>
      <c r="N105" s="75">
        <f>'Other Capital Needs'!P120+'Public Grounds'!N73+'Public Buildings'!N121+Bridges!N54+'Parking Lots &amp; Playgrounds'!N55+Vehicles!O73</f>
        <v>13750</v>
      </c>
    </row>
    <row r="106" spans="1:14" x14ac:dyDescent="0.25">
      <c r="A106" s="72" t="s">
        <v>1</v>
      </c>
      <c r="B106" s="73"/>
      <c r="C106" s="74"/>
      <c r="D106" s="75">
        <f>'Other Capital Needs'!F121+'Public Grounds'!D74+'Public Buildings'!D122+Bridges!D55+'Parking Lots &amp; Playgrounds'!D56+Vehicles!E74</f>
        <v>38950</v>
      </c>
      <c r="E106" s="75">
        <f>'Other Capital Needs'!G121+'Public Grounds'!E74+'Public Buildings'!E122+Bridges!E55+'Parking Lots &amp; Playgrounds'!E56+Vehicles!F74</f>
        <v>259250</v>
      </c>
      <c r="F106" s="75">
        <f>'Other Capital Needs'!H121+'Public Grounds'!F74+'Public Buildings'!F122+Bridges!F55+'Parking Lots &amp; Playgrounds'!F56+Vehicles!G74</f>
        <v>344588</v>
      </c>
      <c r="G106" s="75">
        <f>'Other Capital Needs'!I121+'Public Grounds'!G74+'Public Buildings'!G122+Bridges!G55+'Parking Lots &amp; Playgrounds'!G56+Vehicles!H74</f>
        <v>398655</v>
      </c>
      <c r="H106" s="75">
        <f>'Other Capital Needs'!J121+'Public Grounds'!H74+'Public Buildings'!H122+Bridges!H55+'Parking Lots &amp; Playgrounds'!H56+Vehicles!I74</f>
        <v>341718</v>
      </c>
      <c r="I106" s="75">
        <f>'Other Capital Needs'!K121+'Public Grounds'!I74+'Public Buildings'!I122+Bridges!I55+'Parking Lots &amp; Playgrounds'!I56+Vehicles!J74</f>
        <v>343604</v>
      </c>
      <c r="J106" s="75">
        <f>'Other Capital Needs'!L121+'Public Grounds'!J74+'Public Buildings'!J122+Bridges!J55+'Parking Lots &amp; Playgrounds'!J56+Vehicles!K74</f>
        <v>343301</v>
      </c>
      <c r="K106" s="75">
        <f>'Other Capital Needs'!M121+'Public Grounds'!K74+'Public Buildings'!K122+Bridges!K55+'Parking Lots &amp; Playgrounds'!K56+Vehicles!L74</f>
        <v>345982</v>
      </c>
      <c r="L106" s="75">
        <f>'Other Capital Needs'!N121+'Public Grounds'!L74+'Public Buildings'!L122+Bridges!L55+'Parking Lots &amp; Playgrounds'!L56+Vehicles!M74</f>
        <v>321084</v>
      </c>
      <c r="M106" s="75">
        <f>'Other Capital Needs'!O121+'Public Grounds'!M74+'Public Buildings'!M122+Bridges!M55+'Parking Lots &amp; Playgrounds'!M56+Vehicles!N74</f>
        <v>348504</v>
      </c>
      <c r="N106" s="75">
        <f>'Other Capital Needs'!P121+'Public Grounds'!N74+'Public Buildings'!N122+Bridges!N55+'Parking Lots &amp; Playgrounds'!N56+Vehicles!O74</f>
        <v>396696</v>
      </c>
    </row>
    <row r="107" spans="1:14" x14ac:dyDescent="0.25">
      <c r="A107" s="72" t="s">
        <v>50</v>
      </c>
      <c r="B107" s="73"/>
      <c r="C107" s="74"/>
      <c r="D107" s="75" t="e">
        <f>'Water Control'!#REF!</f>
        <v>#REF!</v>
      </c>
      <c r="E107" s="75" t="e">
        <f>'Water Control'!#REF!</f>
        <v>#REF!</v>
      </c>
      <c r="F107" s="75" t="e">
        <f>'Water Control'!#REF!</f>
        <v>#REF!</v>
      </c>
      <c r="G107" s="75" t="e">
        <f>'Water Control'!#REF!</f>
        <v>#REF!</v>
      </c>
      <c r="H107" s="75" t="e">
        <f>'Water Control'!#REF!</f>
        <v>#REF!</v>
      </c>
      <c r="I107" s="75" t="e">
        <f>'Water Control'!#REF!</f>
        <v>#REF!</v>
      </c>
      <c r="J107" s="75" t="e">
        <f>'Water Control'!#REF!</f>
        <v>#REF!</v>
      </c>
      <c r="K107" s="75" t="e">
        <f>'Water Control'!#REF!</f>
        <v>#REF!</v>
      </c>
      <c r="L107" s="75" t="e">
        <f>'Water Control'!#REF!</f>
        <v>#REF!</v>
      </c>
      <c r="M107" s="75" t="e">
        <f>'Water Control'!#REF!</f>
        <v>#REF!</v>
      </c>
      <c r="N107" s="75" t="e">
        <f>'Water Control'!#REF!</f>
        <v>#REF!</v>
      </c>
    </row>
    <row r="108" spans="1:14" ht="15.75" thickBot="1" x14ac:dyDescent="0.3">
      <c r="A108" s="72"/>
      <c r="B108" s="73"/>
      <c r="C108" s="74"/>
      <c r="D108" s="76" t="e">
        <f>SUM(D100:D107)</f>
        <v>#REF!</v>
      </c>
      <c r="E108" s="76" t="e">
        <f t="shared" ref="E108:N108" si="82">SUM(E100:E107)</f>
        <v>#REF!</v>
      </c>
      <c r="F108" s="76" t="e">
        <f t="shared" si="82"/>
        <v>#REF!</v>
      </c>
      <c r="G108" s="76" t="e">
        <f t="shared" si="82"/>
        <v>#REF!</v>
      </c>
      <c r="H108" s="76" t="e">
        <f t="shared" si="82"/>
        <v>#REF!</v>
      </c>
      <c r="I108" s="76" t="e">
        <f t="shared" si="82"/>
        <v>#REF!</v>
      </c>
      <c r="J108" s="76" t="e">
        <f t="shared" si="82"/>
        <v>#REF!</v>
      </c>
      <c r="K108" s="76" t="e">
        <f t="shared" si="82"/>
        <v>#REF!</v>
      </c>
      <c r="L108" s="76" t="e">
        <f t="shared" si="82"/>
        <v>#REF!</v>
      </c>
      <c r="M108" s="76" t="e">
        <f t="shared" si="82"/>
        <v>#REF!</v>
      </c>
      <c r="N108" s="76" t="e">
        <f t="shared" si="82"/>
        <v>#REF!</v>
      </c>
    </row>
    <row r="109" spans="1:14" ht="15.75" thickTop="1" x14ac:dyDescent="0.25">
      <c r="D109" s="8" t="e">
        <f t="shared" ref="D109:N109" si="83">D108-D96</f>
        <v>#REF!</v>
      </c>
      <c r="E109" s="8" t="e">
        <f t="shared" si="83"/>
        <v>#REF!</v>
      </c>
      <c r="F109" s="8" t="e">
        <f t="shared" si="83"/>
        <v>#REF!</v>
      </c>
      <c r="G109" s="8" t="e">
        <f t="shared" si="83"/>
        <v>#REF!</v>
      </c>
      <c r="H109" s="8" t="e">
        <f t="shared" si="83"/>
        <v>#REF!</v>
      </c>
      <c r="I109" s="8" t="e">
        <f t="shared" si="83"/>
        <v>#REF!</v>
      </c>
      <c r="J109" s="8" t="e">
        <f t="shared" si="83"/>
        <v>#REF!</v>
      </c>
      <c r="K109" s="8" t="e">
        <f t="shared" si="83"/>
        <v>#REF!</v>
      </c>
      <c r="L109" s="8" t="e">
        <f t="shared" si="83"/>
        <v>#REF!</v>
      </c>
      <c r="M109" s="8" t="e">
        <f t="shared" si="83"/>
        <v>#REF!</v>
      </c>
      <c r="N109" s="8" t="e">
        <f t="shared" si="83"/>
        <v>#REF!</v>
      </c>
    </row>
    <row r="111" spans="1:14" x14ac:dyDescent="0.25">
      <c r="A111" s="77" t="s">
        <v>369</v>
      </c>
      <c r="B111" s="78"/>
      <c r="C111" s="77"/>
      <c r="D111" s="79">
        <f>'Public Grounds'!D49+'Public Buildings'!D96+'Parking Lots &amp; Playgrounds'!D33</f>
        <v>700000</v>
      </c>
      <c r="E111" s="79">
        <f>'Public Grounds'!E49+'Public Buildings'!E96+'Parking Lots &amp; Playgrounds'!E33</f>
        <v>861750</v>
      </c>
      <c r="F111" s="79">
        <f>'Public Grounds'!F49+'Public Buildings'!F96</f>
        <v>285000</v>
      </c>
      <c r="G111" s="79">
        <f>'Public Grounds'!G49+'Public Buildings'!G96</f>
        <v>1860000</v>
      </c>
      <c r="H111" s="79">
        <f>'Public Grounds'!H49+'Public Buildings'!H96+'Parking Lots &amp; Playgrounds'!H33</f>
        <v>1740000</v>
      </c>
      <c r="I111" s="79">
        <f>'Public Grounds'!I49+'Public Buildings'!I96+'Parking Lots &amp; Playgrounds'!I33</f>
        <v>1495000</v>
      </c>
      <c r="J111" s="79">
        <f>'Public Grounds'!J49+'Public Buildings'!J96+'Parking Lots &amp; Playgrounds'!J33</f>
        <v>250425.00000000003</v>
      </c>
      <c r="K111" s="79">
        <f>'Public Grounds'!K49+'Public Buildings'!K96+'Parking Lots &amp; Playgrounds'!K33</f>
        <v>1245000</v>
      </c>
      <c r="L111" s="79">
        <f>'Public Grounds'!L49+'Public Buildings'!L96+'Parking Lots &amp; Playgrounds'!L33</f>
        <v>45000</v>
      </c>
      <c r="M111" s="79">
        <f>'Public Grounds'!M49+'Public Buildings'!M96+'Parking Lots &amp; Playgrounds'!M33</f>
        <v>45000</v>
      </c>
      <c r="N111" s="79">
        <f>'Public Grounds'!N49+'Public Buildings'!N96+'Parking Lots &amp; Playgrounds'!N33</f>
        <v>45000</v>
      </c>
    </row>
    <row r="112" spans="1:14" x14ac:dyDescent="0.25">
      <c r="F112" s="6">
        <f>F111+F106</f>
        <v>629588</v>
      </c>
      <c r="G112" s="6">
        <f>G111+G106</f>
        <v>2258655</v>
      </c>
    </row>
    <row r="113" spans="1:14" x14ac:dyDescent="0.25">
      <c r="D113" s="80" t="s">
        <v>2</v>
      </c>
      <c r="E113" s="80" t="s">
        <v>3</v>
      </c>
      <c r="F113" s="80" t="s">
        <v>4</v>
      </c>
      <c r="G113" s="80" t="s">
        <v>5</v>
      </c>
      <c r="H113" s="80" t="s">
        <v>6</v>
      </c>
      <c r="I113" s="80" t="s">
        <v>7</v>
      </c>
      <c r="J113" s="80" t="s">
        <v>8</v>
      </c>
      <c r="K113" s="80" t="s">
        <v>9</v>
      </c>
      <c r="L113" s="80" t="s">
        <v>10</v>
      </c>
      <c r="M113" s="80" t="s">
        <v>11</v>
      </c>
      <c r="N113" s="80" t="s">
        <v>45</v>
      </c>
    </row>
    <row r="114" spans="1:14" x14ac:dyDescent="0.25">
      <c r="A114" s="95" t="s">
        <v>395</v>
      </c>
      <c r="B114" s="96"/>
      <c r="C114" s="95"/>
      <c r="D114" s="97">
        <f>'Other Capital Needs'!F99+'Public Grounds'!D53+'Public Buildings'!D100</f>
        <v>47419</v>
      </c>
      <c r="E114" s="97">
        <f>'Other Capital Needs'!G99+'Public Grounds'!E53+'Public Buildings'!E100</f>
        <v>607368</v>
      </c>
      <c r="F114" s="97">
        <f>'Other Capital Needs'!H99+'Public Grounds'!F53+'Public Buildings'!F100</f>
        <v>815351</v>
      </c>
      <c r="G114" s="97">
        <f>'Other Capital Needs'!I99+'Public Grounds'!G53+'Public Buildings'!G100</f>
        <v>548538</v>
      </c>
      <c r="H114" s="97">
        <f>'Other Capital Needs'!J99+'Public Grounds'!H53+'Public Buildings'!H100</f>
        <v>556467</v>
      </c>
      <c r="I114" s="97">
        <f>'Other Capital Needs'!K99+'Public Grounds'!I53+'Public Buildings'!I100</f>
        <v>399018</v>
      </c>
      <c r="J114" s="97">
        <f>'Other Capital Needs'!L99+'Public Grounds'!J53+'Public Buildings'!J100</f>
        <v>342314</v>
      </c>
      <c r="K114" s="97">
        <f>'Other Capital Needs'!M99+'Public Grounds'!K53+'Public Buildings'!K100</f>
        <v>329049</v>
      </c>
      <c r="L114" s="97">
        <f>'Other Capital Needs'!N99+'Public Grounds'!L53+'Public Buildings'!L100</f>
        <v>326485</v>
      </c>
      <c r="M114" s="97">
        <f>'Other Capital Needs'!O99+'Public Grounds'!M53+'Public Buildings'!M100</f>
        <v>342285</v>
      </c>
      <c r="N114" s="97">
        <f>'Other Capital Needs'!P99+'Public Grounds'!N53+'Public Buildings'!N100</f>
        <v>306285</v>
      </c>
    </row>
    <row r="115" spans="1:14" x14ac:dyDescent="0.25">
      <c r="A115" s="95" t="s">
        <v>396</v>
      </c>
      <c r="B115" s="96"/>
      <c r="C115" s="95"/>
      <c r="D115" s="97">
        <f>'Other Capital Needs'!F100+'Public Grounds'!D54+'Public Buildings'!D101</f>
        <v>2888450</v>
      </c>
      <c r="E115" s="97">
        <f>'Other Capital Needs'!G100+'Public Grounds'!E54+'Public Buildings'!E101</f>
        <v>4309929</v>
      </c>
      <c r="F115" s="97">
        <f>'Other Capital Needs'!H100+'Public Grounds'!F54+'Public Buildings'!F101</f>
        <v>2982679</v>
      </c>
      <c r="G115" s="97">
        <f>'Other Capital Needs'!I100+'Public Grounds'!G54+'Public Buildings'!G101</f>
        <v>7214973</v>
      </c>
      <c r="H115" s="97">
        <f>'Other Capital Needs'!J100+'Public Grounds'!H54+'Public Buildings'!H101</f>
        <v>4807833</v>
      </c>
      <c r="I115" s="97">
        <f>'Other Capital Needs'!K100+'Public Grounds'!I54+'Public Buildings'!I101</f>
        <v>4328033</v>
      </c>
      <c r="J115" s="97">
        <f>'Other Capital Needs'!L100+'Public Grounds'!J54+'Public Buildings'!J101</f>
        <v>1009925</v>
      </c>
      <c r="K115" s="97">
        <f>'Other Capital Needs'!M100+'Public Grounds'!K54+'Public Buildings'!K101</f>
        <v>1813200</v>
      </c>
      <c r="L115" s="97">
        <f>'Other Capital Needs'!N100+'Public Grounds'!L54+'Public Buildings'!L101</f>
        <v>743200</v>
      </c>
      <c r="M115" s="97">
        <f>'Other Capital Needs'!O100+'Public Grounds'!M54+'Public Buildings'!M101</f>
        <v>763900</v>
      </c>
      <c r="N115" s="97">
        <f>'Other Capital Needs'!P100+'Public Grounds'!N54+'Public Buildings'!N101</f>
        <v>1512900</v>
      </c>
    </row>
    <row r="116" spans="1:14" x14ac:dyDescent="0.25">
      <c r="A116" s="95" t="s">
        <v>52</v>
      </c>
      <c r="B116" s="96"/>
      <c r="C116" s="95"/>
      <c r="D116" s="97">
        <f>D45</f>
        <v>1050000</v>
      </c>
      <c r="E116" s="97">
        <f t="shared" ref="E116:N116" si="84">E45</f>
        <v>1500000</v>
      </c>
      <c r="F116" s="97">
        <f t="shared" si="84"/>
        <v>1500000</v>
      </c>
      <c r="G116" s="97">
        <f t="shared" si="84"/>
        <v>1500000</v>
      </c>
      <c r="H116" s="97">
        <f t="shared" si="84"/>
        <v>1500000</v>
      </c>
      <c r="I116" s="97">
        <f t="shared" si="84"/>
        <v>1500000</v>
      </c>
      <c r="J116" s="97">
        <f t="shared" si="84"/>
        <v>1500000</v>
      </c>
      <c r="K116" s="97">
        <f t="shared" si="84"/>
        <v>1500000</v>
      </c>
      <c r="L116" s="97">
        <f t="shared" si="84"/>
        <v>1500000</v>
      </c>
      <c r="M116" s="97">
        <f t="shared" si="84"/>
        <v>1500000</v>
      </c>
      <c r="N116" s="97">
        <f t="shared" si="84"/>
        <v>1500000</v>
      </c>
    </row>
    <row r="117" spans="1:14" x14ac:dyDescent="0.25">
      <c r="A117" s="95" t="s">
        <v>48</v>
      </c>
      <c r="B117" s="96"/>
      <c r="C117" s="95"/>
      <c r="D117" s="97">
        <f>D35</f>
        <v>1000000</v>
      </c>
      <c r="E117" s="97">
        <f t="shared" ref="E117:N117" si="85">E35</f>
        <v>2310800</v>
      </c>
      <c r="F117" s="97">
        <f t="shared" si="85"/>
        <v>1500000</v>
      </c>
      <c r="G117" s="97">
        <f t="shared" si="85"/>
        <v>500000</v>
      </c>
      <c r="H117" s="97">
        <f t="shared" si="85"/>
        <v>250000</v>
      </c>
      <c r="I117" s="97">
        <f t="shared" si="85"/>
        <v>250000</v>
      </c>
      <c r="J117" s="97">
        <f t="shared" si="85"/>
        <v>250000</v>
      </c>
      <c r="K117" s="97">
        <f t="shared" si="85"/>
        <v>250000</v>
      </c>
      <c r="L117" s="97">
        <f t="shared" si="85"/>
        <v>250000</v>
      </c>
      <c r="M117" s="97">
        <f t="shared" si="85"/>
        <v>250000</v>
      </c>
      <c r="N117" s="97">
        <f t="shared" si="85"/>
        <v>250000</v>
      </c>
    </row>
    <row r="118" spans="1:14" x14ac:dyDescent="0.25">
      <c r="A118" s="95" t="s">
        <v>399</v>
      </c>
      <c r="B118" s="96"/>
      <c r="C118" s="95"/>
      <c r="D118" s="97">
        <f>D55</f>
        <v>0</v>
      </c>
      <c r="E118" s="97">
        <f t="shared" ref="E118:N118" si="86">E55</f>
        <v>210000</v>
      </c>
      <c r="F118" s="97">
        <f t="shared" si="86"/>
        <v>525000</v>
      </c>
      <c r="G118" s="97">
        <f t="shared" si="86"/>
        <v>251000</v>
      </c>
      <c r="H118" s="97">
        <f t="shared" si="86"/>
        <v>325000</v>
      </c>
      <c r="I118" s="97">
        <f t="shared" si="86"/>
        <v>350000</v>
      </c>
      <c r="J118" s="97">
        <f t="shared" si="86"/>
        <v>145000</v>
      </c>
      <c r="K118" s="97">
        <f t="shared" si="86"/>
        <v>100000</v>
      </c>
      <c r="L118" s="97">
        <f t="shared" si="86"/>
        <v>125000</v>
      </c>
      <c r="M118" s="97">
        <f t="shared" si="86"/>
        <v>140000</v>
      </c>
      <c r="N118" s="97">
        <f t="shared" si="86"/>
        <v>35000</v>
      </c>
    </row>
    <row r="119" spans="1:14" x14ac:dyDescent="0.25">
      <c r="A119" s="95" t="s">
        <v>49</v>
      </c>
      <c r="B119" s="96"/>
      <c r="C119" s="95"/>
      <c r="D119" s="97">
        <f>D65</f>
        <v>46950</v>
      </c>
      <c r="E119" s="97">
        <f t="shared" ref="E119:N119" si="87">E65</f>
        <v>726449</v>
      </c>
      <c r="F119" s="97">
        <f t="shared" si="87"/>
        <v>2016742</v>
      </c>
      <c r="G119" s="97">
        <f t="shared" si="87"/>
        <v>1119643</v>
      </c>
      <c r="H119" s="97">
        <f t="shared" si="87"/>
        <v>925191</v>
      </c>
      <c r="I119" s="97">
        <f t="shared" si="87"/>
        <v>829738</v>
      </c>
      <c r="J119" s="97">
        <f t="shared" si="87"/>
        <v>2102186</v>
      </c>
      <c r="K119" s="97">
        <f t="shared" si="87"/>
        <v>651018</v>
      </c>
      <c r="L119" s="97">
        <f t="shared" si="87"/>
        <v>692799</v>
      </c>
      <c r="M119" s="97">
        <f t="shared" si="87"/>
        <v>987187</v>
      </c>
      <c r="N119" s="97">
        <f t="shared" si="87"/>
        <v>627543</v>
      </c>
    </row>
    <row r="120" spans="1:14" x14ac:dyDescent="0.25">
      <c r="A120" s="95" t="s">
        <v>50</v>
      </c>
      <c r="B120" s="96"/>
      <c r="C120" s="95"/>
      <c r="D120" s="97" t="e">
        <f>D85</f>
        <v>#REF!</v>
      </c>
      <c r="E120" s="97" t="e">
        <f t="shared" ref="E120:N120" si="88">E85</f>
        <v>#REF!</v>
      </c>
      <c r="F120" s="97" t="e">
        <f t="shared" si="88"/>
        <v>#REF!</v>
      </c>
      <c r="G120" s="97" t="e">
        <f t="shared" si="88"/>
        <v>#REF!</v>
      </c>
      <c r="H120" s="97" t="e">
        <f t="shared" si="88"/>
        <v>#REF!</v>
      </c>
      <c r="I120" s="97" t="e">
        <f t="shared" si="88"/>
        <v>#REF!</v>
      </c>
      <c r="J120" s="97" t="e">
        <f t="shared" si="88"/>
        <v>#REF!</v>
      </c>
      <c r="K120" s="97" t="e">
        <f t="shared" si="88"/>
        <v>#REF!</v>
      </c>
      <c r="L120" s="97" t="e">
        <f t="shared" si="88"/>
        <v>#REF!</v>
      </c>
      <c r="M120" s="97" t="e">
        <f t="shared" si="88"/>
        <v>#REF!</v>
      </c>
      <c r="N120" s="97" t="e">
        <f t="shared" si="88"/>
        <v>#REF!</v>
      </c>
    </row>
    <row r="121" spans="1:14" ht="15.75" thickBot="1" x14ac:dyDescent="0.3">
      <c r="A121" s="95"/>
      <c r="B121" s="96"/>
      <c r="C121" s="95"/>
      <c r="D121" s="98" t="e">
        <f>SUM(D114:D120)</f>
        <v>#REF!</v>
      </c>
      <c r="E121" s="98" t="e">
        <f t="shared" ref="E121:N121" si="89">SUM(E114:E120)</f>
        <v>#REF!</v>
      </c>
      <c r="F121" s="98" t="e">
        <f t="shared" si="89"/>
        <v>#REF!</v>
      </c>
      <c r="G121" s="98" t="e">
        <f t="shared" si="89"/>
        <v>#REF!</v>
      </c>
      <c r="H121" s="98" t="e">
        <f t="shared" si="89"/>
        <v>#REF!</v>
      </c>
      <c r="I121" s="98" t="e">
        <f t="shared" si="89"/>
        <v>#REF!</v>
      </c>
      <c r="J121" s="98" t="e">
        <f t="shared" si="89"/>
        <v>#REF!</v>
      </c>
      <c r="K121" s="98" t="e">
        <f t="shared" si="89"/>
        <v>#REF!</v>
      </c>
      <c r="L121" s="98" t="e">
        <f t="shared" si="89"/>
        <v>#REF!</v>
      </c>
      <c r="M121" s="98" t="e">
        <f t="shared" si="89"/>
        <v>#REF!</v>
      </c>
      <c r="N121" s="98" t="e">
        <f t="shared" si="89"/>
        <v>#REF!</v>
      </c>
    </row>
    <row r="122" spans="1:14" ht="15.75" thickTop="1" x14ac:dyDescent="0.25">
      <c r="D122" s="94" t="e">
        <f>D121-D96</f>
        <v>#REF!</v>
      </c>
      <c r="E122" s="94" t="e">
        <f t="shared" ref="E122:N122" si="90">E121-E96</f>
        <v>#REF!</v>
      </c>
      <c r="F122" s="94" t="e">
        <f t="shared" si="90"/>
        <v>#REF!</v>
      </c>
      <c r="G122" s="94" t="e">
        <f t="shared" si="90"/>
        <v>#REF!</v>
      </c>
      <c r="H122" s="94" t="e">
        <f t="shared" si="90"/>
        <v>#REF!</v>
      </c>
      <c r="I122" s="94" t="e">
        <f t="shared" si="90"/>
        <v>#REF!</v>
      </c>
      <c r="J122" s="94" t="e">
        <f t="shared" si="90"/>
        <v>#REF!</v>
      </c>
      <c r="K122" s="94" t="e">
        <f t="shared" si="90"/>
        <v>#REF!</v>
      </c>
      <c r="L122" s="94" t="e">
        <f t="shared" si="90"/>
        <v>#REF!</v>
      </c>
      <c r="M122" s="94" t="e">
        <f t="shared" si="90"/>
        <v>#REF!</v>
      </c>
      <c r="N122" s="94" t="e">
        <f t="shared" si="90"/>
        <v>#REF!</v>
      </c>
    </row>
    <row r="124" spans="1:14" x14ac:dyDescent="0.25">
      <c r="D124" s="80" t="str">
        <f>D5</f>
        <v>FY18</v>
      </c>
      <c r="E124" s="80" t="str">
        <f t="shared" ref="E124:N124" si="91">E5</f>
        <v>FY19</v>
      </c>
      <c r="F124" s="80" t="str">
        <f t="shared" si="91"/>
        <v>FY20</v>
      </c>
      <c r="G124" s="80" t="str">
        <f t="shared" si="91"/>
        <v>FY21</v>
      </c>
      <c r="H124" s="80" t="str">
        <f t="shared" si="91"/>
        <v>FY22</v>
      </c>
      <c r="I124" s="80" t="str">
        <f t="shared" si="91"/>
        <v>FY23</v>
      </c>
      <c r="J124" s="80" t="str">
        <f t="shared" si="91"/>
        <v>FY24</v>
      </c>
      <c r="K124" s="80" t="str">
        <f t="shared" si="91"/>
        <v>FY25</v>
      </c>
      <c r="L124" s="80" t="str">
        <f t="shared" si="91"/>
        <v>FY26</v>
      </c>
      <c r="M124" s="80" t="str">
        <f t="shared" si="91"/>
        <v>FY27</v>
      </c>
      <c r="N124" s="80" t="str">
        <f t="shared" si="91"/>
        <v>FY28</v>
      </c>
    </row>
    <row r="125" spans="1:14" x14ac:dyDescent="0.25">
      <c r="A125" s="12" t="s">
        <v>53</v>
      </c>
      <c r="B125" s="13"/>
      <c r="C125" s="12"/>
      <c r="D125" s="14">
        <f t="shared" ref="D125:N125" si="92">D92+D94</f>
        <v>4665000</v>
      </c>
      <c r="E125" s="14">
        <f t="shared" si="92"/>
        <v>4232800</v>
      </c>
      <c r="F125" s="14">
        <f t="shared" si="92"/>
        <v>3800000</v>
      </c>
      <c r="G125" s="14">
        <f t="shared" si="92"/>
        <v>4800000</v>
      </c>
      <c r="H125" s="14">
        <f t="shared" si="92"/>
        <v>2775000</v>
      </c>
      <c r="I125" s="14">
        <f t="shared" si="92"/>
        <v>2600000</v>
      </c>
      <c r="J125" s="14">
        <f t="shared" si="92"/>
        <v>1300000</v>
      </c>
      <c r="K125" s="14">
        <f t="shared" si="92"/>
        <v>1100000</v>
      </c>
      <c r="L125" s="14">
        <f t="shared" si="92"/>
        <v>0</v>
      </c>
      <c r="M125" s="14">
        <f t="shared" si="92"/>
        <v>0</v>
      </c>
      <c r="N125" s="14">
        <f t="shared" si="92"/>
        <v>0</v>
      </c>
    </row>
    <row r="126" spans="1:14" x14ac:dyDescent="0.25">
      <c r="A126" s="12" t="s">
        <v>142</v>
      </c>
      <c r="B126" s="13"/>
      <c r="C126" s="12"/>
      <c r="D126" s="15" t="str">
        <f>IF((D125)&lt;10000000,"YES","NO")</f>
        <v>YES</v>
      </c>
      <c r="E126" s="15" t="str">
        <f t="shared" ref="E126:N126" si="93">IF((E125)&lt;10000000,"YES","NO")</f>
        <v>YES</v>
      </c>
      <c r="F126" s="15" t="str">
        <f t="shared" si="93"/>
        <v>YES</v>
      </c>
      <c r="G126" s="15" t="str">
        <f t="shared" si="93"/>
        <v>YES</v>
      </c>
      <c r="H126" s="15" t="str">
        <f t="shared" si="93"/>
        <v>YES</v>
      </c>
      <c r="I126" s="15" t="str">
        <f t="shared" si="93"/>
        <v>YES</v>
      </c>
      <c r="J126" s="15" t="str">
        <f t="shared" si="93"/>
        <v>YES</v>
      </c>
      <c r="K126" s="15" t="str">
        <f t="shared" si="93"/>
        <v>YES</v>
      </c>
      <c r="L126" s="15" t="str">
        <f t="shared" si="93"/>
        <v>YES</v>
      </c>
      <c r="M126" s="15" t="str">
        <f t="shared" si="93"/>
        <v>YES</v>
      </c>
      <c r="N126" s="15" t="str">
        <f t="shared" si="93"/>
        <v>YES</v>
      </c>
    </row>
    <row r="127" spans="1:14" s="4" customFormat="1" x14ac:dyDescent="0.25">
      <c r="A127" s="12" t="s">
        <v>143</v>
      </c>
      <c r="B127" s="13"/>
      <c r="C127" s="12"/>
      <c r="D127" s="15" t="str">
        <f>IF((D125)&lt;5000000,"YES","NO")</f>
        <v>YES</v>
      </c>
      <c r="E127" s="15" t="str">
        <f t="shared" ref="E127:N127" si="94">IF((E125)&lt;5000000,"YES","NO")</f>
        <v>YES</v>
      </c>
      <c r="F127" s="15" t="str">
        <f t="shared" si="94"/>
        <v>YES</v>
      </c>
      <c r="G127" s="15" t="str">
        <f t="shared" si="94"/>
        <v>YES</v>
      </c>
      <c r="H127" s="15" t="str">
        <f t="shared" si="94"/>
        <v>YES</v>
      </c>
      <c r="I127" s="15" t="str">
        <f t="shared" si="94"/>
        <v>YES</v>
      </c>
      <c r="J127" s="15" t="str">
        <f t="shared" si="94"/>
        <v>YES</v>
      </c>
      <c r="K127" s="15" t="str">
        <f t="shared" si="94"/>
        <v>YES</v>
      </c>
      <c r="L127" s="15" t="str">
        <f t="shared" si="94"/>
        <v>YES</v>
      </c>
      <c r="M127" s="15" t="str">
        <f t="shared" si="94"/>
        <v>YES</v>
      </c>
      <c r="N127" s="15" t="str">
        <f t="shared" si="94"/>
        <v>YES</v>
      </c>
    </row>
    <row r="130" spans="1:15" x14ac:dyDescent="0.25">
      <c r="A130" s="88" t="s">
        <v>373</v>
      </c>
      <c r="O130" s="3" t="s">
        <v>279</v>
      </c>
    </row>
    <row r="131" spans="1:15" x14ac:dyDescent="0.25">
      <c r="A131" s="89" t="s">
        <v>111</v>
      </c>
      <c r="B131" s="90" t="s">
        <v>19</v>
      </c>
      <c r="C131" s="89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>
        <f>'Other Capital Needs'!Q81</f>
        <v>20000000</v>
      </c>
    </row>
    <row r="132" spans="1:15" x14ac:dyDescent="0.25">
      <c r="A132" s="89" t="s">
        <v>374</v>
      </c>
      <c r="B132" s="90" t="s">
        <v>19</v>
      </c>
      <c r="C132" s="89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>
        <f>'Other Capital Needs'!Q80</f>
        <v>18000000</v>
      </c>
    </row>
    <row r="133" spans="1:15" x14ac:dyDescent="0.25">
      <c r="A133" s="89" t="s">
        <v>181</v>
      </c>
      <c r="B133" s="90" t="s">
        <v>19</v>
      </c>
      <c r="C133" s="89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>
        <f>'Other Capital Needs'!Q79</f>
        <v>5000000</v>
      </c>
    </row>
    <row r="134" spans="1:15" x14ac:dyDescent="0.25">
      <c r="A134" s="89" t="s">
        <v>26</v>
      </c>
      <c r="B134" s="90" t="s">
        <v>19</v>
      </c>
      <c r="C134" s="89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>
        <f>'Other Capital Needs'!Q84</f>
        <v>2500000</v>
      </c>
    </row>
    <row r="135" spans="1:15" x14ac:dyDescent="0.25">
      <c r="A135" s="89" t="s">
        <v>33</v>
      </c>
      <c r="B135" s="90" t="s">
        <v>19</v>
      </c>
      <c r="C135" s="89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>
        <f>'Other Capital Needs'!Q85</f>
        <v>2500000</v>
      </c>
    </row>
    <row r="136" spans="1:15" x14ac:dyDescent="0.25">
      <c r="A136" s="89" t="s">
        <v>44</v>
      </c>
      <c r="B136" s="90" t="s">
        <v>19</v>
      </c>
      <c r="C136" s="89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>
        <f>'Other Capital Needs'!Q88</f>
        <v>1500000</v>
      </c>
    </row>
    <row r="137" spans="1:15" x14ac:dyDescent="0.25">
      <c r="A137" s="89" t="s">
        <v>252</v>
      </c>
      <c r="B137" s="90" t="s">
        <v>19</v>
      </c>
      <c r="C137" s="89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>
        <f>'Other Capital Needs'!Q78</f>
        <v>1000000</v>
      </c>
    </row>
    <row r="138" spans="1:15" x14ac:dyDescent="0.25">
      <c r="A138" s="89" t="s">
        <v>375</v>
      </c>
      <c r="B138" s="90" t="s">
        <v>19</v>
      </c>
      <c r="C138" s="89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>
        <f>'Other Capital Needs'!Q83</f>
        <v>1000000</v>
      </c>
    </row>
    <row r="139" spans="1:15" x14ac:dyDescent="0.25">
      <c r="A139" s="89" t="s">
        <v>351</v>
      </c>
      <c r="B139" s="90" t="s">
        <v>13</v>
      </c>
      <c r="C139" s="89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>
        <f>'Other Capital Needs'!Q82</f>
        <v>875000</v>
      </c>
    </row>
    <row r="140" spans="1:15" x14ac:dyDescent="0.25">
      <c r="A140" s="89" t="s">
        <v>41</v>
      </c>
      <c r="B140" s="90" t="s">
        <v>16</v>
      </c>
      <c r="C140" s="89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>
        <f>'Other Capital Needs'!Q86</f>
        <v>500000</v>
      </c>
    </row>
    <row r="141" spans="1:15" x14ac:dyDescent="0.25">
      <c r="A141" s="89" t="s">
        <v>43</v>
      </c>
      <c r="B141" s="90" t="s">
        <v>16</v>
      </c>
      <c r="C141" s="89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>
        <f>'Other Capital Needs'!Q87</f>
        <v>300000</v>
      </c>
    </row>
    <row r="142" spans="1:15" ht="15.75" thickBot="1" x14ac:dyDescent="0.3">
      <c r="A142" s="89" t="s">
        <v>51</v>
      </c>
      <c r="B142" s="90"/>
      <c r="C142" s="89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2">
        <f>SUM(O131:O141)</f>
        <v>53175000</v>
      </c>
    </row>
    <row r="143" spans="1:15" ht="15.75" thickTop="1" x14ac:dyDescent="0.25"/>
    <row r="145" spans="1:1" x14ac:dyDescent="0.25">
      <c r="A145" t="s">
        <v>55</v>
      </c>
    </row>
    <row r="146" spans="1:1" x14ac:dyDescent="0.25">
      <c r="A146" t="s">
        <v>56</v>
      </c>
    </row>
    <row r="147" spans="1:1" x14ac:dyDescent="0.25">
      <c r="A147" t="s">
        <v>371</v>
      </c>
    </row>
    <row r="148" spans="1:1" x14ac:dyDescent="0.25">
      <c r="A148" t="s">
        <v>57</v>
      </c>
    </row>
    <row r="149" spans="1:1" x14ac:dyDescent="0.25">
      <c r="A149" t="s">
        <v>244</v>
      </c>
    </row>
    <row r="150" spans="1:1" x14ac:dyDescent="0.25">
      <c r="A150" t="s">
        <v>58</v>
      </c>
    </row>
    <row r="151" spans="1:1" x14ac:dyDescent="0.25">
      <c r="A151" t="s">
        <v>59</v>
      </c>
    </row>
  </sheetData>
  <conditionalFormatting sqref="D126">
    <cfRule type="containsText" dxfId="4" priority="9" operator="containsText" text="NO">
      <formula>NOT(ISERROR(SEARCH("NO",D126)))</formula>
    </cfRule>
  </conditionalFormatting>
  <conditionalFormatting sqref="D127">
    <cfRule type="containsText" dxfId="3" priority="7" operator="containsText" text="NO">
      <formula>NOT(ISERROR(SEARCH("NO",D127)))</formula>
    </cfRule>
  </conditionalFormatting>
  <conditionalFormatting sqref="E126:N126">
    <cfRule type="containsText" dxfId="2" priority="2" operator="containsText" text="NO">
      <formula>NOT(ISERROR(SEARCH("NO",E126)))</formula>
    </cfRule>
  </conditionalFormatting>
  <conditionalFormatting sqref="E127:N127">
    <cfRule type="containsText" dxfId="1" priority="1" operator="containsText" text="NO">
      <formula>NOT(ISERROR(SEARCH("NO",E127)))</formula>
    </cfRule>
  </conditionalFormatting>
  <pageMargins left="0.4" right="0.4" top="0.4" bottom="0.4" header="0" footer="0"/>
  <pageSetup scale="45" orientation="portrait" r:id="rId1"/>
  <headerFooter>
    <oddFooter>&amp;C&amp;Z&amp;F&amp;R&amp;D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Y381"/>
  <sheetViews>
    <sheetView showGridLines="0" tabSelected="1" topLeftCell="C1" zoomScale="120" zoomScaleNormal="120" workbookViewId="0">
      <pane xSplit="5" ySplit="9" topLeftCell="H10" activePane="bottomRight" state="frozen"/>
      <selection activeCell="C1" sqref="C1"/>
      <selection pane="topRight" activeCell="H1" sqref="H1"/>
      <selection pane="bottomLeft" activeCell="C10" sqref="C10"/>
      <selection pane="bottomRight" activeCell="H10" sqref="H10"/>
    </sheetView>
  </sheetViews>
  <sheetFormatPr defaultColWidth="9.140625" defaultRowHeight="15" outlineLevelRow="1" outlineLevelCol="1" x14ac:dyDescent="0.25"/>
  <cols>
    <col min="1" max="1" width="9.140625" style="114" hidden="1" customWidth="1" outlineLevel="1"/>
    <col min="2" max="2" width="35.5703125" style="11" hidden="1" customWidth="1" outlineLevel="1"/>
    <col min="3" max="3" width="8.7109375" style="114" customWidth="1" collapsed="1"/>
    <col min="4" max="4" width="22.42578125" style="11" bestFit="1" customWidth="1"/>
    <col min="5" max="5" width="2.7109375" style="114" customWidth="1"/>
    <col min="6" max="6" width="53.42578125" style="181" customWidth="1"/>
    <col min="7" max="7" width="13.7109375" style="11" bestFit="1" customWidth="1"/>
    <col min="8" max="9" width="16" style="11" customWidth="1"/>
    <col min="10" max="10" width="2.7109375" style="114" customWidth="1"/>
    <col min="11" max="11" width="12.7109375" style="114" customWidth="1"/>
    <col min="12" max="12" width="12.7109375" style="160" customWidth="1"/>
    <col min="13" max="13" width="3.7109375" style="160" customWidth="1"/>
    <col min="14" max="15" width="12.7109375" style="114" customWidth="1"/>
    <col min="16" max="16" width="13.85546875" style="114" customWidth="1"/>
    <col min="17" max="23" width="12.7109375" style="114" customWidth="1"/>
    <col min="24" max="24" width="17" style="114" customWidth="1"/>
    <col min="25" max="16384" width="9.140625" style="114"/>
  </cols>
  <sheetData>
    <row r="1" spans="1:23" ht="18.75" x14ac:dyDescent="0.25">
      <c r="C1" s="190" t="s">
        <v>62</v>
      </c>
      <c r="D1" s="191"/>
      <c r="E1" s="192"/>
      <c r="F1" s="183"/>
      <c r="G1" s="191"/>
      <c r="H1" s="191"/>
      <c r="I1" s="191"/>
      <c r="J1" s="192"/>
      <c r="K1" s="193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23" ht="18.75" x14ac:dyDescent="0.25">
      <c r="C2" s="190" t="s">
        <v>63</v>
      </c>
      <c r="D2" s="191"/>
      <c r="E2" s="192"/>
      <c r="F2" s="183"/>
      <c r="G2" s="191"/>
      <c r="H2" s="191"/>
      <c r="I2" s="191"/>
      <c r="J2" s="192"/>
      <c r="K2" s="131"/>
      <c r="L2" s="194"/>
      <c r="M2" s="194"/>
      <c r="N2" s="194"/>
      <c r="O2" s="193"/>
      <c r="P2" s="194"/>
      <c r="Q2" s="194"/>
      <c r="R2" s="194"/>
      <c r="S2" s="194"/>
      <c r="T2" s="194"/>
      <c r="U2" s="194"/>
      <c r="V2" s="194"/>
      <c r="W2" s="194"/>
    </row>
    <row r="3" spans="1:23" ht="18.75" x14ac:dyDescent="0.25">
      <c r="C3" s="190" t="s">
        <v>620</v>
      </c>
      <c r="D3" s="191"/>
      <c r="E3" s="192"/>
      <c r="F3" s="183"/>
      <c r="G3" s="191"/>
      <c r="H3" s="191"/>
      <c r="I3" s="191"/>
      <c r="J3" s="192"/>
      <c r="K3" s="195"/>
      <c r="L3" s="196"/>
      <c r="M3" s="196"/>
      <c r="N3" s="195"/>
      <c r="O3" s="195"/>
      <c r="P3" s="192"/>
      <c r="Q3" s="192"/>
      <c r="R3" s="192"/>
      <c r="S3" s="192"/>
      <c r="T3" s="192"/>
      <c r="U3" s="192"/>
      <c r="V3" s="192"/>
      <c r="W3" s="192"/>
    </row>
    <row r="4" spans="1:23" ht="18.75" x14ac:dyDescent="0.25">
      <c r="C4" s="197" t="s">
        <v>484</v>
      </c>
      <c r="D4" s="191"/>
      <c r="E4" s="192"/>
      <c r="F4" s="183"/>
      <c r="G4" s="191"/>
      <c r="H4" s="191"/>
      <c r="I4" s="191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</row>
    <row r="5" spans="1:23" ht="18.75" x14ac:dyDescent="0.25">
      <c r="C5" s="197"/>
      <c r="D5" s="191"/>
      <c r="E5" s="192"/>
      <c r="F5" s="183"/>
      <c r="G5" s="191"/>
      <c r="H5" s="191"/>
      <c r="I5" s="191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</row>
    <row r="6" spans="1:23" ht="18.75" x14ac:dyDescent="0.25">
      <c r="C6" s="197"/>
      <c r="D6" s="191"/>
      <c r="E6" s="192"/>
      <c r="F6" s="183"/>
      <c r="G6" s="191"/>
      <c r="H6" s="191"/>
      <c r="I6" s="191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</row>
    <row r="7" spans="1:23" ht="18.75" x14ac:dyDescent="0.25">
      <c r="C7" s="192"/>
      <c r="D7" s="191"/>
      <c r="E7" s="192"/>
      <c r="F7" s="183"/>
      <c r="G7" s="191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</row>
    <row r="8" spans="1:23" ht="18.75" x14ac:dyDescent="0.25">
      <c r="B8" s="161" t="s">
        <v>436</v>
      </c>
      <c r="C8" s="198" t="s">
        <v>510</v>
      </c>
      <c r="D8" s="198" t="s">
        <v>206</v>
      </c>
      <c r="E8" s="192"/>
      <c r="F8" s="184" t="s">
        <v>437</v>
      </c>
      <c r="G8" s="198" t="s">
        <v>271</v>
      </c>
      <c r="H8" s="199" t="s">
        <v>539</v>
      </c>
      <c r="I8" s="199" t="s">
        <v>545</v>
      </c>
      <c r="J8" s="192"/>
      <c r="K8" s="198" t="s">
        <v>2</v>
      </c>
      <c r="L8" s="198" t="s">
        <v>3</v>
      </c>
      <c r="M8" s="200"/>
      <c r="N8" s="198" t="s">
        <v>4</v>
      </c>
      <c r="O8" s="198" t="s">
        <v>5</v>
      </c>
      <c r="P8" s="198" t="s">
        <v>6</v>
      </c>
      <c r="Q8" s="198" t="s">
        <v>7</v>
      </c>
      <c r="R8" s="198" t="s">
        <v>8</v>
      </c>
      <c r="S8" s="198" t="s">
        <v>9</v>
      </c>
      <c r="T8" s="198" t="s">
        <v>10</v>
      </c>
      <c r="U8" s="198" t="s">
        <v>11</v>
      </c>
      <c r="V8" s="198" t="s">
        <v>45</v>
      </c>
      <c r="W8" s="198" t="s">
        <v>614</v>
      </c>
    </row>
    <row r="9" spans="1:23" outlineLevel="1" x14ac:dyDescent="0.25">
      <c r="C9" s="11"/>
      <c r="K9" s="115"/>
      <c r="L9" s="115"/>
      <c r="M9" s="170"/>
      <c r="N9" s="115"/>
      <c r="O9" s="115"/>
      <c r="P9" s="115"/>
      <c r="Q9" s="115"/>
      <c r="R9" s="115"/>
      <c r="S9" s="115"/>
      <c r="T9" s="115"/>
      <c r="U9" s="115"/>
    </row>
    <row r="10" spans="1:23" outlineLevel="1" x14ac:dyDescent="0.25">
      <c r="A10" s="114" t="str">
        <f t="shared" ref="A10:A19" si="0">B10&amp;D10&amp;F10&amp;G10</f>
        <v>General GovernmentTown ClerkRecords Management ProgramGF</v>
      </c>
      <c r="B10" s="11" t="s">
        <v>315</v>
      </c>
      <c r="C10" s="11">
        <v>11</v>
      </c>
      <c r="D10" s="11" t="s">
        <v>509</v>
      </c>
      <c r="F10" s="223" t="s">
        <v>771</v>
      </c>
      <c r="G10" s="11" t="s">
        <v>16</v>
      </c>
      <c r="H10" s="11" t="s">
        <v>531</v>
      </c>
      <c r="I10" s="11" t="s">
        <v>772</v>
      </c>
      <c r="K10" s="115">
        <v>2000</v>
      </c>
      <c r="L10" s="115">
        <v>2000</v>
      </c>
      <c r="M10" s="170"/>
      <c r="N10" s="201">
        <f>2000*0</f>
        <v>0</v>
      </c>
      <c r="O10" s="115">
        <v>2000</v>
      </c>
      <c r="P10" s="115">
        <v>2000</v>
      </c>
      <c r="Q10" s="115">
        <v>2000</v>
      </c>
      <c r="R10" s="115">
        <v>2000</v>
      </c>
      <c r="S10" s="115">
        <v>2000</v>
      </c>
      <c r="T10" s="115">
        <v>2000</v>
      </c>
      <c r="U10" s="115">
        <v>2000</v>
      </c>
      <c r="V10" s="115">
        <v>2000</v>
      </c>
      <c r="W10" s="115">
        <v>2000</v>
      </c>
    </row>
    <row r="11" spans="1:23" ht="15.75" outlineLevel="1" thickBot="1" x14ac:dyDescent="0.3">
      <c r="C11" s="11"/>
      <c r="F11" s="223"/>
      <c r="K11" s="116">
        <f>SUM(K10)</f>
        <v>2000</v>
      </c>
      <c r="L11" s="116">
        <f>SUM(L10)</f>
        <v>2000</v>
      </c>
      <c r="M11" s="170"/>
      <c r="N11" s="116">
        <f t="shared" ref="N11:W11" si="1">SUM(N10)</f>
        <v>0</v>
      </c>
      <c r="O11" s="116">
        <f t="shared" si="1"/>
        <v>2000</v>
      </c>
      <c r="P11" s="116">
        <f t="shared" si="1"/>
        <v>2000</v>
      </c>
      <c r="Q11" s="116">
        <f t="shared" si="1"/>
        <v>2000</v>
      </c>
      <c r="R11" s="116">
        <f t="shared" si="1"/>
        <v>2000</v>
      </c>
      <c r="S11" s="116">
        <f t="shared" si="1"/>
        <v>2000</v>
      </c>
      <c r="T11" s="116">
        <f t="shared" si="1"/>
        <v>2000</v>
      </c>
      <c r="U11" s="116">
        <f t="shared" si="1"/>
        <v>2000</v>
      </c>
      <c r="V11" s="116">
        <f t="shared" si="1"/>
        <v>2000</v>
      </c>
      <c r="W11" s="116">
        <f t="shared" si="1"/>
        <v>2000</v>
      </c>
    </row>
    <row r="12" spans="1:23" ht="15.75" outlineLevel="1" thickTop="1" x14ac:dyDescent="0.25">
      <c r="C12" s="11"/>
      <c r="F12" s="223"/>
      <c r="K12" s="115"/>
      <c r="L12" s="115"/>
      <c r="M12" s="170"/>
      <c r="N12" s="115"/>
      <c r="O12" s="115"/>
      <c r="P12" s="115"/>
      <c r="Q12" s="115"/>
      <c r="R12" s="115"/>
      <c r="S12" s="115"/>
      <c r="T12" s="115"/>
      <c r="U12" s="115"/>
    </row>
    <row r="13" spans="1:23" ht="30" outlineLevel="1" x14ac:dyDescent="0.25">
      <c r="A13" s="114" t="str">
        <f t="shared" si="0"/>
        <v>Community DevelopmentEconomic DevelopmentPurchase/Remediate 861 Farmington Ave &amp; Rail Spur propertyGrants</v>
      </c>
      <c r="B13" s="11" t="s">
        <v>317</v>
      </c>
      <c r="C13" s="11">
        <v>17</v>
      </c>
      <c r="D13" s="11" t="s">
        <v>443</v>
      </c>
      <c r="F13" s="181" t="s">
        <v>444</v>
      </c>
      <c r="G13" s="11" t="s">
        <v>38</v>
      </c>
      <c r="H13" s="11" t="s">
        <v>540</v>
      </c>
      <c r="K13" s="166"/>
      <c r="L13" s="166">
        <v>537000</v>
      </c>
      <c r="M13" s="170"/>
      <c r="N13" s="166"/>
      <c r="O13" s="166"/>
      <c r="P13" s="115"/>
      <c r="Q13" s="115"/>
      <c r="R13" s="115"/>
      <c r="S13" s="115"/>
      <c r="T13" s="115"/>
      <c r="U13" s="115"/>
    </row>
    <row r="14" spans="1:23" outlineLevel="1" x14ac:dyDescent="0.25">
      <c r="A14" s="114" t="str">
        <f t="shared" si="0"/>
        <v>Community DevelopmentEconomic Development889 Remediation (EPA/CRCOG Grant)Grants</v>
      </c>
      <c r="B14" s="11" t="s">
        <v>317</v>
      </c>
      <c r="C14" s="11">
        <v>17</v>
      </c>
      <c r="D14" s="11" t="s">
        <v>443</v>
      </c>
      <c r="F14" s="221" t="s">
        <v>765</v>
      </c>
      <c r="G14" s="11" t="s">
        <v>38</v>
      </c>
      <c r="H14" s="11" t="s">
        <v>540</v>
      </c>
      <c r="K14" s="166"/>
      <c r="L14" s="166"/>
      <c r="M14" s="170"/>
      <c r="N14" s="166">
        <v>200000</v>
      </c>
      <c r="O14" s="166"/>
      <c r="P14" s="115"/>
      <c r="Q14" s="115"/>
      <c r="R14" s="115"/>
      <c r="S14" s="115"/>
      <c r="T14" s="115"/>
      <c r="U14" s="115"/>
    </row>
    <row r="15" spans="1:23" outlineLevel="1" x14ac:dyDescent="0.25">
      <c r="A15" s="114" t="str">
        <f t="shared" si="0"/>
        <v>Community DevelopmentEconomic Development889 Remediation (EPA/CRCOG Grant)Capital</v>
      </c>
      <c r="B15" s="11" t="s">
        <v>317</v>
      </c>
      <c r="C15" s="11">
        <v>17</v>
      </c>
      <c r="D15" s="11" t="s">
        <v>443</v>
      </c>
      <c r="F15" s="221" t="s">
        <v>765</v>
      </c>
      <c r="G15" s="11" t="s">
        <v>542</v>
      </c>
      <c r="H15" s="11" t="s">
        <v>540</v>
      </c>
      <c r="K15" s="166"/>
      <c r="L15" s="166"/>
      <c r="M15" s="170"/>
      <c r="N15" s="166">
        <v>100000</v>
      </c>
      <c r="O15" s="166"/>
      <c r="P15" s="115"/>
      <c r="Q15" s="115"/>
      <c r="R15" s="115"/>
      <c r="S15" s="115"/>
      <c r="T15" s="115"/>
      <c r="U15" s="115"/>
    </row>
    <row r="16" spans="1:23" ht="30" outlineLevel="1" x14ac:dyDescent="0.25">
      <c r="A16" s="114" t="str">
        <f t="shared" si="0"/>
        <v>Community DevelopmentEconomic Development889 Remediation (Regional &amp; Municipal Brownfields Grants)Grants</v>
      </c>
      <c r="B16" s="11" t="s">
        <v>317</v>
      </c>
      <c r="C16" s="11">
        <v>17</v>
      </c>
      <c r="D16" s="11" t="s">
        <v>443</v>
      </c>
      <c r="F16" s="221" t="s">
        <v>764</v>
      </c>
      <c r="G16" s="11" t="s">
        <v>38</v>
      </c>
      <c r="H16" s="11" t="s">
        <v>540</v>
      </c>
      <c r="K16" s="166"/>
      <c r="L16" s="166"/>
      <c r="M16" s="170"/>
      <c r="N16" s="166">
        <v>985967</v>
      </c>
      <c r="O16" s="166"/>
      <c r="P16" s="115"/>
      <c r="Q16" s="115"/>
      <c r="R16" s="115"/>
      <c r="S16" s="115"/>
      <c r="T16" s="115"/>
      <c r="U16" s="115"/>
    </row>
    <row r="17" spans="1:23" outlineLevel="1" x14ac:dyDescent="0.25">
      <c r="A17" s="114" t="str">
        <f t="shared" si="0"/>
        <v>Community DevelopmentEconomic DevelopmentPistol Creek Trail ImprovementsGrants</v>
      </c>
      <c r="B17" s="11" t="s">
        <v>317</v>
      </c>
      <c r="C17" s="11">
        <v>17</v>
      </c>
      <c r="D17" s="11" t="s">
        <v>443</v>
      </c>
      <c r="F17" s="181" t="s">
        <v>541</v>
      </c>
      <c r="G17" s="11" t="s">
        <v>38</v>
      </c>
      <c r="H17" s="11" t="s">
        <v>540</v>
      </c>
      <c r="K17" s="166"/>
      <c r="L17" s="166">
        <v>125580</v>
      </c>
      <c r="M17" s="170"/>
      <c r="N17" s="166"/>
      <c r="O17" s="166"/>
      <c r="P17" s="115"/>
      <c r="Q17" s="115"/>
      <c r="R17" s="115"/>
      <c r="S17" s="115"/>
      <c r="T17" s="115"/>
      <c r="U17" s="115"/>
    </row>
    <row r="18" spans="1:23" outlineLevel="1" x14ac:dyDescent="0.25">
      <c r="A18" s="114" t="str">
        <f t="shared" si="0"/>
        <v>Community DevelopmentEconomic DevelopmentPistol Creek Trail ImprovementsCapital</v>
      </c>
      <c r="B18" s="11" t="s">
        <v>317</v>
      </c>
      <c r="C18" s="11">
        <v>17</v>
      </c>
      <c r="D18" s="11" t="s">
        <v>443</v>
      </c>
      <c r="F18" s="181" t="s">
        <v>541</v>
      </c>
      <c r="G18" s="11" t="s">
        <v>542</v>
      </c>
      <c r="H18" s="11" t="s">
        <v>540</v>
      </c>
      <c r="K18" s="166"/>
      <c r="L18" s="166">
        <v>31395</v>
      </c>
      <c r="M18" s="170"/>
      <c r="N18" s="166"/>
      <c r="O18" s="166"/>
      <c r="P18" s="115"/>
      <c r="Q18" s="115"/>
      <c r="R18" s="115"/>
      <c r="S18" s="115"/>
      <c r="T18" s="115"/>
      <c r="U18" s="115"/>
    </row>
    <row r="19" spans="1:23" outlineLevel="1" x14ac:dyDescent="0.25">
      <c r="A19" s="114" t="str">
        <f t="shared" si="0"/>
        <v>Community DevelopmentEconomic DevelopmentBoulevard to Train Station (STEAP Grant)Grants</v>
      </c>
      <c r="B19" s="11" t="s">
        <v>317</v>
      </c>
      <c r="C19" s="11">
        <v>17</v>
      </c>
      <c r="D19" s="11" t="s">
        <v>443</v>
      </c>
      <c r="F19" s="221" t="s">
        <v>766</v>
      </c>
      <c r="G19" s="11" t="s">
        <v>38</v>
      </c>
      <c r="H19" s="11" t="s">
        <v>540</v>
      </c>
      <c r="K19" s="166"/>
      <c r="L19" s="166"/>
      <c r="M19" s="170"/>
      <c r="N19" s="166">
        <v>500000</v>
      </c>
      <c r="O19" s="166"/>
      <c r="P19" s="115"/>
      <c r="Q19" s="115"/>
      <c r="R19" s="115"/>
      <c r="S19" s="115"/>
      <c r="T19" s="115"/>
      <c r="U19" s="115"/>
    </row>
    <row r="20" spans="1:23" ht="15.75" outlineLevel="1" thickBot="1" x14ac:dyDescent="0.3">
      <c r="C20" s="11"/>
      <c r="K20" s="165">
        <f>SUM(K13:K19)</f>
        <v>0</v>
      </c>
      <c r="L20" s="165">
        <f>SUM(L13:L19)</f>
        <v>693975</v>
      </c>
      <c r="M20" s="169"/>
      <c r="N20" s="116">
        <f t="shared" ref="N20:W20" si="2">SUM(N13:N19)</f>
        <v>1785967</v>
      </c>
      <c r="O20" s="116">
        <f t="shared" si="2"/>
        <v>0</v>
      </c>
      <c r="P20" s="116">
        <f t="shared" si="2"/>
        <v>0</v>
      </c>
      <c r="Q20" s="116">
        <f t="shared" si="2"/>
        <v>0</v>
      </c>
      <c r="R20" s="116">
        <f t="shared" si="2"/>
        <v>0</v>
      </c>
      <c r="S20" s="116">
        <f t="shared" si="2"/>
        <v>0</v>
      </c>
      <c r="T20" s="116">
        <f t="shared" si="2"/>
        <v>0</v>
      </c>
      <c r="U20" s="116">
        <f t="shared" si="2"/>
        <v>0</v>
      </c>
      <c r="V20" s="116">
        <f t="shared" si="2"/>
        <v>0</v>
      </c>
      <c r="W20" s="116">
        <f t="shared" si="2"/>
        <v>0</v>
      </c>
    </row>
    <row r="21" spans="1:23" ht="15.75" outlineLevel="1" thickTop="1" x14ac:dyDescent="0.25">
      <c r="C21" s="11"/>
      <c r="K21" s="166"/>
      <c r="L21" s="166"/>
      <c r="M21" s="170"/>
      <c r="N21" s="166"/>
      <c r="O21" s="166"/>
      <c r="P21" s="115"/>
      <c r="Q21" s="115"/>
      <c r="R21" s="115"/>
      <c r="S21" s="115"/>
      <c r="T21" s="115"/>
      <c r="U21" s="115"/>
    </row>
    <row r="22" spans="1:23" ht="30" outlineLevel="1" x14ac:dyDescent="0.25">
      <c r="A22" s="114" t="str">
        <f t="shared" ref="A22:A40" si="3">B22&amp;D22&amp;F22&amp;G22</f>
        <v>Public SafetyFire DepartmentOff Road UTV - purchase in FY18 with remaining fire vehicle bond proceedsBond - E</v>
      </c>
      <c r="B22" s="11" t="s">
        <v>316</v>
      </c>
      <c r="C22" s="11">
        <v>31</v>
      </c>
      <c r="D22" s="11" t="s">
        <v>248</v>
      </c>
      <c r="F22" s="181" t="s">
        <v>552</v>
      </c>
      <c r="G22" s="11" t="s">
        <v>243</v>
      </c>
      <c r="H22" s="11" t="s">
        <v>540</v>
      </c>
      <c r="K22" s="166"/>
      <c r="L22" s="166">
        <v>32000</v>
      </c>
      <c r="M22" s="170"/>
      <c r="N22" s="115"/>
      <c r="O22" s="115"/>
      <c r="P22" s="115"/>
      <c r="Q22" s="115"/>
      <c r="R22" s="115"/>
      <c r="S22" s="115"/>
      <c r="T22" s="115"/>
      <c r="U22" s="115"/>
    </row>
    <row r="23" spans="1:23" ht="30" outlineLevel="1" x14ac:dyDescent="0.25">
      <c r="A23" s="114" t="str">
        <f t="shared" si="3"/>
        <v>Public SafetyFire DepartmentInterstate Stabilization System - purchase in FY18 with remaining fire vehicle bond proceedsBond - E</v>
      </c>
      <c r="B23" s="11" t="s">
        <v>316</v>
      </c>
      <c r="C23" s="11">
        <v>31</v>
      </c>
      <c r="D23" s="11" t="s">
        <v>248</v>
      </c>
      <c r="F23" s="181" t="s">
        <v>553</v>
      </c>
      <c r="G23" s="11" t="s">
        <v>243</v>
      </c>
      <c r="H23" s="11" t="s">
        <v>540</v>
      </c>
      <c r="K23" s="166"/>
      <c r="L23" s="166">
        <v>29000</v>
      </c>
      <c r="M23" s="170"/>
      <c r="N23" s="166"/>
      <c r="O23" s="166"/>
      <c r="P23" s="166"/>
      <c r="Q23" s="166"/>
      <c r="R23" s="166"/>
      <c r="S23" s="166"/>
      <c r="T23" s="166"/>
      <c r="U23" s="166"/>
      <c r="V23" s="124"/>
      <c r="W23" s="124"/>
    </row>
    <row r="24" spans="1:23" ht="30" outlineLevel="1" x14ac:dyDescent="0.25">
      <c r="A24" s="114" t="str">
        <f t="shared" si="3"/>
        <v>Public SafetyFire DepartmentBoat &amp; Motor - purchase in FY18 with remaining fire vehicle bond proceedsBond - E</v>
      </c>
      <c r="B24" s="11" t="s">
        <v>316</v>
      </c>
      <c r="C24" s="11">
        <v>31</v>
      </c>
      <c r="D24" s="11" t="s">
        <v>248</v>
      </c>
      <c r="F24" s="181" t="s">
        <v>613</v>
      </c>
      <c r="G24" s="11" t="s">
        <v>243</v>
      </c>
      <c r="H24" s="11" t="s">
        <v>540</v>
      </c>
      <c r="K24" s="166"/>
      <c r="L24" s="166">
        <v>15000</v>
      </c>
      <c r="M24" s="170"/>
      <c r="N24" s="166"/>
      <c r="O24" s="166"/>
      <c r="P24" s="166"/>
      <c r="Q24" s="166"/>
      <c r="R24" s="166"/>
      <c r="S24" s="166"/>
      <c r="T24" s="166"/>
      <c r="U24" s="166"/>
      <c r="V24" s="124"/>
      <c r="W24" s="124"/>
    </row>
    <row r="25" spans="1:23" outlineLevel="1" x14ac:dyDescent="0.25">
      <c r="A25" s="114" t="str">
        <f t="shared" ref="A25" si="4">B25&amp;D25&amp;F25&amp;G25</f>
        <v>Public SafetyFire DepartmentSquad UnitsBond</v>
      </c>
      <c r="B25" s="11" t="s">
        <v>316</v>
      </c>
      <c r="C25" s="11">
        <v>31</v>
      </c>
      <c r="D25" s="11" t="s">
        <v>248</v>
      </c>
      <c r="F25" s="181" t="s">
        <v>615</v>
      </c>
      <c r="G25" s="11" t="s">
        <v>19</v>
      </c>
      <c r="H25" s="11" t="s">
        <v>540</v>
      </c>
      <c r="I25" s="123" t="s">
        <v>547</v>
      </c>
      <c r="K25" s="166"/>
      <c r="L25" s="166"/>
      <c r="M25" s="170"/>
      <c r="N25" s="166"/>
      <c r="O25" s="115">
        <v>700000</v>
      </c>
      <c r="P25" s="166"/>
      <c r="Q25" s="166">
        <v>800000</v>
      </c>
      <c r="R25" s="166"/>
      <c r="S25" s="166"/>
      <c r="T25" s="166"/>
      <c r="U25" s="166"/>
      <c r="V25" s="124"/>
      <c r="W25" s="124"/>
    </row>
    <row r="26" spans="1:23" outlineLevel="1" x14ac:dyDescent="0.25">
      <c r="A26" s="114" t="str">
        <f t="shared" si="3"/>
        <v>Public SafetyFire DepartmentEngine/TankerBond</v>
      </c>
      <c r="B26" s="11" t="s">
        <v>316</v>
      </c>
      <c r="C26" s="11">
        <v>31</v>
      </c>
      <c r="D26" s="11" t="s">
        <v>248</v>
      </c>
      <c r="F26" s="181" t="s">
        <v>616</v>
      </c>
      <c r="G26" s="11" t="s">
        <v>19</v>
      </c>
      <c r="H26" s="11" t="s">
        <v>540</v>
      </c>
      <c r="I26" s="123" t="s">
        <v>617</v>
      </c>
      <c r="K26" s="166"/>
      <c r="L26" s="166"/>
      <c r="M26" s="170"/>
      <c r="N26" s="115"/>
      <c r="O26" s="166">
        <v>800000</v>
      </c>
      <c r="P26" s="115"/>
      <c r="Q26" s="115"/>
      <c r="R26" s="115"/>
      <c r="S26" s="115"/>
      <c r="T26" s="115"/>
      <c r="U26" s="115"/>
      <c r="V26" s="115"/>
      <c r="W26" s="115"/>
    </row>
    <row r="27" spans="1:23" outlineLevel="1" x14ac:dyDescent="0.25">
      <c r="A27" s="114" t="str">
        <f t="shared" ref="A27" si="5">B27&amp;D27&amp;F27&amp;G27</f>
        <v>Public SafetyFire DepartmentPumpersBond</v>
      </c>
      <c r="B27" s="11" t="s">
        <v>316</v>
      </c>
      <c r="C27" s="11">
        <v>31</v>
      </c>
      <c r="D27" s="11" t="s">
        <v>248</v>
      </c>
      <c r="F27" s="181" t="s">
        <v>618</v>
      </c>
      <c r="G27" s="11" t="s">
        <v>19</v>
      </c>
      <c r="H27" s="11" t="s">
        <v>540</v>
      </c>
      <c r="I27" s="123" t="s">
        <v>547</v>
      </c>
      <c r="K27" s="166"/>
      <c r="L27" s="166"/>
      <c r="M27" s="170"/>
      <c r="N27" s="115"/>
      <c r="O27" s="166"/>
      <c r="P27" s="201">
        <f>800000*0</f>
        <v>0</v>
      </c>
      <c r="Q27" s="201">
        <f>800000</f>
        <v>800000</v>
      </c>
      <c r="R27" s="115"/>
      <c r="S27" s="115"/>
      <c r="T27" s="115"/>
      <c r="U27" s="115"/>
      <c r="V27" s="115">
        <v>800000</v>
      </c>
      <c r="W27" s="115">
        <v>800000</v>
      </c>
    </row>
    <row r="28" spans="1:23" outlineLevel="1" x14ac:dyDescent="0.25">
      <c r="A28" s="114" t="str">
        <f t="shared" si="3"/>
        <v>Public SafetyFire DepartmentSpecialty UnitsBond</v>
      </c>
      <c r="B28" s="11" t="s">
        <v>316</v>
      </c>
      <c r="C28" s="11">
        <v>31</v>
      </c>
      <c r="D28" s="11" t="s">
        <v>248</v>
      </c>
      <c r="F28" s="181" t="s">
        <v>475</v>
      </c>
      <c r="G28" s="11" t="s">
        <v>19</v>
      </c>
      <c r="H28" s="11" t="s">
        <v>540</v>
      </c>
      <c r="I28" s="123" t="s">
        <v>547</v>
      </c>
      <c r="K28" s="166"/>
      <c r="L28" s="166"/>
      <c r="M28" s="170"/>
      <c r="N28" s="166"/>
      <c r="O28" s="166"/>
      <c r="P28" s="115"/>
      <c r="Q28" s="115"/>
      <c r="R28" s="115"/>
      <c r="S28" s="115"/>
      <c r="T28" s="115"/>
      <c r="U28" s="115"/>
      <c r="V28" s="115"/>
      <c r="W28" s="115"/>
    </row>
    <row r="29" spans="1:23" outlineLevel="1" x14ac:dyDescent="0.25">
      <c r="A29" s="114" t="str">
        <f t="shared" ref="A29" si="6">B29&amp;D29&amp;F29&amp;G29</f>
        <v>Public SafetyFire DepartmentRescue TrucksBond</v>
      </c>
      <c r="B29" s="11" t="s">
        <v>316</v>
      </c>
      <c r="C29" s="11">
        <v>31</v>
      </c>
      <c r="D29" s="11" t="s">
        <v>248</v>
      </c>
      <c r="F29" s="181" t="s">
        <v>619</v>
      </c>
      <c r="G29" s="11" t="s">
        <v>19</v>
      </c>
      <c r="H29" s="11" t="s">
        <v>540</v>
      </c>
      <c r="I29" s="123" t="s">
        <v>547</v>
      </c>
      <c r="K29" s="166"/>
      <c r="L29" s="166"/>
      <c r="M29" s="170"/>
      <c r="N29" s="166"/>
      <c r="O29" s="166"/>
      <c r="P29" s="115"/>
      <c r="Q29" s="115"/>
      <c r="R29" s="115"/>
      <c r="S29" s="115"/>
      <c r="T29" s="115"/>
      <c r="U29" s="115"/>
      <c r="V29" s="115">
        <v>1000000</v>
      </c>
      <c r="W29" s="115"/>
    </row>
    <row r="30" spans="1:23" outlineLevel="1" x14ac:dyDescent="0.25">
      <c r="A30" s="114" t="str">
        <f t="shared" si="3"/>
        <v>Public SafetyFire DepartmentRescue ToolsGF</v>
      </c>
      <c r="B30" s="11" t="s">
        <v>316</v>
      </c>
      <c r="C30" s="11">
        <v>31</v>
      </c>
      <c r="D30" s="11" t="s">
        <v>248</v>
      </c>
      <c r="F30" s="181" t="s">
        <v>154</v>
      </c>
      <c r="G30" s="11" t="s">
        <v>16</v>
      </c>
      <c r="H30" s="11" t="s">
        <v>540</v>
      </c>
      <c r="K30" s="166"/>
      <c r="L30" s="166"/>
      <c r="M30" s="170"/>
      <c r="N30" s="115"/>
      <c r="O30" s="115">
        <v>50000</v>
      </c>
      <c r="P30" s="115"/>
      <c r="Q30" s="115"/>
      <c r="R30" s="115"/>
      <c r="S30" s="115"/>
      <c r="T30" s="115"/>
      <c r="U30" s="115"/>
    </row>
    <row r="31" spans="1:23" outlineLevel="1" x14ac:dyDescent="0.25">
      <c r="A31" s="114" t="str">
        <f t="shared" si="3"/>
        <v>Public SafetyFire DepartmentPump simulatorGF</v>
      </c>
      <c r="B31" s="11" t="s">
        <v>316</v>
      </c>
      <c r="C31" s="11">
        <v>31</v>
      </c>
      <c r="D31" s="11" t="s">
        <v>248</v>
      </c>
      <c r="F31" s="181" t="s">
        <v>151</v>
      </c>
      <c r="G31" s="11" t="s">
        <v>16</v>
      </c>
      <c r="H31" s="11" t="s">
        <v>540</v>
      </c>
      <c r="K31" s="166"/>
      <c r="L31" s="166"/>
      <c r="M31" s="170"/>
      <c r="N31" s="201">
        <f>85000*0</f>
        <v>0</v>
      </c>
      <c r="O31" s="115"/>
      <c r="P31" s="115"/>
      <c r="Q31" s="115"/>
      <c r="R31" s="201">
        <f>85000</f>
        <v>85000</v>
      </c>
      <c r="S31" s="115"/>
      <c r="T31" s="115"/>
      <c r="U31" s="115"/>
    </row>
    <row r="32" spans="1:23" outlineLevel="1" x14ac:dyDescent="0.25">
      <c r="A32" s="114" t="str">
        <f t="shared" si="3"/>
        <v>Public SafetyFire DepartmentFire - Complete Radio System (incl. Microwave Systems)Bond</v>
      </c>
      <c r="B32" s="11" t="s">
        <v>316</v>
      </c>
      <c r="C32" s="11">
        <v>31</v>
      </c>
      <c r="D32" s="11" t="s">
        <v>248</v>
      </c>
      <c r="F32" s="181" t="s">
        <v>312</v>
      </c>
      <c r="G32" s="11" t="s">
        <v>19</v>
      </c>
      <c r="H32" s="11" t="s">
        <v>540</v>
      </c>
      <c r="K32" s="166"/>
      <c r="L32" s="166"/>
      <c r="M32" s="170"/>
      <c r="N32" s="166">
        <v>1200000</v>
      </c>
      <c r="O32" s="166"/>
      <c r="P32" s="115"/>
      <c r="Q32" s="115"/>
      <c r="R32" s="115"/>
      <c r="S32" s="115"/>
      <c r="T32" s="115"/>
      <c r="U32" s="115"/>
      <c r="V32" s="115"/>
      <c r="W32" s="115"/>
    </row>
    <row r="33" spans="1:23" outlineLevel="1" x14ac:dyDescent="0.25">
      <c r="A33" s="114" t="str">
        <f t="shared" si="3"/>
        <v>Public SafetyFire DepartmentTraining TowerGF</v>
      </c>
      <c r="B33" s="11" t="s">
        <v>316</v>
      </c>
      <c r="C33" s="11">
        <v>31</v>
      </c>
      <c r="D33" s="11" t="s">
        <v>248</v>
      </c>
      <c r="F33" s="181" t="s">
        <v>152</v>
      </c>
      <c r="G33" s="11" t="s">
        <v>16</v>
      </c>
      <c r="H33" s="11" t="s">
        <v>540</v>
      </c>
      <c r="K33" s="166"/>
      <c r="L33" s="166"/>
      <c r="M33" s="170"/>
      <c r="N33" s="166"/>
      <c r="O33" s="201">
        <f>300000*0</f>
        <v>0</v>
      </c>
      <c r="P33" s="115"/>
      <c r="Q33" s="115"/>
      <c r="R33" s="201">
        <v>300000</v>
      </c>
      <c r="S33" s="115"/>
      <c r="T33" s="115"/>
      <c r="U33" s="115"/>
    </row>
    <row r="34" spans="1:23" outlineLevel="1" x14ac:dyDescent="0.25">
      <c r="A34" s="114" t="str">
        <f t="shared" si="3"/>
        <v>Public SafetyFire DepartmentStand By GeneratorsGF</v>
      </c>
      <c r="B34" s="11" t="s">
        <v>316</v>
      </c>
      <c r="C34" s="11">
        <v>31</v>
      </c>
      <c r="D34" s="11" t="s">
        <v>248</v>
      </c>
      <c r="F34" s="181" t="s">
        <v>477</v>
      </c>
      <c r="G34" s="11" t="s">
        <v>16</v>
      </c>
      <c r="H34" s="11" t="s">
        <v>540</v>
      </c>
      <c r="K34" s="166"/>
      <c r="L34" s="166"/>
      <c r="M34" s="170"/>
      <c r="N34" s="115"/>
      <c r="O34" s="115"/>
      <c r="P34" s="115"/>
      <c r="Q34" s="115"/>
      <c r="R34" s="115"/>
      <c r="S34" s="115"/>
      <c r="T34" s="115"/>
      <c r="U34" s="115"/>
      <c r="V34" s="115">
        <v>75000</v>
      </c>
      <c r="W34" s="115">
        <v>75000</v>
      </c>
    </row>
    <row r="35" spans="1:23" outlineLevel="1" x14ac:dyDescent="0.25">
      <c r="A35" s="114" t="str">
        <f t="shared" si="3"/>
        <v>Public SafetyFire DepartmentCamerasLoCIP</v>
      </c>
      <c r="B35" s="11" t="s">
        <v>316</v>
      </c>
      <c r="C35" s="11">
        <v>31</v>
      </c>
      <c r="D35" s="11" t="s">
        <v>248</v>
      </c>
      <c r="F35" s="181" t="s">
        <v>313</v>
      </c>
      <c r="G35" s="11" t="s">
        <v>37</v>
      </c>
      <c r="H35" s="11" t="s">
        <v>540</v>
      </c>
      <c r="K35" s="166"/>
      <c r="L35" s="166"/>
      <c r="M35" s="170"/>
      <c r="N35" s="166"/>
      <c r="O35" s="166"/>
      <c r="P35" s="115">
        <v>75000</v>
      </c>
      <c r="Q35" s="115">
        <v>75000</v>
      </c>
      <c r="R35" s="115"/>
      <c r="S35" s="115"/>
      <c r="T35" s="115"/>
      <c r="U35" s="115"/>
    </row>
    <row r="36" spans="1:23" outlineLevel="1" x14ac:dyDescent="0.25">
      <c r="A36" s="114" t="str">
        <f t="shared" si="3"/>
        <v>Public SafetyFire DepartmentMetersGF</v>
      </c>
      <c r="B36" s="11" t="s">
        <v>316</v>
      </c>
      <c r="C36" s="11">
        <v>31</v>
      </c>
      <c r="D36" s="11" t="s">
        <v>248</v>
      </c>
      <c r="F36" s="181" t="s">
        <v>314</v>
      </c>
      <c r="G36" s="11" t="s">
        <v>16</v>
      </c>
      <c r="H36" s="11" t="s">
        <v>540</v>
      </c>
      <c r="K36" s="166"/>
      <c r="L36" s="166"/>
      <c r="M36" s="170"/>
      <c r="N36" s="115"/>
      <c r="O36" s="115"/>
      <c r="P36" s="115">
        <v>20000</v>
      </c>
      <c r="Q36" s="115"/>
      <c r="R36" s="115"/>
      <c r="S36" s="115"/>
      <c r="T36" s="115"/>
      <c r="U36" s="115"/>
    </row>
    <row r="37" spans="1:23" outlineLevel="1" x14ac:dyDescent="0.25">
      <c r="A37" s="114" t="str">
        <f t="shared" si="3"/>
        <v>Public SafetyFire DepartmentOff Road UTVGF</v>
      </c>
      <c r="B37" s="11" t="s">
        <v>316</v>
      </c>
      <c r="C37" s="11">
        <v>31</v>
      </c>
      <c r="D37" s="11" t="s">
        <v>248</v>
      </c>
      <c r="F37" s="181" t="s">
        <v>153</v>
      </c>
      <c r="G37" s="11" t="s">
        <v>16</v>
      </c>
      <c r="H37" s="11" t="s">
        <v>540</v>
      </c>
      <c r="K37" s="166"/>
      <c r="L37" s="166"/>
      <c r="M37" s="170"/>
      <c r="N37" s="115"/>
      <c r="O37" s="201">
        <f>18000*0</f>
        <v>0</v>
      </c>
      <c r="P37" s="201">
        <f t="shared" ref="P37:Q37" si="7">18000*0</f>
        <v>0</v>
      </c>
      <c r="Q37" s="201">
        <f t="shared" si="7"/>
        <v>0</v>
      </c>
      <c r="R37" s="201">
        <v>18000</v>
      </c>
      <c r="S37" s="201">
        <v>18000</v>
      </c>
      <c r="T37" s="201">
        <v>18000</v>
      </c>
      <c r="U37" s="115"/>
    </row>
    <row r="38" spans="1:23" outlineLevel="1" x14ac:dyDescent="0.25">
      <c r="A38" s="114" t="str">
        <f t="shared" si="3"/>
        <v>Public SafetyFire DepartmentUtility VehiclesGF</v>
      </c>
      <c r="B38" s="11" t="s">
        <v>316</v>
      </c>
      <c r="C38" s="11">
        <v>31</v>
      </c>
      <c r="D38" s="11" t="s">
        <v>248</v>
      </c>
      <c r="F38" s="181" t="s">
        <v>476</v>
      </c>
      <c r="G38" s="11" t="s">
        <v>16</v>
      </c>
      <c r="H38" s="11" t="s">
        <v>540</v>
      </c>
      <c r="I38" s="123" t="s">
        <v>546</v>
      </c>
      <c r="K38" s="166"/>
      <c r="L38" s="166"/>
      <c r="M38" s="170"/>
      <c r="N38" s="115"/>
      <c r="O38" s="115"/>
      <c r="P38" s="115"/>
      <c r="Q38" s="115"/>
      <c r="R38" s="115"/>
      <c r="S38" s="115"/>
      <c r="T38" s="115">
        <v>80000</v>
      </c>
      <c r="U38" s="115">
        <v>80000</v>
      </c>
      <c r="V38" s="115">
        <v>80000</v>
      </c>
      <c r="W38" s="115"/>
    </row>
    <row r="39" spans="1:23" outlineLevel="1" x14ac:dyDescent="0.25">
      <c r="A39" s="114" t="str">
        <f t="shared" si="3"/>
        <v>Public SafetyFire DepartmentBrush EnginesGF</v>
      </c>
      <c r="B39" s="11" t="s">
        <v>316</v>
      </c>
      <c r="C39" s="11">
        <v>31</v>
      </c>
      <c r="D39" s="11" t="s">
        <v>248</v>
      </c>
      <c r="F39" s="181" t="s">
        <v>474</v>
      </c>
      <c r="G39" s="11" t="s">
        <v>16</v>
      </c>
      <c r="H39" s="11" t="s">
        <v>540</v>
      </c>
      <c r="I39" s="123" t="s">
        <v>547</v>
      </c>
      <c r="K39" s="166"/>
      <c r="L39" s="166"/>
      <c r="M39" s="170"/>
      <c r="N39" s="115"/>
      <c r="O39" s="115"/>
      <c r="P39" s="115"/>
      <c r="Q39" s="115"/>
      <c r="R39" s="115"/>
      <c r="S39" s="115"/>
      <c r="T39" s="115"/>
      <c r="U39" s="115"/>
      <c r="V39" s="115"/>
      <c r="W39" s="115"/>
    </row>
    <row r="40" spans="1:23" outlineLevel="1" x14ac:dyDescent="0.25">
      <c r="A40" s="114" t="str">
        <f t="shared" si="3"/>
        <v>Public SafetyFire DepartmentFire - SCBA EquipmentBond</v>
      </c>
      <c r="B40" s="11" t="s">
        <v>316</v>
      </c>
      <c r="C40" s="11">
        <v>31</v>
      </c>
      <c r="D40" s="11" t="s">
        <v>248</v>
      </c>
      <c r="F40" s="181" t="s">
        <v>102</v>
      </c>
      <c r="G40" s="11" t="s">
        <v>19</v>
      </c>
      <c r="H40" s="11" t="s">
        <v>540</v>
      </c>
      <c r="K40" s="166">
        <v>500000</v>
      </c>
      <c r="L40" s="166"/>
      <c r="M40" s="170"/>
      <c r="N40" s="115"/>
      <c r="O40" s="115"/>
      <c r="P40" s="115"/>
      <c r="Q40" s="115"/>
      <c r="R40" s="115"/>
      <c r="S40" s="115"/>
      <c r="T40" s="115"/>
      <c r="U40" s="115"/>
      <c r="V40" s="115"/>
      <c r="W40" s="115"/>
    </row>
    <row r="41" spans="1:23" ht="15.75" outlineLevel="1" thickBot="1" x14ac:dyDescent="0.3">
      <c r="C41" s="11"/>
      <c r="K41" s="165">
        <f t="shared" ref="K41:W41" si="8">SUM(K22:K40)</f>
        <v>500000</v>
      </c>
      <c r="L41" s="165">
        <f t="shared" si="8"/>
        <v>76000</v>
      </c>
      <c r="M41" s="169"/>
      <c r="N41" s="116">
        <f t="shared" si="8"/>
        <v>1200000</v>
      </c>
      <c r="O41" s="116">
        <f t="shared" si="8"/>
        <v>1550000</v>
      </c>
      <c r="P41" s="116">
        <f t="shared" si="8"/>
        <v>95000</v>
      </c>
      <c r="Q41" s="116">
        <f t="shared" si="8"/>
        <v>1675000</v>
      </c>
      <c r="R41" s="116">
        <f t="shared" si="8"/>
        <v>403000</v>
      </c>
      <c r="S41" s="116">
        <f t="shared" si="8"/>
        <v>18000</v>
      </c>
      <c r="T41" s="116">
        <f t="shared" si="8"/>
        <v>98000</v>
      </c>
      <c r="U41" s="116">
        <f t="shared" si="8"/>
        <v>80000</v>
      </c>
      <c r="V41" s="116">
        <f t="shared" si="8"/>
        <v>1955000</v>
      </c>
      <c r="W41" s="116">
        <f t="shared" si="8"/>
        <v>875000</v>
      </c>
    </row>
    <row r="42" spans="1:23" ht="15.75" outlineLevel="1" thickTop="1" x14ac:dyDescent="0.25">
      <c r="C42" s="11"/>
      <c r="K42" s="166"/>
      <c r="L42" s="202"/>
      <c r="M42" s="203"/>
      <c r="N42" s="115"/>
      <c r="O42" s="115"/>
      <c r="P42" s="115"/>
      <c r="Q42" s="115"/>
      <c r="R42" s="115"/>
      <c r="S42" s="115"/>
      <c r="T42" s="115"/>
      <c r="U42" s="115"/>
      <c r="V42" s="115"/>
      <c r="W42" s="115"/>
    </row>
    <row r="43" spans="1:23" ht="30" outlineLevel="1" x14ac:dyDescent="0.25">
      <c r="A43" s="114" t="str">
        <f t="shared" ref="A43:A60" si="9">B43&amp;D43&amp;F43&amp;G43</f>
        <v>Public SafetyPolice DepartmentVehicle - Patrol Units ($30k/car + $6.5k/car equipment) - assumes 4 cars/yearGF</v>
      </c>
      <c r="B43" s="11" t="s">
        <v>316</v>
      </c>
      <c r="C43" s="11">
        <v>32</v>
      </c>
      <c r="D43" s="11" t="s">
        <v>249</v>
      </c>
      <c r="F43" s="181" t="s">
        <v>627</v>
      </c>
      <c r="G43" s="11" t="s">
        <v>16</v>
      </c>
      <c r="H43" s="11" t="s">
        <v>531</v>
      </c>
      <c r="I43" s="11" t="s">
        <v>633</v>
      </c>
      <c r="K43" s="166"/>
      <c r="L43" s="166">
        <f>58000+30000</f>
        <v>88000</v>
      </c>
      <c r="M43" s="170"/>
      <c r="N43" s="166">
        <f>36500*4*0.5</f>
        <v>73000</v>
      </c>
      <c r="O43" s="115">
        <f>N43</f>
        <v>73000</v>
      </c>
      <c r="P43" s="115">
        <f t="shared" ref="P43:W43" si="10">O43</f>
        <v>73000</v>
      </c>
      <c r="Q43" s="115">
        <f t="shared" si="10"/>
        <v>73000</v>
      </c>
      <c r="R43" s="115">
        <f t="shared" si="10"/>
        <v>73000</v>
      </c>
      <c r="S43" s="115">
        <f t="shared" si="10"/>
        <v>73000</v>
      </c>
      <c r="T43" s="115">
        <f t="shared" si="10"/>
        <v>73000</v>
      </c>
      <c r="U43" s="115">
        <f t="shared" si="10"/>
        <v>73000</v>
      </c>
      <c r="V43" s="115">
        <f t="shared" si="10"/>
        <v>73000</v>
      </c>
      <c r="W43" s="115">
        <f t="shared" si="10"/>
        <v>73000</v>
      </c>
    </row>
    <row r="44" spans="1:23" ht="30" outlineLevel="1" x14ac:dyDescent="0.25">
      <c r="A44" s="114" t="str">
        <f t="shared" si="9"/>
        <v>Public SafetyPolice DepartmentVehicle - Supervisor SUV ($32k/car + $6.5k/car equipment)GF</v>
      </c>
      <c r="B44" s="11" t="s">
        <v>316</v>
      </c>
      <c r="C44" s="11">
        <v>32</v>
      </c>
      <c r="D44" s="11" t="s">
        <v>249</v>
      </c>
      <c r="F44" s="181" t="s">
        <v>736</v>
      </c>
      <c r="G44" s="11" t="s">
        <v>16</v>
      </c>
      <c r="H44" s="11" t="s">
        <v>531</v>
      </c>
      <c r="I44" s="123" t="s">
        <v>546</v>
      </c>
      <c r="K44" s="166"/>
      <c r="L44" s="166"/>
      <c r="M44" s="170"/>
      <c r="N44" s="201">
        <f>(32000+6500)*0</f>
        <v>0</v>
      </c>
      <c r="O44" s="201">
        <f>(32000+6500)</f>
        <v>38500</v>
      </c>
      <c r="P44" s="166">
        <f>32000+6500</f>
        <v>38500</v>
      </c>
      <c r="Q44" s="166">
        <f>32000+6500</f>
        <v>38500</v>
      </c>
      <c r="R44" s="115"/>
      <c r="S44" s="115"/>
      <c r="T44" s="166">
        <f>32000+6500</f>
        <v>38500</v>
      </c>
      <c r="U44" s="166">
        <f>32000+6500</f>
        <v>38500</v>
      </c>
      <c r="V44" s="115"/>
      <c r="W44" s="115"/>
    </row>
    <row r="45" spans="1:23" outlineLevel="1" x14ac:dyDescent="0.25">
      <c r="A45" s="114" t="str">
        <f t="shared" ref="A45" si="11">B45&amp;D45&amp;F45&amp;G45</f>
        <v>Public SafetyPolice DepartmentVehicle - K-9 UnitsGF</v>
      </c>
      <c r="B45" s="11" t="s">
        <v>316</v>
      </c>
      <c r="C45" s="11">
        <v>32</v>
      </c>
      <c r="D45" s="11" t="s">
        <v>249</v>
      </c>
      <c r="F45" s="181" t="s">
        <v>628</v>
      </c>
      <c r="G45" s="11" t="s">
        <v>16</v>
      </c>
      <c r="H45" s="11" t="s">
        <v>531</v>
      </c>
      <c r="I45" s="11" t="s">
        <v>632</v>
      </c>
      <c r="K45" s="166"/>
      <c r="L45" s="166"/>
      <c r="M45" s="170"/>
      <c r="N45" s="166"/>
      <c r="O45" s="166"/>
      <c r="P45" s="115"/>
      <c r="Q45" s="115"/>
      <c r="R45" s="115"/>
      <c r="S45" s="115"/>
      <c r="T45" s="166"/>
      <c r="U45" s="166"/>
      <c r="V45" s="115"/>
      <c r="W45" s="115">
        <v>80000</v>
      </c>
    </row>
    <row r="46" spans="1:23" outlineLevel="1" x14ac:dyDescent="0.25">
      <c r="A46" s="114" t="str">
        <f t="shared" si="9"/>
        <v>Public SafetyPolice DepartmentVehicle - Unmarked/AdminGF</v>
      </c>
      <c r="B46" s="11" t="s">
        <v>316</v>
      </c>
      <c r="C46" s="11">
        <v>32</v>
      </c>
      <c r="D46" s="11" t="s">
        <v>249</v>
      </c>
      <c r="F46" s="181" t="s">
        <v>523</v>
      </c>
      <c r="G46" s="11" t="s">
        <v>16</v>
      </c>
      <c r="H46" s="11" t="s">
        <v>531</v>
      </c>
      <c r="K46" s="166"/>
      <c r="L46" s="166"/>
      <c r="M46" s="170"/>
      <c r="N46" s="201">
        <f>30000*0</f>
        <v>0</v>
      </c>
      <c r="O46" s="115">
        <v>30000</v>
      </c>
      <c r="P46" s="115">
        <v>30000</v>
      </c>
      <c r="Q46" s="115">
        <v>30000</v>
      </c>
      <c r="R46" s="115">
        <v>30000</v>
      </c>
      <c r="S46" s="115">
        <v>30000</v>
      </c>
      <c r="T46" s="115">
        <v>30000</v>
      </c>
      <c r="U46" s="115">
        <v>30000</v>
      </c>
      <c r="V46" s="115">
        <v>30000</v>
      </c>
      <c r="W46" s="115">
        <v>30000</v>
      </c>
    </row>
    <row r="47" spans="1:23" outlineLevel="1" x14ac:dyDescent="0.25">
      <c r="A47" s="114" t="str">
        <f t="shared" si="9"/>
        <v>Public SafetyPolice DepartmentVehicle - DARE Pickup TruckGF</v>
      </c>
      <c r="B47" s="11" t="s">
        <v>316</v>
      </c>
      <c r="C47" s="11">
        <v>32</v>
      </c>
      <c r="D47" s="11" t="s">
        <v>249</v>
      </c>
      <c r="F47" s="181" t="s">
        <v>630</v>
      </c>
      <c r="G47" s="11" t="s">
        <v>16</v>
      </c>
      <c r="H47" s="11" t="s">
        <v>531</v>
      </c>
      <c r="I47" s="123" t="s">
        <v>546</v>
      </c>
      <c r="K47" s="166"/>
      <c r="L47" s="166"/>
      <c r="M47" s="170"/>
      <c r="N47" s="115"/>
      <c r="O47" s="115"/>
      <c r="P47" s="115">
        <v>32500</v>
      </c>
      <c r="Q47" s="115"/>
      <c r="R47" s="115"/>
      <c r="S47" s="115"/>
      <c r="T47" s="115"/>
      <c r="U47" s="115"/>
      <c r="V47" s="115"/>
      <c r="W47" s="115"/>
    </row>
    <row r="48" spans="1:23" outlineLevel="1" x14ac:dyDescent="0.25">
      <c r="A48" s="114" t="str">
        <f t="shared" ref="A48" si="12">B48&amp;D48&amp;F48&amp;G48</f>
        <v>Public SafetyPolice DepartmentVehicle - ATVGF</v>
      </c>
      <c r="B48" s="11" t="s">
        <v>316</v>
      </c>
      <c r="C48" s="11">
        <v>32</v>
      </c>
      <c r="D48" s="11" t="s">
        <v>249</v>
      </c>
      <c r="F48" s="181" t="s">
        <v>631</v>
      </c>
      <c r="G48" s="11" t="s">
        <v>16</v>
      </c>
      <c r="H48" s="11" t="s">
        <v>531</v>
      </c>
      <c r="I48" s="123" t="s">
        <v>546</v>
      </c>
      <c r="K48" s="166"/>
      <c r="L48" s="166"/>
      <c r="M48" s="170"/>
      <c r="N48" s="115"/>
      <c r="O48" s="115"/>
      <c r="P48" s="115"/>
      <c r="Q48" s="115"/>
      <c r="R48" s="115">
        <v>30000</v>
      </c>
      <c r="S48" s="115"/>
      <c r="T48" s="115"/>
      <c r="U48" s="115"/>
      <c r="V48" s="115"/>
      <c r="W48" s="115"/>
    </row>
    <row r="49" spans="1:23" outlineLevel="1" x14ac:dyDescent="0.25">
      <c r="A49" s="114" t="str">
        <f t="shared" ref="A49" si="13">B49&amp;D49&amp;F49&amp;G49</f>
        <v>Public SafetyPolice DepartmentVehicle - MotorcycleGF</v>
      </c>
      <c r="B49" s="11" t="s">
        <v>316</v>
      </c>
      <c r="C49" s="11">
        <v>32</v>
      </c>
      <c r="D49" s="11" t="s">
        <v>249</v>
      </c>
      <c r="F49" s="181" t="s">
        <v>629</v>
      </c>
      <c r="G49" s="11" t="s">
        <v>16</v>
      </c>
      <c r="H49" s="11" t="s">
        <v>531</v>
      </c>
      <c r="I49" s="123" t="s">
        <v>546</v>
      </c>
      <c r="K49" s="166"/>
      <c r="L49" s="166"/>
      <c r="M49" s="170"/>
      <c r="N49" s="115"/>
      <c r="O49" s="115"/>
      <c r="P49" s="115"/>
      <c r="Q49" s="115"/>
      <c r="R49" s="115"/>
      <c r="S49" s="115"/>
      <c r="T49" s="115">
        <v>25000</v>
      </c>
      <c r="U49" s="115"/>
      <c r="V49" s="115"/>
      <c r="W49" s="115"/>
    </row>
    <row r="50" spans="1:23" outlineLevel="1" x14ac:dyDescent="0.25">
      <c r="A50" s="114" t="str">
        <f t="shared" si="9"/>
        <v>Public SafetyPolice DepartmentPolice Station Remodel (existing) - Jail Cell ReplacementCapital</v>
      </c>
      <c r="B50" s="11" t="s">
        <v>316</v>
      </c>
      <c r="C50" s="11">
        <v>32</v>
      </c>
      <c r="D50" s="11" t="s">
        <v>249</v>
      </c>
      <c r="E50" s="124"/>
      <c r="F50" s="185" t="s">
        <v>543</v>
      </c>
      <c r="G50" s="123" t="s">
        <v>542</v>
      </c>
      <c r="H50" s="11" t="s">
        <v>540</v>
      </c>
      <c r="J50" s="124"/>
      <c r="K50" s="166"/>
      <c r="L50" s="166">
        <v>400000</v>
      </c>
      <c r="M50" s="170"/>
      <c r="N50" s="166"/>
      <c r="O50" s="166"/>
      <c r="P50" s="166"/>
      <c r="Q50" s="166"/>
      <c r="R50" s="166"/>
      <c r="S50" s="166"/>
      <c r="T50" s="166"/>
      <c r="U50" s="166"/>
      <c r="V50" s="166"/>
      <c r="W50" s="166"/>
    </row>
    <row r="51" spans="1:23" ht="30" outlineLevel="1" x14ac:dyDescent="0.25">
      <c r="A51" s="114" t="str">
        <f t="shared" si="9"/>
        <v>Public SafetyPolice DepartmentPolice Station Remodel (existing) - Various (interview rooms, locker rooms, ADA bathroom, etc.)GF</v>
      </c>
      <c r="B51" s="11" t="s">
        <v>316</v>
      </c>
      <c r="C51" s="11">
        <v>32</v>
      </c>
      <c r="D51" s="11" t="s">
        <v>249</v>
      </c>
      <c r="E51" s="124"/>
      <c r="F51" s="185" t="s">
        <v>544</v>
      </c>
      <c r="G51" s="123" t="s">
        <v>16</v>
      </c>
      <c r="H51" s="11" t="s">
        <v>540</v>
      </c>
      <c r="J51" s="124"/>
      <c r="K51" s="166"/>
      <c r="L51" s="166"/>
      <c r="M51" s="170"/>
      <c r="N51" s="201">
        <f>300000*0</f>
        <v>0</v>
      </c>
      <c r="O51" s="201">
        <f>200000*0</f>
        <v>0</v>
      </c>
      <c r="P51" s="201">
        <f>200000*0</f>
        <v>0</v>
      </c>
      <c r="Q51" s="166"/>
      <c r="R51" s="166"/>
      <c r="S51" s="166"/>
      <c r="T51" s="166"/>
      <c r="U51" s="166"/>
      <c r="V51" s="166"/>
      <c r="W51" s="166"/>
    </row>
    <row r="52" spans="1:23" outlineLevel="1" x14ac:dyDescent="0.25">
      <c r="A52" s="114" t="str">
        <f t="shared" si="9"/>
        <v>Public SafetyPolice DepartmentBody Camera SystemGF</v>
      </c>
      <c r="B52" s="11" t="s">
        <v>316</v>
      </c>
      <c r="C52" s="11">
        <v>32</v>
      </c>
      <c r="D52" s="11" t="s">
        <v>249</v>
      </c>
      <c r="F52" s="181" t="s">
        <v>160</v>
      </c>
      <c r="G52" s="11" t="s">
        <v>16</v>
      </c>
      <c r="H52" s="11" t="s">
        <v>540</v>
      </c>
      <c r="K52" s="166"/>
      <c r="L52" s="166"/>
      <c r="M52" s="170"/>
      <c r="N52" s="115"/>
      <c r="O52" s="115"/>
      <c r="P52" s="115">
        <v>60000</v>
      </c>
      <c r="Q52" s="115"/>
      <c r="R52" s="115"/>
      <c r="S52" s="115"/>
      <c r="T52" s="115"/>
      <c r="U52" s="115"/>
    </row>
    <row r="53" spans="1:23" outlineLevel="1" x14ac:dyDescent="0.25">
      <c r="A53" s="114" t="str">
        <f t="shared" ref="A53" si="14">B53&amp;D53&amp;F53&amp;G53</f>
        <v>Public SafetyPolice DepartmentPistol ReplacementGF</v>
      </c>
      <c r="B53" s="11" t="s">
        <v>316</v>
      </c>
      <c r="C53" s="11">
        <v>32</v>
      </c>
      <c r="D53" s="11" t="s">
        <v>249</v>
      </c>
      <c r="F53" s="181" t="s">
        <v>157</v>
      </c>
      <c r="G53" s="11" t="s">
        <v>16</v>
      </c>
      <c r="H53" s="11" t="s">
        <v>540</v>
      </c>
      <c r="I53" s="123" t="s">
        <v>546</v>
      </c>
      <c r="K53" s="166"/>
      <c r="L53" s="166"/>
      <c r="M53" s="170"/>
      <c r="N53" s="115"/>
      <c r="O53" s="115">
        <v>25000</v>
      </c>
      <c r="P53" s="115"/>
      <c r="Q53" s="115"/>
      <c r="R53" s="115"/>
      <c r="S53" s="115"/>
      <c r="T53" s="115"/>
      <c r="U53" s="115"/>
    </row>
    <row r="54" spans="1:23" outlineLevel="1" x14ac:dyDescent="0.25">
      <c r="A54" s="114" t="str">
        <f t="shared" si="9"/>
        <v>Public SafetyPolice DepartmentAFIS Livescan ReplacementGF</v>
      </c>
      <c r="B54" s="11" t="s">
        <v>316</v>
      </c>
      <c r="C54" s="11">
        <v>32</v>
      </c>
      <c r="D54" s="11" t="s">
        <v>249</v>
      </c>
      <c r="F54" s="181" t="s">
        <v>161</v>
      </c>
      <c r="G54" s="11" t="s">
        <v>16</v>
      </c>
      <c r="H54" s="11" t="s">
        <v>540</v>
      </c>
      <c r="K54" s="166"/>
      <c r="L54" s="166"/>
      <c r="M54" s="170"/>
      <c r="N54" s="166"/>
      <c r="O54" s="166"/>
      <c r="P54" s="166">
        <v>25000</v>
      </c>
      <c r="Q54" s="166"/>
      <c r="R54" s="166"/>
      <c r="S54" s="166"/>
      <c r="T54" s="166"/>
      <c r="U54" s="166"/>
      <c r="V54" s="124"/>
      <c r="W54" s="124"/>
    </row>
    <row r="55" spans="1:23" outlineLevel="1" x14ac:dyDescent="0.25">
      <c r="A55" s="114" t="str">
        <f t="shared" si="9"/>
        <v>Public SafetyPolice DepartmentMessage Switch WarrantyGF</v>
      </c>
      <c r="B55" s="11" t="s">
        <v>316</v>
      </c>
      <c r="C55" s="123">
        <v>32</v>
      </c>
      <c r="D55" s="11" t="s">
        <v>249</v>
      </c>
      <c r="E55" s="124"/>
      <c r="F55" s="185" t="s">
        <v>174</v>
      </c>
      <c r="G55" s="123" t="s">
        <v>16</v>
      </c>
      <c r="H55" s="11" t="s">
        <v>540</v>
      </c>
      <c r="I55" s="11" t="s">
        <v>633</v>
      </c>
      <c r="J55" s="124"/>
      <c r="K55" s="166"/>
      <c r="L55" s="166"/>
      <c r="M55" s="170"/>
      <c r="N55" s="166"/>
      <c r="O55" s="166"/>
      <c r="P55" s="166"/>
      <c r="Q55" s="166">
        <v>20000</v>
      </c>
      <c r="R55" s="166"/>
      <c r="S55" s="166"/>
      <c r="T55" s="166"/>
      <c r="U55" s="166">
        <v>20000</v>
      </c>
      <c r="V55" s="124"/>
      <c r="W55" s="124"/>
    </row>
    <row r="56" spans="1:23" outlineLevel="1" x14ac:dyDescent="0.25">
      <c r="A56" s="114" t="str">
        <f>B56&amp;D56&amp;F56&amp;G56</f>
        <v>Public SafetyPolice DepartmentServer/SAN/Switch ReplacementsGF</v>
      </c>
      <c r="B56" s="11" t="s">
        <v>316</v>
      </c>
      <c r="C56" s="123">
        <v>32</v>
      </c>
      <c r="D56" s="11" t="s">
        <v>249</v>
      </c>
      <c r="E56" s="124"/>
      <c r="F56" s="185" t="s">
        <v>173</v>
      </c>
      <c r="G56" s="123" t="s">
        <v>16</v>
      </c>
      <c r="H56" s="123" t="s">
        <v>540</v>
      </c>
      <c r="I56" s="123" t="s">
        <v>634</v>
      </c>
      <c r="J56" s="124"/>
      <c r="K56" s="166"/>
      <c r="L56" s="166">
        <v>138000</v>
      </c>
      <c r="M56" s="170"/>
      <c r="N56" s="166"/>
      <c r="O56" s="166"/>
      <c r="P56" s="166"/>
      <c r="Q56" s="166"/>
      <c r="R56" s="166"/>
      <c r="S56" s="166">
        <v>150000</v>
      </c>
      <c r="T56" s="166"/>
      <c r="U56" s="166"/>
      <c r="V56" s="115"/>
      <c r="W56" s="115"/>
    </row>
    <row r="57" spans="1:23" outlineLevel="1" x14ac:dyDescent="0.25">
      <c r="A57" s="114" t="str">
        <f t="shared" si="9"/>
        <v>Public SafetyPolice DepartmentCAD/RMS System ReplacementGF</v>
      </c>
      <c r="B57" s="11" t="s">
        <v>316</v>
      </c>
      <c r="C57" s="11">
        <v>32</v>
      </c>
      <c r="D57" s="11" t="s">
        <v>249</v>
      </c>
      <c r="F57" s="181" t="s">
        <v>162</v>
      </c>
      <c r="G57" s="11" t="s">
        <v>16</v>
      </c>
      <c r="H57" s="11" t="s">
        <v>540</v>
      </c>
      <c r="K57" s="166"/>
      <c r="L57" s="166"/>
      <c r="M57" s="170"/>
      <c r="N57" s="115"/>
      <c r="O57" s="201">
        <f>250000/2</f>
        <v>125000</v>
      </c>
      <c r="P57" s="201">
        <f>250000/2</f>
        <v>125000</v>
      </c>
      <c r="Q57" s="115"/>
      <c r="R57" s="115"/>
      <c r="S57" s="115"/>
      <c r="T57" s="115"/>
      <c r="U57" s="115"/>
    </row>
    <row r="58" spans="1:23" outlineLevel="1" x14ac:dyDescent="0.25">
      <c r="A58" s="114" t="str">
        <f t="shared" ref="A58" si="15">B58&amp;D58&amp;F58&amp;G58</f>
        <v>Public SafetyPolice DepartmentLaptop replacementGF</v>
      </c>
      <c r="B58" s="11" t="s">
        <v>316</v>
      </c>
      <c r="C58" s="11">
        <v>32</v>
      </c>
      <c r="D58" s="11" t="s">
        <v>249</v>
      </c>
      <c r="F58" s="181" t="s">
        <v>635</v>
      </c>
      <c r="G58" s="11" t="s">
        <v>16</v>
      </c>
      <c r="H58" s="11" t="s">
        <v>540</v>
      </c>
      <c r="I58" s="123" t="s">
        <v>634</v>
      </c>
      <c r="K58" s="166"/>
      <c r="L58" s="166"/>
      <c r="M58" s="170"/>
      <c r="N58" s="115"/>
      <c r="O58" s="115"/>
      <c r="P58" s="115">
        <v>85000</v>
      </c>
      <c r="Q58" s="115"/>
      <c r="R58" s="115"/>
      <c r="S58" s="115"/>
      <c r="T58" s="115"/>
      <c r="U58" s="115"/>
      <c r="V58" s="115">
        <v>95000</v>
      </c>
    </row>
    <row r="59" spans="1:23" outlineLevel="1" x14ac:dyDescent="0.25">
      <c r="A59" s="114" t="str">
        <f t="shared" si="9"/>
        <v>Public SafetyPolice DepartmentPolice - Radio EquipmentBond</v>
      </c>
      <c r="B59" s="11" t="s">
        <v>316</v>
      </c>
      <c r="C59" s="11">
        <v>32</v>
      </c>
      <c r="D59" s="11" t="s">
        <v>249</v>
      </c>
      <c r="F59" s="181" t="s">
        <v>103</v>
      </c>
      <c r="G59" s="11" t="s">
        <v>19</v>
      </c>
      <c r="H59" s="11" t="s">
        <v>540</v>
      </c>
      <c r="K59" s="166">
        <v>1600000</v>
      </c>
      <c r="L59" s="166"/>
      <c r="M59" s="170"/>
      <c r="N59" s="115"/>
      <c r="O59" s="115"/>
      <c r="P59" s="115"/>
      <c r="Q59" s="115"/>
      <c r="R59" s="115"/>
      <c r="S59" s="115"/>
      <c r="T59" s="115"/>
      <c r="U59" s="115"/>
      <c r="V59" s="115"/>
      <c r="W59" s="115"/>
    </row>
    <row r="60" spans="1:23" outlineLevel="1" x14ac:dyDescent="0.25">
      <c r="A60" s="114" t="str">
        <f t="shared" si="9"/>
        <v>Public SafetyPolice DepartmentTaser ReplacementGrants</v>
      </c>
      <c r="B60" s="11" t="s">
        <v>316</v>
      </c>
      <c r="C60" s="11">
        <v>32</v>
      </c>
      <c r="D60" s="11" t="s">
        <v>249</v>
      </c>
      <c r="F60" s="181" t="s">
        <v>163</v>
      </c>
      <c r="G60" s="11" t="s">
        <v>38</v>
      </c>
      <c r="H60" s="11" t="s">
        <v>540</v>
      </c>
      <c r="K60" s="166">
        <v>6000</v>
      </c>
      <c r="L60" s="166"/>
      <c r="M60" s="170"/>
      <c r="N60" s="115"/>
      <c r="O60" s="115"/>
      <c r="P60" s="115"/>
      <c r="Q60" s="115"/>
      <c r="R60" s="115"/>
      <c r="S60" s="115"/>
      <c r="T60" s="115"/>
      <c r="U60" s="115"/>
      <c r="V60" s="115"/>
      <c r="W60" s="115"/>
    </row>
    <row r="61" spans="1:23" ht="15.75" outlineLevel="1" thickBot="1" x14ac:dyDescent="0.3">
      <c r="C61" s="11"/>
      <c r="K61" s="165">
        <f>SUM(K43:K60)</f>
        <v>1606000</v>
      </c>
      <c r="L61" s="165">
        <f>SUM(L43:L60)</f>
        <v>626000</v>
      </c>
      <c r="M61" s="169"/>
      <c r="N61" s="116">
        <f t="shared" ref="N61:W61" si="16">SUM(N43:N60)</f>
        <v>73000</v>
      </c>
      <c r="O61" s="116">
        <f t="shared" si="16"/>
        <v>291500</v>
      </c>
      <c r="P61" s="116">
        <f t="shared" si="16"/>
        <v>469000</v>
      </c>
      <c r="Q61" s="116">
        <f t="shared" si="16"/>
        <v>161500</v>
      </c>
      <c r="R61" s="116">
        <f t="shared" si="16"/>
        <v>133000</v>
      </c>
      <c r="S61" s="116">
        <f t="shared" si="16"/>
        <v>253000</v>
      </c>
      <c r="T61" s="116">
        <f t="shared" si="16"/>
        <v>166500</v>
      </c>
      <c r="U61" s="116">
        <f t="shared" si="16"/>
        <v>161500</v>
      </c>
      <c r="V61" s="116">
        <f t="shared" si="16"/>
        <v>198000</v>
      </c>
      <c r="W61" s="116">
        <f t="shared" si="16"/>
        <v>183000</v>
      </c>
    </row>
    <row r="62" spans="1:23" ht="15.75" outlineLevel="1" thickTop="1" x14ac:dyDescent="0.25">
      <c r="C62" s="11"/>
      <c r="K62" s="166"/>
      <c r="L62" s="166"/>
      <c r="M62" s="170"/>
      <c r="N62" s="115"/>
      <c r="O62" s="115"/>
      <c r="P62" s="115"/>
      <c r="Q62" s="115"/>
      <c r="R62" s="115"/>
      <c r="S62" s="115"/>
      <c r="T62" s="115"/>
      <c r="U62" s="115"/>
      <c r="V62" s="115"/>
      <c r="W62" s="115"/>
    </row>
    <row r="63" spans="1:23" outlineLevel="1" x14ac:dyDescent="0.25">
      <c r="A63" s="114" t="str">
        <f>B63&amp;D63&amp;F63&amp;G63</f>
        <v>Public SafetyFire MarshallDeputy Fire Marshall VerhicleGrants</v>
      </c>
      <c r="B63" s="11" t="s">
        <v>316</v>
      </c>
      <c r="C63" s="11">
        <v>34</v>
      </c>
      <c r="D63" s="11" t="s">
        <v>503</v>
      </c>
      <c r="F63" s="181" t="s">
        <v>504</v>
      </c>
      <c r="G63" s="11" t="s">
        <v>38</v>
      </c>
      <c r="H63" s="11" t="s">
        <v>540</v>
      </c>
      <c r="K63" s="166">
        <v>30000</v>
      </c>
      <c r="L63" s="166"/>
      <c r="M63" s="170"/>
      <c r="N63" s="115"/>
      <c r="O63" s="115"/>
      <c r="P63" s="115"/>
      <c r="Q63" s="115"/>
      <c r="R63" s="115"/>
      <c r="S63" s="115"/>
      <c r="T63" s="115"/>
      <c r="U63" s="115"/>
      <c r="V63" s="115"/>
      <c r="W63" s="115"/>
    </row>
    <row r="64" spans="1:23" ht="15.75" outlineLevel="1" thickBot="1" x14ac:dyDescent="0.3">
      <c r="C64" s="11"/>
      <c r="K64" s="165">
        <f t="shared" ref="K64:W64" si="17">SUM(K63)</f>
        <v>30000</v>
      </c>
      <c r="L64" s="165">
        <f t="shared" si="17"/>
        <v>0</v>
      </c>
      <c r="M64" s="169"/>
      <c r="N64" s="116">
        <f t="shared" si="17"/>
        <v>0</v>
      </c>
      <c r="O64" s="116">
        <f t="shared" si="17"/>
        <v>0</v>
      </c>
      <c r="P64" s="116">
        <f t="shared" si="17"/>
        <v>0</v>
      </c>
      <c r="Q64" s="116">
        <f t="shared" si="17"/>
        <v>0</v>
      </c>
      <c r="R64" s="116">
        <f t="shared" si="17"/>
        <v>0</v>
      </c>
      <c r="S64" s="116">
        <f t="shared" si="17"/>
        <v>0</v>
      </c>
      <c r="T64" s="116">
        <f t="shared" si="17"/>
        <v>0</v>
      </c>
      <c r="U64" s="116">
        <f t="shared" si="17"/>
        <v>0</v>
      </c>
      <c r="V64" s="116">
        <f t="shared" si="17"/>
        <v>0</v>
      </c>
      <c r="W64" s="116">
        <f t="shared" si="17"/>
        <v>0</v>
      </c>
    </row>
    <row r="65" spans="1:23" ht="15.75" outlineLevel="1" thickTop="1" x14ac:dyDescent="0.25">
      <c r="C65" s="11"/>
      <c r="K65" s="204"/>
      <c r="L65" s="204"/>
      <c r="M65" s="205"/>
      <c r="N65" s="206"/>
      <c r="O65" s="206"/>
      <c r="P65" s="206"/>
      <c r="Q65" s="206"/>
      <c r="R65" s="206"/>
      <c r="S65" s="206"/>
      <c r="T65" s="206"/>
      <c r="U65" s="206"/>
      <c r="V65" s="206"/>
      <c r="W65" s="206"/>
    </row>
    <row r="66" spans="1:23" outlineLevel="1" x14ac:dyDescent="0.25">
      <c r="A66" s="114" t="str">
        <f>B66&amp;D66&amp;F66&amp;G66</f>
        <v>Public SafetyAnimal ControlAnimal Control VanGF</v>
      </c>
      <c r="B66" s="11" t="s">
        <v>316</v>
      </c>
      <c r="C66" s="11">
        <v>30</v>
      </c>
      <c r="D66" s="11" t="s">
        <v>692</v>
      </c>
      <c r="F66" s="181" t="s">
        <v>693</v>
      </c>
      <c r="G66" s="11" t="s">
        <v>16</v>
      </c>
      <c r="H66" s="11" t="s">
        <v>540</v>
      </c>
      <c r="K66" s="166"/>
      <c r="L66" s="166"/>
      <c r="M66" s="170"/>
      <c r="N66" s="201">
        <f>45000*0</f>
        <v>0</v>
      </c>
      <c r="O66" s="115"/>
      <c r="P66" s="115"/>
      <c r="Q66" s="115"/>
      <c r="R66" s="115"/>
      <c r="S66" s="115"/>
      <c r="T66" s="115"/>
      <c r="U66" s="115"/>
      <c r="V66" s="115"/>
      <c r="W66" s="115"/>
    </row>
    <row r="67" spans="1:23" ht="15.75" outlineLevel="1" thickBot="1" x14ac:dyDescent="0.3">
      <c r="C67" s="11"/>
      <c r="K67" s="165">
        <f t="shared" ref="K67:W67" si="18">SUM(K66)</f>
        <v>0</v>
      </c>
      <c r="L67" s="165">
        <f t="shared" si="18"/>
        <v>0</v>
      </c>
      <c r="M67" s="169"/>
      <c r="N67" s="116">
        <f t="shared" si="18"/>
        <v>0</v>
      </c>
      <c r="O67" s="116">
        <f t="shared" si="18"/>
        <v>0</v>
      </c>
      <c r="P67" s="116">
        <f t="shared" si="18"/>
        <v>0</v>
      </c>
      <c r="Q67" s="116">
        <f t="shared" si="18"/>
        <v>0</v>
      </c>
      <c r="R67" s="116">
        <f t="shared" si="18"/>
        <v>0</v>
      </c>
      <c r="S67" s="116">
        <f t="shared" si="18"/>
        <v>0</v>
      </c>
      <c r="T67" s="116">
        <f t="shared" si="18"/>
        <v>0</v>
      </c>
      <c r="U67" s="116">
        <f t="shared" si="18"/>
        <v>0</v>
      </c>
      <c r="V67" s="116">
        <f t="shared" si="18"/>
        <v>0</v>
      </c>
      <c r="W67" s="116">
        <f t="shared" si="18"/>
        <v>0</v>
      </c>
    </row>
    <row r="68" spans="1:23" ht="15.75" thickTop="1" x14ac:dyDescent="0.25">
      <c r="C68" s="11"/>
      <c r="K68" s="166"/>
      <c r="L68" s="166"/>
      <c r="M68" s="170"/>
      <c r="N68" s="115"/>
      <c r="O68" s="115"/>
      <c r="P68" s="115"/>
      <c r="Q68" s="115"/>
      <c r="R68" s="115"/>
      <c r="S68" s="115"/>
      <c r="T68" s="115"/>
      <c r="U68" s="115"/>
      <c r="V68" s="115"/>
      <c r="W68" s="115"/>
    </row>
    <row r="69" spans="1:23" outlineLevel="1" x14ac:dyDescent="0.25">
      <c r="A69" s="114" t="str">
        <f t="shared" ref="A69:A70" si="19">B69&amp;D69&amp;F69&amp;G69</f>
        <v>Physical ServicesMunicipal GarageGantry CraneGF</v>
      </c>
      <c r="B69" s="11" t="s">
        <v>366</v>
      </c>
      <c r="C69" s="123">
        <v>35</v>
      </c>
      <c r="D69" s="11" t="s">
        <v>439</v>
      </c>
      <c r="E69" s="124"/>
      <c r="F69" s="185" t="s">
        <v>319</v>
      </c>
      <c r="G69" s="123" t="s">
        <v>16</v>
      </c>
      <c r="H69" s="11" t="s">
        <v>540</v>
      </c>
      <c r="I69" s="11" t="s">
        <v>645</v>
      </c>
      <c r="J69" s="124"/>
      <c r="K69" s="166"/>
      <c r="L69" s="166"/>
      <c r="M69" s="170"/>
      <c r="N69" s="201">
        <f>100000*0</f>
        <v>0</v>
      </c>
      <c r="O69" s="201">
        <f>100000/2</f>
        <v>50000</v>
      </c>
      <c r="P69" s="201">
        <f>100000/2</f>
        <v>50000</v>
      </c>
      <c r="Q69" s="166"/>
      <c r="R69" s="166"/>
      <c r="S69" s="166"/>
      <c r="T69" s="166"/>
      <c r="U69" s="166"/>
      <c r="V69" s="124"/>
      <c r="W69" s="124"/>
    </row>
    <row r="70" spans="1:23" outlineLevel="1" x14ac:dyDescent="0.25">
      <c r="A70" s="114" t="str">
        <f t="shared" si="19"/>
        <v>Physical ServicesMunicipal Garage4 Post 40 Ton Portable LiftGF</v>
      </c>
      <c r="B70" s="11" t="s">
        <v>366</v>
      </c>
      <c r="C70" s="123">
        <v>35</v>
      </c>
      <c r="D70" s="11" t="s">
        <v>439</v>
      </c>
      <c r="E70" s="124"/>
      <c r="F70" s="185" t="s">
        <v>636</v>
      </c>
      <c r="G70" s="123" t="s">
        <v>16</v>
      </c>
      <c r="H70" s="11" t="s">
        <v>540</v>
      </c>
      <c r="I70" s="11" t="s">
        <v>645</v>
      </c>
      <c r="J70" s="124"/>
      <c r="K70" s="166"/>
      <c r="L70" s="166"/>
      <c r="M70" s="170"/>
      <c r="N70" s="201">
        <f>32000*0</f>
        <v>0</v>
      </c>
      <c r="O70" s="166"/>
      <c r="P70" s="166"/>
      <c r="Q70" s="166"/>
      <c r="R70" s="166"/>
      <c r="S70" s="166"/>
      <c r="T70" s="166"/>
      <c r="U70" s="166"/>
      <c r="V70" s="124"/>
      <c r="W70" s="124"/>
    </row>
    <row r="71" spans="1:23" outlineLevel="1" x14ac:dyDescent="0.25">
      <c r="A71" s="114" t="str">
        <f t="shared" ref="A71:A80" si="20">B71&amp;D71&amp;F71&amp;G71</f>
        <v>Physical ServicesMunicipal Garage4 Post Vehicle LiftGF</v>
      </c>
      <c r="B71" s="11" t="s">
        <v>366</v>
      </c>
      <c r="C71" s="123">
        <v>35</v>
      </c>
      <c r="D71" s="11" t="s">
        <v>439</v>
      </c>
      <c r="E71" s="124"/>
      <c r="F71" s="185" t="s">
        <v>320</v>
      </c>
      <c r="G71" s="123" t="s">
        <v>16</v>
      </c>
      <c r="H71" s="11" t="s">
        <v>540</v>
      </c>
      <c r="I71" s="11" t="s">
        <v>645</v>
      </c>
      <c r="J71" s="124"/>
      <c r="K71" s="166"/>
      <c r="L71" s="166"/>
      <c r="M71" s="170"/>
      <c r="N71" s="166"/>
      <c r="O71" s="166"/>
      <c r="P71" s="166"/>
      <c r="Q71" s="166">
        <v>15000</v>
      </c>
      <c r="R71" s="166"/>
      <c r="S71" s="166"/>
      <c r="T71" s="166"/>
      <c r="U71" s="166"/>
      <c r="V71" s="124"/>
      <c r="W71" s="124"/>
    </row>
    <row r="72" spans="1:23" outlineLevel="1" x14ac:dyDescent="0.25">
      <c r="A72" s="114" t="str">
        <f t="shared" si="20"/>
        <v>Physical ServicesMunicipal GarageInground LiftGF</v>
      </c>
      <c r="B72" s="11" t="s">
        <v>366</v>
      </c>
      <c r="C72" s="123">
        <v>35</v>
      </c>
      <c r="D72" s="11" t="s">
        <v>439</v>
      </c>
      <c r="E72" s="124"/>
      <c r="F72" s="185" t="s">
        <v>647</v>
      </c>
      <c r="G72" s="123" t="s">
        <v>16</v>
      </c>
      <c r="H72" s="11" t="s">
        <v>540</v>
      </c>
      <c r="I72" s="11" t="s">
        <v>642</v>
      </c>
      <c r="J72" s="124"/>
      <c r="K72" s="166"/>
      <c r="L72" s="166"/>
      <c r="M72" s="170"/>
      <c r="N72" s="166"/>
      <c r="O72" s="166"/>
      <c r="P72" s="166"/>
      <c r="Q72" s="166"/>
      <c r="R72" s="166"/>
      <c r="S72" s="166"/>
      <c r="T72" s="166">
        <v>28000</v>
      </c>
      <c r="U72" s="166"/>
      <c r="V72" s="124"/>
      <c r="W72" s="124"/>
    </row>
    <row r="73" spans="1:23" outlineLevel="1" x14ac:dyDescent="0.25">
      <c r="A73" s="114" t="str">
        <f t="shared" si="20"/>
        <v>Physical ServicesMunicipal GarageAir compressorGF</v>
      </c>
      <c r="B73" s="11" t="s">
        <v>366</v>
      </c>
      <c r="C73" s="11">
        <v>35</v>
      </c>
      <c r="D73" s="11" t="s">
        <v>439</v>
      </c>
      <c r="F73" s="181" t="s">
        <v>644</v>
      </c>
      <c r="G73" s="11" t="s">
        <v>16</v>
      </c>
      <c r="H73" s="11" t="s">
        <v>540</v>
      </c>
      <c r="I73" s="11" t="s">
        <v>645</v>
      </c>
      <c r="K73" s="166"/>
      <c r="L73" s="166"/>
      <c r="M73" s="170"/>
      <c r="N73" s="115"/>
      <c r="O73" s="115"/>
      <c r="P73" s="115"/>
      <c r="Q73" s="115"/>
      <c r="R73" s="115">
        <v>25000</v>
      </c>
      <c r="S73" s="115"/>
      <c r="T73" s="115"/>
      <c r="U73" s="115"/>
      <c r="V73" s="115"/>
      <c r="W73" s="115"/>
    </row>
    <row r="74" spans="1:23" outlineLevel="1" x14ac:dyDescent="0.25">
      <c r="A74" s="114" t="str">
        <f t="shared" si="20"/>
        <v>Physical ServicesMunicipal GarageMaintenance SoftwareGF</v>
      </c>
      <c r="B74" s="11" t="s">
        <v>366</v>
      </c>
      <c r="C74" s="11">
        <v>35</v>
      </c>
      <c r="D74" s="11" t="s">
        <v>439</v>
      </c>
      <c r="F74" s="181" t="s">
        <v>646</v>
      </c>
      <c r="G74" s="11" t="s">
        <v>16</v>
      </c>
      <c r="H74" s="11" t="s">
        <v>540</v>
      </c>
      <c r="I74" s="11" t="s">
        <v>645</v>
      </c>
      <c r="K74" s="166"/>
      <c r="L74" s="166"/>
      <c r="M74" s="170"/>
      <c r="N74" s="115"/>
      <c r="O74" s="115">
        <v>30000</v>
      </c>
      <c r="P74" s="115"/>
      <c r="Q74" s="115"/>
      <c r="R74" s="115"/>
      <c r="S74" s="115"/>
      <c r="T74" s="115"/>
      <c r="U74" s="115"/>
      <c r="V74" s="115"/>
      <c r="W74" s="115"/>
    </row>
    <row r="75" spans="1:23" outlineLevel="1" x14ac:dyDescent="0.25">
      <c r="A75" s="114" t="str">
        <f t="shared" si="20"/>
        <v>Physical ServicesMunicipal GaragePool CarsGF</v>
      </c>
      <c r="B75" s="11" t="s">
        <v>366</v>
      </c>
      <c r="C75" s="11">
        <v>35</v>
      </c>
      <c r="D75" s="11" t="s">
        <v>439</v>
      </c>
      <c r="F75" s="181" t="s">
        <v>637</v>
      </c>
      <c r="G75" s="11" t="s">
        <v>16</v>
      </c>
      <c r="H75" s="11" t="s">
        <v>540</v>
      </c>
      <c r="I75" s="11" t="s">
        <v>639</v>
      </c>
      <c r="K75" s="166"/>
      <c r="L75" s="166"/>
      <c r="M75" s="170"/>
      <c r="N75" s="115"/>
      <c r="O75" s="115">
        <v>20000</v>
      </c>
      <c r="P75" s="115">
        <v>20000</v>
      </c>
      <c r="Q75" s="115">
        <v>20000</v>
      </c>
      <c r="R75" s="115">
        <v>20000</v>
      </c>
      <c r="S75" s="115">
        <v>20000</v>
      </c>
      <c r="T75" s="115">
        <v>20000</v>
      </c>
      <c r="U75" s="115">
        <v>20000</v>
      </c>
      <c r="V75" s="115">
        <v>20000</v>
      </c>
      <c r="W75" s="115">
        <v>20000</v>
      </c>
    </row>
    <row r="76" spans="1:23" outlineLevel="1" x14ac:dyDescent="0.25">
      <c r="A76" s="114" t="str">
        <f t="shared" ref="A76" si="21">B76&amp;D76&amp;F76&amp;G76</f>
        <v>Physical ServicesMunicipal GarageTown Manager's CarGF</v>
      </c>
      <c r="B76" s="11" t="s">
        <v>366</v>
      </c>
      <c r="C76" s="11">
        <v>35</v>
      </c>
      <c r="D76" s="11" t="s">
        <v>439</v>
      </c>
      <c r="F76" s="181" t="s">
        <v>694</v>
      </c>
      <c r="G76" s="11" t="s">
        <v>16</v>
      </c>
      <c r="H76" s="11" t="s">
        <v>540</v>
      </c>
      <c r="I76" s="11" t="s">
        <v>639</v>
      </c>
      <c r="K76" s="166"/>
      <c r="L76" s="166"/>
      <c r="M76" s="170"/>
      <c r="N76" s="201">
        <f>29000*0</f>
        <v>0</v>
      </c>
      <c r="O76" s="201">
        <f>29000</f>
        <v>29000</v>
      </c>
      <c r="P76" s="115"/>
      <c r="Q76" s="115"/>
      <c r="R76" s="115"/>
      <c r="S76" s="115"/>
      <c r="T76" s="115"/>
      <c r="U76" s="115"/>
      <c r="V76" s="115"/>
      <c r="W76" s="115"/>
    </row>
    <row r="77" spans="1:23" outlineLevel="1" x14ac:dyDescent="0.25">
      <c r="A77" s="114" t="str">
        <f t="shared" si="20"/>
        <v>Physical ServicesMunicipal GaragePick-up Truck w/ PlowGF</v>
      </c>
      <c r="B77" s="11" t="s">
        <v>366</v>
      </c>
      <c r="C77" s="11">
        <v>35</v>
      </c>
      <c r="D77" s="11" t="s">
        <v>439</v>
      </c>
      <c r="F77" s="181" t="s">
        <v>638</v>
      </c>
      <c r="G77" s="11" t="s">
        <v>16</v>
      </c>
      <c r="H77" s="11" t="s">
        <v>540</v>
      </c>
      <c r="I77" s="11" t="s">
        <v>639</v>
      </c>
      <c r="K77" s="166"/>
      <c r="L77" s="166"/>
      <c r="M77" s="170"/>
      <c r="N77" s="115"/>
      <c r="O77" s="115"/>
      <c r="P77" s="115">
        <v>35000</v>
      </c>
      <c r="Q77" s="115"/>
      <c r="R77" s="115"/>
      <c r="S77" s="115"/>
      <c r="T77" s="115"/>
      <c r="U77" s="115"/>
      <c r="V77" s="115"/>
      <c r="W77" s="115"/>
    </row>
    <row r="78" spans="1:23" outlineLevel="1" x14ac:dyDescent="0.25">
      <c r="A78" s="114" t="str">
        <f t="shared" si="20"/>
        <v>Physical ServicesMunicipal GarageService TruckGF</v>
      </c>
      <c r="B78" s="11" t="s">
        <v>366</v>
      </c>
      <c r="C78" s="11">
        <v>35</v>
      </c>
      <c r="D78" s="11" t="s">
        <v>439</v>
      </c>
      <c r="F78" s="181" t="s">
        <v>640</v>
      </c>
      <c r="G78" s="11" t="s">
        <v>16</v>
      </c>
      <c r="H78" s="11" t="s">
        <v>540</v>
      </c>
      <c r="I78" s="11" t="s">
        <v>639</v>
      </c>
      <c r="K78" s="166"/>
      <c r="L78" s="166"/>
      <c r="M78" s="170"/>
      <c r="N78" s="115"/>
      <c r="O78" s="115"/>
      <c r="P78" s="115"/>
      <c r="Q78" s="115">
        <v>80000</v>
      </c>
      <c r="R78" s="115"/>
      <c r="S78" s="115"/>
      <c r="T78" s="115"/>
      <c r="U78" s="115"/>
      <c r="V78" s="115"/>
      <c r="W78" s="115"/>
    </row>
    <row r="79" spans="1:23" outlineLevel="1" x14ac:dyDescent="0.25">
      <c r="A79" s="114" t="str">
        <f t="shared" si="20"/>
        <v>Physical ServicesMunicipal GarageFork LiftGF</v>
      </c>
      <c r="B79" s="11" t="s">
        <v>366</v>
      </c>
      <c r="C79" s="11">
        <v>35</v>
      </c>
      <c r="D79" s="11" t="s">
        <v>439</v>
      </c>
      <c r="F79" s="181" t="s">
        <v>641</v>
      </c>
      <c r="G79" s="11" t="s">
        <v>16</v>
      </c>
      <c r="H79" s="11" t="s">
        <v>540</v>
      </c>
      <c r="I79" s="11" t="s">
        <v>642</v>
      </c>
      <c r="K79" s="166"/>
      <c r="L79" s="166"/>
      <c r="M79" s="170"/>
      <c r="N79" s="115"/>
      <c r="O79" s="115"/>
      <c r="P79" s="115"/>
      <c r="Q79" s="115">
        <v>45000</v>
      </c>
      <c r="R79" s="115"/>
      <c r="S79" s="115"/>
      <c r="T79" s="115"/>
      <c r="U79" s="115"/>
      <c r="V79" s="115"/>
      <c r="W79" s="115"/>
    </row>
    <row r="80" spans="1:23" outlineLevel="1" x14ac:dyDescent="0.25">
      <c r="A80" s="114" t="str">
        <f t="shared" si="20"/>
        <v>Physical ServicesMunicipal GarageFlatbedGF</v>
      </c>
      <c r="B80" s="11" t="s">
        <v>366</v>
      </c>
      <c r="C80" s="11">
        <v>35</v>
      </c>
      <c r="D80" s="11" t="s">
        <v>439</v>
      </c>
      <c r="F80" s="181" t="s">
        <v>643</v>
      </c>
      <c r="G80" s="11" t="s">
        <v>16</v>
      </c>
      <c r="H80" s="11" t="s">
        <v>540</v>
      </c>
      <c r="I80" s="11" t="s">
        <v>642</v>
      </c>
      <c r="K80" s="166"/>
      <c r="L80" s="166"/>
      <c r="M80" s="170"/>
      <c r="N80" s="115"/>
      <c r="O80" s="115"/>
      <c r="P80" s="115"/>
      <c r="Q80" s="115"/>
      <c r="R80" s="115">
        <v>45000</v>
      </c>
      <c r="S80" s="115"/>
      <c r="T80" s="115"/>
      <c r="U80" s="115"/>
      <c r="V80" s="115"/>
      <c r="W80" s="115"/>
    </row>
    <row r="81" spans="1:23" ht="15.75" outlineLevel="1" thickBot="1" x14ac:dyDescent="0.3">
      <c r="C81" s="11"/>
      <c r="K81" s="165">
        <f t="shared" ref="K81:W81" si="22">SUM(K69:K80)</f>
        <v>0</v>
      </c>
      <c r="L81" s="165">
        <f t="shared" si="22"/>
        <v>0</v>
      </c>
      <c r="M81" s="169"/>
      <c r="N81" s="165">
        <f t="shared" si="22"/>
        <v>0</v>
      </c>
      <c r="O81" s="165">
        <f t="shared" si="22"/>
        <v>129000</v>
      </c>
      <c r="P81" s="165">
        <f t="shared" si="22"/>
        <v>105000</v>
      </c>
      <c r="Q81" s="165">
        <f t="shared" si="22"/>
        <v>160000</v>
      </c>
      <c r="R81" s="165">
        <f t="shared" si="22"/>
        <v>90000</v>
      </c>
      <c r="S81" s="165">
        <f t="shared" si="22"/>
        <v>20000</v>
      </c>
      <c r="T81" s="165">
        <f t="shared" si="22"/>
        <v>48000</v>
      </c>
      <c r="U81" s="165">
        <f t="shared" si="22"/>
        <v>20000</v>
      </c>
      <c r="V81" s="165">
        <f t="shared" si="22"/>
        <v>20000</v>
      </c>
      <c r="W81" s="165">
        <f t="shared" si="22"/>
        <v>20000</v>
      </c>
    </row>
    <row r="82" spans="1:23" ht="15.75" outlineLevel="1" thickTop="1" x14ac:dyDescent="0.25">
      <c r="C82" s="11"/>
      <c r="K82" s="166"/>
      <c r="L82" s="166"/>
      <c r="M82" s="170"/>
      <c r="N82" s="115"/>
      <c r="O82" s="115"/>
      <c r="P82" s="115"/>
      <c r="Q82" s="115"/>
      <c r="R82" s="115"/>
      <c r="S82" s="115"/>
      <c r="T82" s="115"/>
      <c r="U82" s="115"/>
      <c r="V82" s="115"/>
      <c r="W82" s="115"/>
    </row>
    <row r="83" spans="1:23" outlineLevel="1" x14ac:dyDescent="0.25">
      <c r="A83" s="114" t="str">
        <f t="shared" ref="A83:A114" si="23">B83&amp;D83&amp;F83&amp;G83</f>
        <v>Physical ServicesPublic WorksRailroad Pond DamBond</v>
      </c>
      <c r="B83" s="11" t="s">
        <v>366</v>
      </c>
      <c r="C83" s="123">
        <v>36</v>
      </c>
      <c r="D83" s="11" t="s">
        <v>250</v>
      </c>
      <c r="E83" s="124"/>
      <c r="F83" s="185" t="s">
        <v>621</v>
      </c>
      <c r="G83" s="123" t="s">
        <v>19</v>
      </c>
      <c r="H83" s="11" t="s">
        <v>540</v>
      </c>
      <c r="J83" s="124"/>
      <c r="K83" s="166"/>
      <c r="L83" s="166"/>
      <c r="M83" s="170"/>
      <c r="N83" s="166">
        <v>500000</v>
      </c>
      <c r="O83" s="166"/>
      <c r="P83" s="166"/>
      <c r="Q83" s="166"/>
      <c r="R83" s="166"/>
      <c r="S83" s="166"/>
      <c r="T83" s="166"/>
      <c r="U83" s="166"/>
      <c r="V83" s="166"/>
      <c r="W83" s="166"/>
    </row>
    <row r="84" spans="1:23" outlineLevel="1" x14ac:dyDescent="0.25">
      <c r="A84" s="114" t="str">
        <f t="shared" ref="A84" si="24">B84&amp;D84&amp;F84&amp;G84</f>
        <v>Physical ServicesPublic WorksRailroad Pond DamBAN</v>
      </c>
      <c r="B84" s="11" t="s">
        <v>366</v>
      </c>
      <c r="C84" s="123">
        <v>36</v>
      </c>
      <c r="D84" s="11" t="s">
        <v>250</v>
      </c>
      <c r="E84" s="124"/>
      <c r="F84" s="185" t="s">
        <v>621</v>
      </c>
      <c r="G84" s="123" t="s">
        <v>13</v>
      </c>
      <c r="H84" s="11" t="s">
        <v>540</v>
      </c>
      <c r="J84" s="124"/>
      <c r="K84" s="166"/>
      <c r="L84" s="166">
        <v>1000000</v>
      </c>
      <c r="M84" s="170"/>
      <c r="N84" s="166"/>
      <c r="O84" s="166"/>
      <c r="P84" s="166"/>
      <c r="Q84" s="166"/>
      <c r="R84" s="166"/>
      <c r="S84" s="166"/>
      <c r="T84" s="166"/>
      <c r="U84" s="166"/>
      <c r="V84" s="166"/>
      <c r="W84" s="166"/>
    </row>
    <row r="85" spans="1:23" ht="30" outlineLevel="1" x14ac:dyDescent="0.25">
      <c r="A85" s="114" t="str">
        <f>B85&amp;D85&amp;F85&amp;G85</f>
        <v>Physical ServicesPublic WorksPaper Goods Pond Dam (consulting - not sure how much work needs to be done, so cost may increase)GF</v>
      </c>
      <c r="B85" s="11" t="s">
        <v>366</v>
      </c>
      <c r="C85" s="123">
        <v>36</v>
      </c>
      <c r="D85" s="11" t="s">
        <v>250</v>
      </c>
      <c r="E85" s="124"/>
      <c r="F85" s="185" t="s">
        <v>550</v>
      </c>
      <c r="G85" s="123" t="s">
        <v>16</v>
      </c>
      <c r="H85" s="11" t="s">
        <v>540</v>
      </c>
      <c r="J85" s="124"/>
      <c r="K85" s="166"/>
      <c r="L85" s="166"/>
      <c r="M85" s="170"/>
      <c r="N85" s="166"/>
      <c r="O85" s="201">
        <f>100000*0</f>
        <v>0</v>
      </c>
      <c r="P85" s="166"/>
      <c r="Q85" s="201">
        <f>100000</f>
        <v>100000</v>
      </c>
      <c r="R85" s="166"/>
      <c r="S85" s="166"/>
      <c r="T85" s="166"/>
      <c r="U85" s="166"/>
      <c r="V85" s="166"/>
      <c r="W85" s="166"/>
    </row>
    <row r="86" spans="1:23" ht="30" outlineLevel="1" x14ac:dyDescent="0.25">
      <c r="A86" s="114" t="str">
        <f>B86&amp;D86&amp;F86&amp;G86</f>
        <v>Physical ServicesPublic WorksFarmington Av (remainder paid from existing bond money)Bond</v>
      </c>
      <c r="B86" s="11" t="s">
        <v>366</v>
      </c>
      <c r="C86" s="11">
        <v>36</v>
      </c>
      <c r="D86" s="11" t="s">
        <v>250</v>
      </c>
      <c r="F86" s="185" t="s">
        <v>77</v>
      </c>
      <c r="G86" s="11" t="s">
        <v>19</v>
      </c>
      <c r="H86" s="11" t="s">
        <v>540</v>
      </c>
      <c r="K86" s="166"/>
      <c r="L86" s="166"/>
      <c r="M86" s="170"/>
      <c r="N86" s="115"/>
      <c r="O86" s="115"/>
      <c r="P86" s="115"/>
      <c r="Q86" s="115"/>
      <c r="R86" s="115"/>
      <c r="S86" s="115"/>
      <c r="T86" s="115"/>
      <c r="U86" s="115"/>
      <c r="V86" s="115"/>
      <c r="W86" s="115"/>
    </row>
    <row r="87" spans="1:23" outlineLevel="1" x14ac:dyDescent="0.25">
      <c r="A87" s="114" t="str">
        <f t="shared" si="23"/>
        <v>Physical ServicesPublic WorksHigh Road BridgeBond</v>
      </c>
      <c r="B87" s="11" t="s">
        <v>366</v>
      </c>
      <c r="C87" s="11">
        <v>36</v>
      </c>
      <c r="D87" s="11" t="s">
        <v>250</v>
      </c>
      <c r="F87" s="181" t="s">
        <v>505</v>
      </c>
      <c r="G87" s="11" t="s">
        <v>19</v>
      </c>
      <c r="H87" s="11" t="s">
        <v>540</v>
      </c>
      <c r="K87" s="166">
        <f>1000000</f>
        <v>1000000</v>
      </c>
      <c r="L87" s="166"/>
      <c r="M87" s="170"/>
      <c r="N87" s="115"/>
      <c r="O87" s="115"/>
      <c r="P87" s="115"/>
      <c r="Q87" s="115"/>
      <c r="R87" s="115"/>
      <c r="S87" s="115"/>
      <c r="T87" s="115"/>
      <c r="U87" s="115"/>
      <c r="V87" s="115"/>
      <c r="W87" s="115"/>
    </row>
    <row r="88" spans="1:23" outlineLevel="1" x14ac:dyDescent="0.25">
      <c r="A88" s="114" t="str">
        <f t="shared" ref="A88:A94" si="25">B88&amp;D88&amp;F88&amp;G88</f>
        <v>Physical ServicesPublic WorksBurnham Street BridgeBond</v>
      </c>
      <c r="B88" s="11" t="s">
        <v>366</v>
      </c>
      <c r="C88" s="11">
        <v>36</v>
      </c>
      <c r="D88" s="11" t="s">
        <v>250</v>
      </c>
      <c r="F88" s="181" t="s">
        <v>623</v>
      </c>
      <c r="G88" s="11" t="s">
        <v>19</v>
      </c>
      <c r="H88" s="11" t="s">
        <v>540</v>
      </c>
      <c r="K88" s="166"/>
      <c r="L88" s="166"/>
      <c r="M88" s="170"/>
      <c r="N88" s="115">
        <v>1000000</v>
      </c>
      <c r="O88" s="115"/>
      <c r="P88" s="115"/>
      <c r="Q88" s="115"/>
      <c r="R88" s="115"/>
      <c r="S88" s="115"/>
      <c r="T88" s="115"/>
      <c r="U88" s="115"/>
      <c r="V88" s="115"/>
      <c r="W88" s="115"/>
    </row>
    <row r="89" spans="1:23" outlineLevel="1" x14ac:dyDescent="0.25">
      <c r="A89" s="114" t="str">
        <f t="shared" si="25"/>
        <v>Physical ServicesPublic WorksSpruce Brook BridgeBond</v>
      </c>
      <c r="B89" s="11" t="s">
        <v>366</v>
      </c>
      <c r="C89" s="11">
        <v>36</v>
      </c>
      <c r="D89" s="11" t="s">
        <v>250</v>
      </c>
      <c r="F89" s="181" t="s">
        <v>624</v>
      </c>
      <c r="G89" s="11" t="s">
        <v>19</v>
      </c>
      <c r="H89" s="11" t="s">
        <v>540</v>
      </c>
      <c r="K89" s="166"/>
      <c r="L89" s="166"/>
      <c r="M89" s="170"/>
      <c r="N89" s="115"/>
      <c r="O89" s="115">
        <f>1225000</f>
        <v>1225000</v>
      </c>
      <c r="P89" s="115"/>
      <c r="Q89" s="115"/>
      <c r="R89" s="115"/>
      <c r="S89" s="115"/>
      <c r="T89" s="115"/>
      <c r="U89" s="115"/>
      <c r="V89" s="115"/>
      <c r="W89" s="115"/>
    </row>
    <row r="90" spans="1:23" outlineLevel="1" x14ac:dyDescent="0.25">
      <c r="A90" s="114" t="str">
        <f t="shared" si="25"/>
        <v>Physical ServicesPublic WorksKensington Road BridgeGF</v>
      </c>
      <c r="B90" s="11" t="s">
        <v>366</v>
      </c>
      <c r="C90" s="11">
        <v>36</v>
      </c>
      <c r="D90" s="11" t="s">
        <v>250</v>
      </c>
      <c r="F90" s="181" t="s">
        <v>625</v>
      </c>
      <c r="G90" s="11" t="s">
        <v>16</v>
      </c>
      <c r="H90" s="11" t="s">
        <v>540</v>
      </c>
      <c r="K90" s="166"/>
      <c r="L90" s="166"/>
      <c r="M90" s="170"/>
      <c r="N90" s="201">
        <f>880800*0.5*0</f>
        <v>0</v>
      </c>
      <c r="O90" s="115"/>
      <c r="P90" s="115"/>
      <c r="Q90" s="201">
        <f>880800*0.5</f>
        <v>440400</v>
      </c>
      <c r="R90" s="115"/>
      <c r="S90" s="115"/>
      <c r="T90" s="115"/>
      <c r="U90" s="115"/>
      <c r="V90" s="115"/>
      <c r="W90" s="115"/>
    </row>
    <row r="91" spans="1:23" outlineLevel="1" x14ac:dyDescent="0.25">
      <c r="A91" s="114" t="str">
        <f t="shared" si="25"/>
        <v>Physical ServicesPublic WorksKensington Road BridgeGrants</v>
      </c>
      <c r="B91" s="11" t="s">
        <v>366</v>
      </c>
      <c r="C91" s="11">
        <v>36</v>
      </c>
      <c r="D91" s="11" t="s">
        <v>250</v>
      </c>
      <c r="F91" s="181" t="s">
        <v>625</v>
      </c>
      <c r="G91" s="11" t="s">
        <v>38</v>
      </c>
      <c r="H91" s="11" t="s">
        <v>540</v>
      </c>
      <c r="K91" s="166"/>
      <c r="L91" s="166"/>
      <c r="M91" s="170"/>
      <c r="N91" s="201">
        <f>880800*0.5*0</f>
        <v>0</v>
      </c>
      <c r="O91" s="115"/>
      <c r="P91" s="115"/>
      <c r="Q91" s="201">
        <f>880800*0.5</f>
        <v>440400</v>
      </c>
      <c r="R91" s="115"/>
      <c r="S91" s="115"/>
      <c r="T91" s="115"/>
      <c r="U91" s="115"/>
      <c r="V91" s="115"/>
      <c r="W91" s="115"/>
    </row>
    <row r="92" spans="1:23" ht="30" outlineLevel="1" x14ac:dyDescent="0.25">
      <c r="A92" s="114" t="str">
        <f t="shared" ref="A92" si="26">B92&amp;D92&amp;F92&amp;G92</f>
        <v>Physical ServicesPublic WorksEdgewood Road Bridge (engineering in FY20; construction in FY22)Grants</v>
      </c>
      <c r="B92" s="11" t="s">
        <v>366</v>
      </c>
      <c r="C92" s="11">
        <v>36</v>
      </c>
      <c r="D92" s="11" t="s">
        <v>250</v>
      </c>
      <c r="F92" s="224" t="s">
        <v>773</v>
      </c>
      <c r="G92" s="11" t="s">
        <v>38</v>
      </c>
      <c r="H92" s="11" t="s">
        <v>540</v>
      </c>
      <c r="K92" s="166"/>
      <c r="L92" s="166"/>
      <c r="M92" s="170"/>
      <c r="N92" s="166">
        <f>200000-N94</f>
        <v>100000</v>
      </c>
      <c r="O92" s="115"/>
      <c r="P92" s="115"/>
      <c r="Q92" s="166"/>
      <c r="R92" s="115"/>
      <c r="S92" s="115"/>
      <c r="T92" s="115"/>
      <c r="U92" s="115"/>
      <c r="V92" s="115"/>
      <c r="W92" s="115"/>
    </row>
    <row r="93" spans="1:23" ht="30" outlineLevel="1" x14ac:dyDescent="0.25">
      <c r="A93" s="114" t="str">
        <f t="shared" si="25"/>
        <v>Physical ServicesPublic WorksEdgewood Road Bridge (engineering in FY20; construction in FY22)GF</v>
      </c>
      <c r="B93" s="11" t="s">
        <v>366</v>
      </c>
      <c r="C93" s="11">
        <v>36</v>
      </c>
      <c r="D93" s="11" t="s">
        <v>250</v>
      </c>
      <c r="F93" s="181" t="s">
        <v>773</v>
      </c>
      <c r="G93" s="11" t="s">
        <v>16</v>
      </c>
      <c r="H93" s="11" t="s">
        <v>540</v>
      </c>
      <c r="K93" s="166"/>
      <c r="L93" s="166"/>
      <c r="M93" s="170"/>
      <c r="N93" s="166"/>
      <c r="O93" s="201">
        <f>(1695100-200000-O94)*0</f>
        <v>0</v>
      </c>
      <c r="P93" s="201">
        <f>1695100-200000-P94</f>
        <v>747550</v>
      </c>
      <c r="Q93" s="115"/>
      <c r="R93" s="115"/>
      <c r="S93" s="115"/>
      <c r="T93" s="115"/>
      <c r="U93" s="115"/>
      <c r="V93" s="115"/>
      <c r="W93" s="115"/>
    </row>
    <row r="94" spans="1:23" outlineLevel="1" x14ac:dyDescent="0.25">
      <c r="A94" s="114" t="str">
        <f t="shared" si="25"/>
        <v>Physical ServicesPublic WorksEdgewood Road BridgeGrants</v>
      </c>
      <c r="B94" s="11" t="s">
        <v>366</v>
      </c>
      <c r="C94" s="11">
        <v>36</v>
      </c>
      <c r="D94" s="11" t="s">
        <v>250</v>
      </c>
      <c r="F94" s="181" t="s">
        <v>626</v>
      </c>
      <c r="G94" s="11" t="s">
        <v>38</v>
      </c>
      <c r="H94" s="11" t="s">
        <v>540</v>
      </c>
      <c r="K94" s="166"/>
      <c r="L94" s="166"/>
      <c r="M94" s="170"/>
      <c r="N94" s="166">
        <v>100000</v>
      </c>
      <c r="O94" s="201">
        <f>(847550-N94)*0</f>
        <v>0</v>
      </c>
      <c r="P94" s="201">
        <f>847550-N94</f>
        <v>747550</v>
      </c>
      <c r="Q94" s="115"/>
      <c r="R94" s="115"/>
      <c r="S94" s="115"/>
      <c r="T94" s="115"/>
      <c r="U94" s="115"/>
      <c r="V94" s="115"/>
      <c r="W94" s="115"/>
    </row>
    <row r="95" spans="1:23" ht="45" outlineLevel="1" x14ac:dyDescent="0.25">
      <c r="A95" s="114" t="str">
        <f t="shared" si="23"/>
        <v>Physical ServicesPublic WorksBridge Preservation Work (Worthington Ridge,  Berlin Street, Wildermere Road and Heritage Drive) - ReimbursableCapital</v>
      </c>
      <c r="B95" s="11" t="s">
        <v>366</v>
      </c>
      <c r="C95" s="11">
        <v>36</v>
      </c>
      <c r="D95" s="11" t="s">
        <v>250</v>
      </c>
      <c r="F95" s="181" t="s">
        <v>770</v>
      </c>
      <c r="G95" s="11" t="s">
        <v>542</v>
      </c>
      <c r="H95" s="11" t="s">
        <v>540</v>
      </c>
      <c r="K95" s="166"/>
      <c r="L95" s="166"/>
      <c r="M95" s="170"/>
      <c r="N95" s="115">
        <f>978000*0.8</f>
        <v>782400</v>
      </c>
      <c r="O95" s="115"/>
      <c r="P95" s="115"/>
      <c r="Q95" s="115"/>
      <c r="R95" s="115"/>
      <c r="S95" s="115"/>
      <c r="T95" s="115"/>
      <c r="U95" s="115"/>
      <c r="V95" s="115"/>
      <c r="W95" s="115"/>
    </row>
    <row r="96" spans="1:23" ht="30" outlineLevel="1" x14ac:dyDescent="0.25">
      <c r="A96" s="114" t="str">
        <f t="shared" si="23"/>
        <v>Physical ServicesPublic WorksBridge Preservation Work (Worthington Ridge,  Berlin Street, Wildermere Road and Heritage Drive)Capital</v>
      </c>
      <c r="B96" s="11" t="s">
        <v>366</v>
      </c>
      <c r="C96" s="11">
        <v>36</v>
      </c>
      <c r="D96" s="11" t="s">
        <v>250</v>
      </c>
      <c r="F96" s="181" t="s">
        <v>288</v>
      </c>
      <c r="G96" s="11" t="s">
        <v>542</v>
      </c>
      <c r="H96" s="11" t="s">
        <v>540</v>
      </c>
      <c r="K96" s="166"/>
      <c r="L96" s="166"/>
      <c r="M96" s="170"/>
      <c r="N96" s="115">
        <f>978000-N95</f>
        <v>195600</v>
      </c>
      <c r="O96" s="115"/>
      <c r="P96" s="115"/>
      <c r="Q96" s="115"/>
      <c r="R96" s="115"/>
      <c r="S96" s="115"/>
      <c r="T96" s="115"/>
      <c r="U96" s="115"/>
      <c r="V96" s="115"/>
      <c r="W96" s="115"/>
    </row>
    <row r="97" spans="1:23" outlineLevel="1" x14ac:dyDescent="0.25">
      <c r="A97" s="114" t="str">
        <f t="shared" ref="A97:A98" si="27">B97&amp;D97&amp;F97&amp;G97</f>
        <v>Physical ServicesPublic WorksMain Street Streetscape II (STEAP Grant)Grants</v>
      </c>
      <c r="B97" s="11" t="s">
        <v>366</v>
      </c>
      <c r="C97" s="11">
        <v>36</v>
      </c>
      <c r="D97" s="11" t="s">
        <v>250</v>
      </c>
      <c r="F97" s="221" t="s">
        <v>767</v>
      </c>
      <c r="G97" s="11" t="s">
        <v>38</v>
      </c>
      <c r="H97" s="11" t="s">
        <v>540</v>
      </c>
      <c r="K97" s="166"/>
      <c r="L97" s="166"/>
      <c r="M97" s="170"/>
      <c r="N97" s="115">
        <v>500000</v>
      </c>
      <c r="O97" s="115"/>
      <c r="P97" s="115"/>
      <c r="Q97" s="115"/>
      <c r="R97" s="115"/>
      <c r="S97" s="115"/>
      <c r="T97" s="115"/>
      <c r="U97" s="115"/>
      <c r="V97" s="115"/>
      <c r="W97" s="115"/>
    </row>
    <row r="98" spans="1:23" outlineLevel="1" x14ac:dyDescent="0.25">
      <c r="A98" s="114" t="str">
        <f t="shared" si="27"/>
        <v>Physical ServicesPublic WorksCommunity Connectivity Grant (Sidewalk connections)Grants</v>
      </c>
      <c r="B98" s="11" t="s">
        <v>366</v>
      </c>
      <c r="C98" s="11">
        <v>36</v>
      </c>
      <c r="D98" s="11" t="s">
        <v>250</v>
      </c>
      <c r="F98" s="221" t="s">
        <v>768</v>
      </c>
      <c r="G98" s="11" t="s">
        <v>38</v>
      </c>
      <c r="H98" s="11" t="s">
        <v>540</v>
      </c>
      <c r="K98" s="166"/>
      <c r="L98" s="166"/>
      <c r="M98" s="170"/>
      <c r="N98" s="115">
        <v>387000</v>
      </c>
      <c r="O98" s="115"/>
      <c r="P98" s="115"/>
      <c r="Q98" s="115"/>
      <c r="R98" s="115"/>
      <c r="S98" s="115"/>
      <c r="T98" s="115"/>
      <c r="U98" s="115"/>
      <c r="V98" s="115"/>
      <c r="W98" s="115"/>
    </row>
    <row r="99" spans="1:23" outlineLevel="1" x14ac:dyDescent="0.25">
      <c r="A99" s="114" t="str">
        <f t="shared" ref="A99:A110" si="28">B99&amp;D99&amp;F99&amp;G99</f>
        <v>Physical ServicesPublic WorksAnnual Bridge MaintenanceGF</v>
      </c>
      <c r="B99" s="11" t="s">
        <v>366</v>
      </c>
      <c r="C99" s="11">
        <v>36</v>
      </c>
      <c r="D99" s="11" t="s">
        <v>250</v>
      </c>
      <c r="F99" s="181" t="s">
        <v>463</v>
      </c>
      <c r="G99" s="11" t="s">
        <v>16</v>
      </c>
      <c r="H99" s="11" t="s">
        <v>531</v>
      </c>
      <c r="K99" s="166"/>
      <c r="L99" s="166"/>
      <c r="M99" s="170"/>
      <c r="N99" s="166"/>
      <c r="O99" s="201">
        <v>0</v>
      </c>
      <c r="P99" s="201">
        <v>0</v>
      </c>
      <c r="Q99" s="201">
        <v>0</v>
      </c>
      <c r="R99" s="115">
        <v>250000</v>
      </c>
      <c r="S99" s="115">
        <v>250000</v>
      </c>
      <c r="T99" s="115">
        <v>250000</v>
      </c>
      <c r="U99" s="115">
        <v>250000</v>
      </c>
      <c r="V99" s="115">
        <v>250000</v>
      </c>
      <c r="W99" s="115">
        <v>250000</v>
      </c>
    </row>
    <row r="100" spans="1:23" outlineLevel="1" x14ac:dyDescent="0.25">
      <c r="A100" s="114" t="str">
        <f t="shared" si="28"/>
        <v>Physical ServicesPublic WorksTownwide Sidewalks - TARGrants</v>
      </c>
      <c r="B100" s="11" t="s">
        <v>366</v>
      </c>
      <c r="C100" s="11">
        <v>36</v>
      </c>
      <c r="D100" s="11" t="s">
        <v>250</v>
      </c>
      <c r="F100" s="181" t="s">
        <v>648</v>
      </c>
      <c r="G100" s="11" t="s">
        <v>38</v>
      </c>
      <c r="H100" s="11" t="s">
        <v>531</v>
      </c>
      <c r="K100" s="166"/>
      <c r="L100" s="166"/>
      <c r="M100" s="170"/>
      <c r="N100" s="115">
        <f>166000*2-N94-N252</f>
        <v>32000</v>
      </c>
      <c r="O100" s="115">
        <f>166000*2</f>
        <v>332000</v>
      </c>
      <c r="P100" s="115">
        <f t="shared" ref="P100:W100" si="29">O100</f>
        <v>332000</v>
      </c>
      <c r="Q100" s="115">
        <f t="shared" si="29"/>
        <v>332000</v>
      </c>
      <c r="R100" s="115">
        <f t="shared" si="29"/>
        <v>332000</v>
      </c>
      <c r="S100" s="115">
        <f t="shared" si="29"/>
        <v>332000</v>
      </c>
      <c r="T100" s="115">
        <f t="shared" si="29"/>
        <v>332000</v>
      </c>
      <c r="U100" s="115">
        <f t="shared" si="29"/>
        <v>332000</v>
      </c>
      <c r="V100" s="115">
        <f t="shared" si="29"/>
        <v>332000</v>
      </c>
      <c r="W100" s="115">
        <f t="shared" si="29"/>
        <v>332000</v>
      </c>
    </row>
    <row r="101" spans="1:23" outlineLevel="1" x14ac:dyDescent="0.25">
      <c r="A101" s="114" t="str">
        <f t="shared" ref="A101" si="30">B101&amp;D101&amp;F101&amp;G101</f>
        <v>Physical ServicesPublic WorksMain Roads Project (Porter's Pass, Deming, Masserio)Grants</v>
      </c>
      <c r="B101" s="11" t="s">
        <v>366</v>
      </c>
      <c r="C101" s="11">
        <v>36</v>
      </c>
      <c r="D101" s="11" t="s">
        <v>250</v>
      </c>
      <c r="F101" s="222" t="s">
        <v>769</v>
      </c>
      <c r="G101" s="11" t="s">
        <v>38</v>
      </c>
      <c r="H101" s="11" t="s">
        <v>540</v>
      </c>
      <c r="K101" s="166"/>
      <c r="L101" s="166"/>
      <c r="M101" s="170"/>
      <c r="N101" s="115">
        <v>2900000</v>
      </c>
      <c r="O101" s="115"/>
      <c r="P101" s="115"/>
      <c r="Q101" s="115"/>
      <c r="R101" s="115"/>
      <c r="S101" s="115"/>
      <c r="T101" s="115"/>
      <c r="U101" s="115"/>
      <c r="V101" s="115"/>
      <c r="W101" s="115"/>
    </row>
    <row r="102" spans="1:23" outlineLevel="1" x14ac:dyDescent="0.25">
      <c r="A102" s="114" t="str">
        <f t="shared" si="28"/>
        <v>Physical ServicesPublic WorksWorthington Ridge Playground Parking LotGrants</v>
      </c>
      <c r="B102" s="11" t="s">
        <v>366</v>
      </c>
      <c r="C102" s="11">
        <v>36</v>
      </c>
      <c r="D102" s="11" t="s">
        <v>250</v>
      </c>
      <c r="F102" s="181" t="s">
        <v>496</v>
      </c>
      <c r="G102" s="11" t="s">
        <v>38</v>
      </c>
      <c r="H102" s="11" t="s">
        <v>540</v>
      </c>
      <c r="I102" s="11" t="s">
        <v>639</v>
      </c>
      <c r="K102" s="166"/>
      <c r="L102" s="166"/>
      <c r="M102" s="170"/>
      <c r="N102" s="115">
        <v>30000</v>
      </c>
      <c r="O102" s="115"/>
      <c r="P102" s="115"/>
      <c r="Q102" s="115"/>
      <c r="R102" s="115"/>
      <c r="S102" s="115"/>
      <c r="T102" s="115"/>
      <c r="U102" s="115"/>
      <c r="V102" s="115"/>
      <c r="W102" s="115"/>
    </row>
    <row r="103" spans="1:23" outlineLevel="1" x14ac:dyDescent="0.25">
      <c r="A103" s="114" t="str">
        <f t="shared" si="28"/>
        <v>Physical ServicesPublic WorksDenehy Field Parking Lot - use millings (free)Capital</v>
      </c>
      <c r="B103" s="11" t="s">
        <v>366</v>
      </c>
      <c r="C103" s="11">
        <v>36</v>
      </c>
      <c r="D103" s="11" t="s">
        <v>250</v>
      </c>
      <c r="F103" s="181" t="s">
        <v>774</v>
      </c>
      <c r="G103" s="11" t="s">
        <v>542</v>
      </c>
      <c r="H103" s="11" t="s">
        <v>540</v>
      </c>
      <c r="I103" s="11" t="s">
        <v>639</v>
      </c>
      <c r="K103" s="166"/>
      <c r="L103" s="166"/>
      <c r="M103" s="170"/>
      <c r="N103" s="115">
        <v>55000</v>
      </c>
      <c r="O103" s="115"/>
      <c r="P103" s="115"/>
      <c r="Q103" s="115"/>
      <c r="R103" s="115"/>
      <c r="S103" s="115"/>
      <c r="T103" s="115"/>
      <c r="U103" s="115"/>
      <c r="V103" s="115"/>
      <c r="W103" s="115"/>
    </row>
    <row r="104" spans="1:23" outlineLevel="1" x14ac:dyDescent="0.25">
      <c r="A104" s="114" t="str">
        <f t="shared" si="28"/>
        <v>Physical ServicesPublic WorksSage Park Parking LotGF</v>
      </c>
      <c r="B104" s="11" t="s">
        <v>366</v>
      </c>
      <c r="C104" s="11">
        <v>36</v>
      </c>
      <c r="D104" s="11" t="s">
        <v>250</v>
      </c>
      <c r="F104" s="181" t="s">
        <v>650</v>
      </c>
      <c r="G104" s="11" t="s">
        <v>16</v>
      </c>
      <c r="H104" s="11" t="s">
        <v>540</v>
      </c>
      <c r="I104" s="11" t="s">
        <v>639</v>
      </c>
      <c r="K104" s="166"/>
      <c r="L104" s="166"/>
      <c r="M104" s="170"/>
      <c r="N104" s="201">
        <f>235000*0</f>
        <v>0</v>
      </c>
      <c r="O104" s="115"/>
      <c r="P104" s="115"/>
      <c r="Q104" s="201">
        <v>235000</v>
      </c>
      <c r="R104" s="115"/>
      <c r="S104" s="115"/>
      <c r="T104" s="115"/>
      <c r="U104" s="115"/>
      <c r="V104" s="115"/>
      <c r="W104" s="115"/>
    </row>
    <row r="105" spans="1:23" outlineLevel="1" x14ac:dyDescent="0.25">
      <c r="A105" s="114" t="str">
        <f t="shared" si="28"/>
        <v>Physical ServicesPublic WorksTimberlin Golf Course Parking LotGF</v>
      </c>
      <c r="B105" s="11" t="s">
        <v>366</v>
      </c>
      <c r="C105" s="11">
        <v>36</v>
      </c>
      <c r="D105" s="11" t="s">
        <v>250</v>
      </c>
      <c r="F105" s="181" t="s">
        <v>651</v>
      </c>
      <c r="G105" s="11" t="s">
        <v>16</v>
      </c>
      <c r="H105" s="11" t="s">
        <v>540</v>
      </c>
      <c r="I105" s="11" t="s">
        <v>639</v>
      </c>
      <c r="K105" s="166"/>
      <c r="L105" s="166"/>
      <c r="M105" s="170"/>
      <c r="N105" s="201">
        <f>275000*0</f>
        <v>0</v>
      </c>
      <c r="O105" s="115"/>
      <c r="P105" s="201">
        <f>275000</f>
        <v>275000</v>
      </c>
      <c r="Q105" s="115"/>
      <c r="R105" s="115"/>
      <c r="S105" s="115"/>
      <c r="T105" s="115"/>
      <c r="U105" s="115"/>
      <c r="V105" s="115"/>
      <c r="W105" s="115"/>
    </row>
    <row r="106" spans="1:23" outlineLevel="1" x14ac:dyDescent="0.25">
      <c r="A106" s="114" t="str">
        <f t="shared" si="28"/>
        <v>Physical ServicesPublic WorksTown Hall Parking LotGF</v>
      </c>
      <c r="B106" s="11" t="s">
        <v>366</v>
      </c>
      <c r="C106" s="11">
        <v>36</v>
      </c>
      <c r="D106" s="11" t="s">
        <v>250</v>
      </c>
      <c r="F106" s="181" t="s">
        <v>652</v>
      </c>
      <c r="G106" s="11" t="s">
        <v>16</v>
      </c>
      <c r="H106" s="11" t="s">
        <v>540</v>
      </c>
      <c r="I106" s="11" t="s">
        <v>639</v>
      </c>
      <c r="K106" s="166"/>
      <c r="L106" s="166"/>
      <c r="M106" s="170"/>
      <c r="N106" s="115"/>
      <c r="O106" s="201">
        <f>325000*0</f>
        <v>0</v>
      </c>
      <c r="P106" s="115"/>
      <c r="Q106" s="115"/>
      <c r="R106" s="115"/>
      <c r="S106" s="201">
        <f>325000</f>
        <v>325000</v>
      </c>
      <c r="T106" s="115"/>
      <c r="U106" s="115"/>
      <c r="V106" s="115"/>
      <c r="W106" s="115"/>
    </row>
    <row r="107" spans="1:23" outlineLevel="1" x14ac:dyDescent="0.25">
      <c r="A107" s="114" t="str">
        <f t="shared" si="28"/>
        <v>Physical ServicesPublic WorksPetit Field Parking LotGF</v>
      </c>
      <c r="B107" s="11" t="s">
        <v>366</v>
      </c>
      <c r="C107" s="11">
        <v>36</v>
      </c>
      <c r="D107" s="11" t="s">
        <v>250</v>
      </c>
      <c r="F107" s="181" t="s">
        <v>497</v>
      </c>
      <c r="G107" s="11" t="s">
        <v>16</v>
      </c>
      <c r="H107" s="11" t="s">
        <v>540</v>
      </c>
      <c r="I107" s="11" t="s">
        <v>639</v>
      </c>
      <c r="K107" s="166"/>
      <c r="L107" s="166"/>
      <c r="M107" s="170"/>
      <c r="N107" s="115"/>
      <c r="O107" s="115"/>
      <c r="P107" s="115"/>
      <c r="Q107" s="115"/>
      <c r="R107" s="115">
        <v>60000</v>
      </c>
      <c r="S107" s="115"/>
      <c r="T107" s="115"/>
      <c r="U107" s="115"/>
      <c r="V107" s="115"/>
      <c r="W107" s="115"/>
    </row>
    <row r="108" spans="1:23" outlineLevel="1" x14ac:dyDescent="0.25">
      <c r="A108" s="114" t="str">
        <f t="shared" si="28"/>
        <v>Physical ServicesPublic WorksPercival Field/Pool Parking LotGF</v>
      </c>
      <c r="B108" s="11" t="s">
        <v>366</v>
      </c>
      <c r="C108" s="11">
        <v>36</v>
      </c>
      <c r="D108" s="11" t="s">
        <v>250</v>
      </c>
      <c r="F108" s="181" t="s">
        <v>498</v>
      </c>
      <c r="G108" s="11" t="s">
        <v>16</v>
      </c>
      <c r="H108" s="11" t="s">
        <v>540</v>
      </c>
      <c r="I108" s="11" t="s">
        <v>639</v>
      </c>
      <c r="K108" s="166"/>
      <c r="L108" s="166"/>
      <c r="M108" s="170"/>
      <c r="N108" s="115"/>
      <c r="O108" s="115"/>
      <c r="P108" s="115"/>
      <c r="Q108" s="115"/>
      <c r="R108" s="115"/>
      <c r="S108" s="115"/>
      <c r="T108" s="115"/>
      <c r="U108" s="115">
        <v>100000</v>
      </c>
      <c r="V108" s="115"/>
      <c r="W108" s="115"/>
    </row>
    <row r="109" spans="1:23" outlineLevel="1" x14ac:dyDescent="0.25">
      <c r="A109" s="114" t="str">
        <f t="shared" si="28"/>
        <v>Physical ServicesPublic WorksPistol Creek Parking LotGF</v>
      </c>
      <c r="B109" s="11" t="s">
        <v>366</v>
      </c>
      <c r="C109" s="11">
        <v>36</v>
      </c>
      <c r="D109" s="11" t="s">
        <v>250</v>
      </c>
      <c r="F109" s="181" t="s">
        <v>499</v>
      </c>
      <c r="G109" s="11" t="s">
        <v>16</v>
      </c>
      <c r="H109" s="11" t="s">
        <v>540</v>
      </c>
      <c r="I109" s="11" t="s">
        <v>639</v>
      </c>
      <c r="K109" s="166"/>
      <c r="L109" s="166"/>
      <c r="M109" s="170"/>
      <c r="N109" s="115"/>
      <c r="O109" s="115"/>
      <c r="P109" s="115"/>
      <c r="Q109" s="115"/>
      <c r="R109" s="115"/>
      <c r="S109" s="115"/>
      <c r="T109" s="115"/>
      <c r="U109" s="115"/>
      <c r="V109" s="115">
        <v>140000</v>
      </c>
      <c r="W109" s="115"/>
    </row>
    <row r="110" spans="1:23" outlineLevel="1" x14ac:dyDescent="0.25">
      <c r="A110" s="114" t="str">
        <f t="shared" si="28"/>
        <v>Physical ServicesPublic WorksVeterans Park Parking LotGF</v>
      </c>
      <c r="B110" s="11" t="s">
        <v>366</v>
      </c>
      <c r="C110" s="11">
        <v>36</v>
      </c>
      <c r="D110" s="11" t="s">
        <v>250</v>
      </c>
      <c r="F110" s="181" t="s">
        <v>500</v>
      </c>
      <c r="G110" s="11" t="s">
        <v>16</v>
      </c>
      <c r="H110" s="11" t="s">
        <v>540</v>
      </c>
      <c r="I110" s="11" t="s">
        <v>639</v>
      </c>
      <c r="K110" s="166"/>
      <c r="L110" s="166"/>
      <c r="M110" s="170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>
        <v>35000</v>
      </c>
    </row>
    <row r="111" spans="1:23" outlineLevel="1" x14ac:dyDescent="0.25">
      <c r="A111" s="114" t="str">
        <f t="shared" si="23"/>
        <v>Physical ServicesPublic WorksRecycling Center ImprovementsGrants</v>
      </c>
      <c r="B111" s="11" t="s">
        <v>366</v>
      </c>
      <c r="C111" s="11">
        <v>36</v>
      </c>
      <c r="D111" s="11" t="s">
        <v>250</v>
      </c>
      <c r="F111" s="181" t="s">
        <v>178</v>
      </c>
      <c r="G111" s="11" t="s">
        <v>38</v>
      </c>
      <c r="H111" s="11" t="s">
        <v>540</v>
      </c>
      <c r="K111" s="166">
        <v>15000</v>
      </c>
      <c r="L111" s="166"/>
      <c r="M111" s="170"/>
      <c r="N111" s="115"/>
      <c r="O111" s="115"/>
      <c r="P111" s="115"/>
      <c r="Q111" s="115"/>
      <c r="R111" s="115"/>
      <c r="S111" s="115"/>
      <c r="T111" s="115"/>
      <c r="U111" s="115"/>
    </row>
    <row r="112" spans="1:23" outlineLevel="1" x14ac:dyDescent="0.25">
      <c r="A112" s="114" t="str">
        <f t="shared" si="23"/>
        <v>Physical ServicesPublic WorksRecycling Center ImprovementsGF</v>
      </c>
      <c r="B112" s="11" t="s">
        <v>366</v>
      </c>
      <c r="C112" s="11">
        <v>36</v>
      </c>
      <c r="D112" s="11" t="s">
        <v>250</v>
      </c>
      <c r="F112" s="181" t="s">
        <v>178</v>
      </c>
      <c r="G112" s="11" t="s">
        <v>16</v>
      </c>
      <c r="H112" s="11" t="s">
        <v>540</v>
      </c>
      <c r="K112" s="166"/>
      <c r="L112" s="166">
        <v>50000</v>
      </c>
      <c r="M112" s="170"/>
      <c r="N112" s="115"/>
      <c r="O112" s="115"/>
      <c r="P112" s="115"/>
      <c r="Q112" s="115"/>
      <c r="R112" s="115"/>
      <c r="S112" s="115"/>
      <c r="T112" s="115"/>
      <c r="U112" s="115"/>
    </row>
    <row r="113" spans="1:23" outlineLevel="1" x14ac:dyDescent="0.25">
      <c r="A113" s="114" t="str">
        <f t="shared" si="23"/>
        <v>Physical ServicesPublic WorksStormwater ManagementGF</v>
      </c>
      <c r="B113" s="11" t="s">
        <v>366</v>
      </c>
      <c r="C113" s="11">
        <v>36</v>
      </c>
      <c r="D113" s="11" t="s">
        <v>250</v>
      </c>
      <c r="F113" s="181" t="s">
        <v>322</v>
      </c>
      <c r="G113" s="11" t="s">
        <v>16</v>
      </c>
      <c r="H113" s="11" t="s">
        <v>540</v>
      </c>
      <c r="K113" s="166">
        <v>1717</v>
      </c>
      <c r="L113" s="166"/>
      <c r="M113" s="170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</row>
    <row r="114" spans="1:23" outlineLevel="1" x14ac:dyDescent="0.25">
      <c r="A114" s="114" t="str">
        <f t="shared" si="23"/>
        <v>Physical ServicesPublic WorksMUTCD SignsGrants</v>
      </c>
      <c r="B114" s="11" t="s">
        <v>366</v>
      </c>
      <c r="C114" s="11">
        <v>36</v>
      </c>
      <c r="D114" s="11" t="s">
        <v>250</v>
      </c>
      <c r="F114" s="181" t="s">
        <v>506</v>
      </c>
      <c r="G114" s="11" t="s">
        <v>38</v>
      </c>
      <c r="H114" s="11" t="s">
        <v>540</v>
      </c>
      <c r="K114" s="166">
        <v>20000</v>
      </c>
      <c r="L114" s="166"/>
      <c r="M114" s="170"/>
      <c r="N114" s="166"/>
      <c r="O114" s="166"/>
      <c r="P114" s="166"/>
      <c r="Q114" s="166"/>
      <c r="R114" s="166"/>
      <c r="S114" s="166"/>
      <c r="T114" s="166"/>
      <c r="U114" s="166"/>
      <c r="V114" s="124"/>
      <c r="W114" s="124"/>
    </row>
    <row r="115" spans="1:23" outlineLevel="1" x14ac:dyDescent="0.25">
      <c r="K115" s="124"/>
      <c r="L115" s="164"/>
      <c r="M115" s="168"/>
    </row>
    <row r="116" spans="1:23" s="124" customFormat="1" ht="15.75" outlineLevel="1" thickBot="1" x14ac:dyDescent="0.3">
      <c r="B116" s="123"/>
      <c r="C116" s="123"/>
      <c r="D116" s="123"/>
      <c r="F116" s="185"/>
      <c r="G116" s="123"/>
      <c r="H116" s="123"/>
      <c r="I116" s="123"/>
      <c r="K116" s="165">
        <f t="shared" ref="K116:W116" si="31">SUM(K83:K114)</f>
        <v>1036717</v>
      </c>
      <c r="L116" s="165">
        <f t="shared" si="31"/>
        <v>1050000</v>
      </c>
      <c r="M116" s="169"/>
      <c r="N116" s="165">
        <f t="shared" si="31"/>
        <v>6582000</v>
      </c>
      <c r="O116" s="165">
        <f t="shared" si="31"/>
        <v>1557000</v>
      </c>
      <c r="P116" s="165">
        <f t="shared" si="31"/>
        <v>2102100</v>
      </c>
      <c r="Q116" s="165">
        <f t="shared" si="31"/>
        <v>1547800</v>
      </c>
      <c r="R116" s="165">
        <f t="shared" si="31"/>
        <v>642000</v>
      </c>
      <c r="S116" s="165">
        <f t="shared" si="31"/>
        <v>907000</v>
      </c>
      <c r="T116" s="165">
        <f t="shared" si="31"/>
        <v>582000</v>
      </c>
      <c r="U116" s="165">
        <f t="shared" si="31"/>
        <v>682000</v>
      </c>
      <c r="V116" s="165">
        <f t="shared" si="31"/>
        <v>722000</v>
      </c>
      <c r="W116" s="165">
        <f t="shared" si="31"/>
        <v>617000</v>
      </c>
    </row>
    <row r="117" spans="1:23" s="124" customFormat="1" ht="15.75" thickTop="1" x14ac:dyDescent="0.25">
      <c r="B117" s="123"/>
      <c r="C117" s="123"/>
      <c r="D117" s="123"/>
      <c r="F117" s="185"/>
      <c r="G117" s="123"/>
      <c r="H117" s="123"/>
      <c r="I117" s="123"/>
      <c r="K117" s="166"/>
      <c r="L117" s="166"/>
      <c r="M117" s="170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</row>
    <row r="118" spans="1:23" outlineLevel="1" x14ac:dyDescent="0.25">
      <c r="A118" s="114" t="str">
        <f t="shared" ref="A118:A137" si="32">B118&amp;D118&amp;F118&amp;G118</f>
        <v>Physical ServicesHighwayRoadsBond</v>
      </c>
      <c r="B118" s="11" t="s">
        <v>366</v>
      </c>
      <c r="C118" s="11">
        <v>37</v>
      </c>
      <c r="D118" s="11" t="s">
        <v>464</v>
      </c>
      <c r="F118" s="181" t="s">
        <v>52</v>
      </c>
      <c r="G118" s="11" t="s">
        <v>19</v>
      </c>
      <c r="H118" s="11" t="s">
        <v>531</v>
      </c>
      <c r="K118" s="166">
        <v>1050000</v>
      </c>
      <c r="L118" s="166"/>
      <c r="M118" s="170"/>
      <c r="N118" s="115"/>
    </row>
    <row r="119" spans="1:23" outlineLevel="1" x14ac:dyDescent="0.25">
      <c r="A119" s="114" t="str">
        <f t="shared" ref="A119" si="33">B119&amp;D119&amp;F119&amp;G119</f>
        <v>Physical ServicesHighwayRoadsBAN</v>
      </c>
      <c r="B119" s="11" t="s">
        <v>366</v>
      </c>
      <c r="C119" s="11">
        <v>37</v>
      </c>
      <c r="D119" s="11" t="s">
        <v>464</v>
      </c>
      <c r="F119" s="181" t="s">
        <v>52</v>
      </c>
      <c r="G119" s="11" t="s">
        <v>13</v>
      </c>
      <c r="H119" s="11" t="s">
        <v>531</v>
      </c>
      <c r="K119" s="166"/>
      <c r="L119" s="166">
        <v>1800000</v>
      </c>
      <c r="M119" s="170"/>
      <c r="N119" s="115"/>
    </row>
    <row r="120" spans="1:23" outlineLevel="1" x14ac:dyDescent="0.25">
      <c r="A120" s="114" t="str">
        <f>B120&amp;D120&amp;F120&amp;G120</f>
        <v>Physical ServicesHighwayRoadsGF</v>
      </c>
      <c r="B120" s="11" t="s">
        <v>366</v>
      </c>
      <c r="C120" s="11">
        <v>37</v>
      </c>
      <c r="D120" s="11" t="s">
        <v>464</v>
      </c>
      <c r="F120" s="181" t="s">
        <v>52</v>
      </c>
      <c r="G120" s="11" t="s">
        <v>16</v>
      </c>
      <c r="H120" s="11" t="s">
        <v>531</v>
      </c>
      <c r="K120" s="124"/>
      <c r="L120" s="124"/>
      <c r="M120" s="162"/>
      <c r="N120" s="115"/>
      <c r="O120" s="201">
        <f>(1500000-O121)/2</f>
        <v>357000</v>
      </c>
      <c r="P120" s="201">
        <f t="shared" ref="P120:W120" si="34">(1500000-P121)/2</f>
        <v>357000</v>
      </c>
      <c r="Q120" s="201">
        <f t="shared" si="34"/>
        <v>357000</v>
      </c>
      <c r="R120" s="201">
        <f t="shared" si="34"/>
        <v>357000</v>
      </c>
      <c r="S120" s="201">
        <f t="shared" si="34"/>
        <v>357000</v>
      </c>
      <c r="T120" s="201">
        <f t="shared" si="34"/>
        <v>357000</v>
      </c>
      <c r="U120" s="201">
        <f t="shared" si="34"/>
        <v>357000</v>
      </c>
      <c r="V120" s="201">
        <f t="shared" si="34"/>
        <v>357000</v>
      </c>
      <c r="W120" s="201">
        <f t="shared" si="34"/>
        <v>357000</v>
      </c>
    </row>
    <row r="121" spans="1:23" outlineLevel="1" x14ac:dyDescent="0.25">
      <c r="A121" s="114" t="str">
        <f t="shared" si="32"/>
        <v>Physical ServicesHighwayRoadsGrants</v>
      </c>
      <c r="B121" s="11" t="s">
        <v>366</v>
      </c>
      <c r="C121" s="11">
        <v>37</v>
      </c>
      <c r="D121" s="11" t="s">
        <v>464</v>
      </c>
      <c r="F121" s="181" t="s">
        <v>52</v>
      </c>
      <c r="G121" s="11" t="s">
        <v>38</v>
      </c>
      <c r="H121" s="11" t="s">
        <v>531</v>
      </c>
      <c r="K121" s="166"/>
      <c r="L121" s="166"/>
      <c r="M121" s="170"/>
      <c r="N121" s="115">
        <v>786000</v>
      </c>
      <c r="O121" s="115">
        <v>786000</v>
      </c>
      <c r="P121" s="115">
        <v>786000</v>
      </c>
      <c r="Q121" s="115">
        <v>786000</v>
      </c>
      <c r="R121" s="115">
        <v>786000</v>
      </c>
      <c r="S121" s="115">
        <v>786000</v>
      </c>
      <c r="T121" s="115">
        <v>786000</v>
      </c>
      <c r="U121" s="115">
        <v>786000</v>
      </c>
      <c r="V121" s="115">
        <v>786000</v>
      </c>
      <c r="W121" s="115">
        <v>786000</v>
      </c>
    </row>
    <row r="122" spans="1:23" outlineLevel="1" x14ac:dyDescent="0.25">
      <c r="A122" s="114" t="str">
        <f t="shared" si="32"/>
        <v>Physical ServicesHighwayLarge dump trucksGF</v>
      </c>
      <c r="B122" s="11" t="s">
        <v>366</v>
      </c>
      <c r="C122" s="11">
        <v>37</v>
      </c>
      <c r="D122" s="11" t="s">
        <v>464</v>
      </c>
      <c r="F122" s="181" t="s">
        <v>466</v>
      </c>
      <c r="G122" s="11" t="s">
        <v>16</v>
      </c>
      <c r="H122" s="11" t="s">
        <v>531</v>
      </c>
      <c r="I122" s="11" t="s">
        <v>639</v>
      </c>
      <c r="K122" s="166"/>
      <c r="L122" s="166">
        <v>200000</v>
      </c>
      <c r="M122" s="170"/>
      <c r="N122" s="166">
        <v>0</v>
      </c>
      <c r="O122" s="166">
        <v>0</v>
      </c>
      <c r="P122" s="166">
        <v>200000</v>
      </c>
      <c r="Q122" s="166">
        <v>200000</v>
      </c>
      <c r="R122" s="166">
        <v>200000</v>
      </c>
      <c r="S122" s="166">
        <v>200000</v>
      </c>
      <c r="T122" s="166">
        <v>200000</v>
      </c>
      <c r="U122" s="166">
        <v>200000</v>
      </c>
      <c r="V122" s="166">
        <v>200000</v>
      </c>
      <c r="W122" s="166">
        <v>200000</v>
      </c>
    </row>
    <row r="123" spans="1:23" outlineLevel="1" x14ac:dyDescent="0.25">
      <c r="A123" s="114" t="str">
        <f>B123&amp;D123&amp;F123&amp;G123</f>
        <v>Physical ServicesHighwayLarge dump trucksGrants</v>
      </c>
      <c r="B123" s="11" t="s">
        <v>366</v>
      </c>
      <c r="C123" s="11">
        <v>37</v>
      </c>
      <c r="D123" s="11" t="s">
        <v>464</v>
      </c>
      <c r="F123" s="181" t="s">
        <v>466</v>
      </c>
      <c r="G123" s="11" t="s">
        <v>38</v>
      </c>
      <c r="H123" s="11" t="s">
        <v>540</v>
      </c>
      <c r="I123" s="11" t="s">
        <v>639</v>
      </c>
      <c r="K123" s="166">
        <v>102500</v>
      </c>
      <c r="L123" s="166"/>
      <c r="M123" s="170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</row>
    <row r="124" spans="1:23" outlineLevel="1" x14ac:dyDescent="0.25">
      <c r="A124" s="114" t="str">
        <f t="shared" ref="A124" si="35">B124&amp;D124&amp;F124&amp;G124</f>
        <v>Physical ServicesHighwayLarge dump trucks (lease 3 trucks)BAN</v>
      </c>
      <c r="B124" s="11" t="s">
        <v>366</v>
      </c>
      <c r="C124" s="11">
        <v>37</v>
      </c>
      <c r="D124" s="11" t="s">
        <v>464</v>
      </c>
      <c r="F124" s="181" t="s">
        <v>601</v>
      </c>
      <c r="G124" s="11" t="s">
        <v>13</v>
      </c>
      <c r="H124" s="11" t="s">
        <v>540</v>
      </c>
      <c r="I124" s="11" t="s">
        <v>639</v>
      </c>
      <c r="K124" s="166"/>
      <c r="L124" s="166">
        <v>310000</v>
      </c>
      <c r="M124" s="170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</row>
    <row r="125" spans="1:23" outlineLevel="1" x14ac:dyDescent="0.25">
      <c r="A125" s="114" t="str">
        <f t="shared" si="32"/>
        <v>Physical ServicesHighwaySmall dump truckGF</v>
      </c>
      <c r="B125" s="11" t="s">
        <v>366</v>
      </c>
      <c r="C125" s="11">
        <v>37</v>
      </c>
      <c r="D125" s="11" t="s">
        <v>464</v>
      </c>
      <c r="F125" s="181" t="s">
        <v>467</v>
      </c>
      <c r="G125" s="11" t="s">
        <v>16</v>
      </c>
      <c r="H125" s="11" t="s">
        <v>540</v>
      </c>
      <c r="I125" s="11" t="s">
        <v>645</v>
      </c>
      <c r="K125" s="166"/>
      <c r="L125" s="166"/>
      <c r="M125" s="170"/>
      <c r="N125" s="115"/>
      <c r="O125" s="115"/>
      <c r="P125" s="115">
        <v>86097</v>
      </c>
      <c r="Q125" s="115"/>
      <c r="R125" s="115"/>
      <c r="S125" s="115"/>
      <c r="T125" s="115"/>
      <c r="U125" s="115"/>
      <c r="V125" s="115">
        <v>99847</v>
      </c>
      <c r="W125" s="115"/>
    </row>
    <row r="126" spans="1:23" outlineLevel="1" x14ac:dyDescent="0.25">
      <c r="A126" s="114" t="str">
        <f t="shared" si="32"/>
        <v>Physical ServicesHighwayFront End LoaderGF</v>
      </c>
      <c r="B126" s="11" t="s">
        <v>366</v>
      </c>
      <c r="C126" s="11">
        <v>37</v>
      </c>
      <c r="D126" s="11" t="s">
        <v>464</v>
      </c>
      <c r="F126" s="181" t="s">
        <v>468</v>
      </c>
      <c r="G126" s="11" t="s">
        <v>16</v>
      </c>
      <c r="H126" s="11" t="s">
        <v>540</v>
      </c>
      <c r="I126" s="11" t="s">
        <v>645</v>
      </c>
      <c r="K126" s="166"/>
      <c r="L126" s="166"/>
      <c r="M126" s="170"/>
      <c r="N126" s="115"/>
      <c r="O126" s="115">
        <v>110000</v>
      </c>
      <c r="P126" s="115"/>
      <c r="Q126" s="115"/>
      <c r="R126" s="115"/>
      <c r="S126" s="115"/>
      <c r="T126" s="115"/>
      <c r="U126" s="115"/>
      <c r="V126" s="115"/>
      <c r="W126" s="115"/>
    </row>
    <row r="127" spans="1:23" outlineLevel="1" x14ac:dyDescent="0.25">
      <c r="A127" s="114" t="str">
        <f t="shared" si="32"/>
        <v>Physical ServicesHighwayWood ChipperGF</v>
      </c>
      <c r="B127" s="11" t="s">
        <v>366</v>
      </c>
      <c r="C127" s="11">
        <v>37</v>
      </c>
      <c r="D127" s="11" t="s">
        <v>464</v>
      </c>
      <c r="F127" s="181" t="s">
        <v>529</v>
      </c>
      <c r="G127" s="11" t="s">
        <v>16</v>
      </c>
      <c r="H127" s="11" t="s">
        <v>540</v>
      </c>
      <c r="I127" s="11" t="s">
        <v>639</v>
      </c>
      <c r="K127" s="124"/>
      <c r="L127" s="124"/>
      <c r="M127" s="162"/>
      <c r="N127" s="201">
        <f>60000*0</f>
        <v>0</v>
      </c>
      <c r="O127" s="166"/>
      <c r="P127" s="115"/>
      <c r="Q127" s="201">
        <f>60000</f>
        <v>60000</v>
      </c>
      <c r="R127" s="115"/>
      <c r="S127" s="115"/>
      <c r="T127" s="115"/>
      <c r="U127" s="115"/>
      <c r="V127" s="115"/>
      <c r="W127" s="115"/>
    </row>
    <row r="128" spans="1:23" outlineLevel="1" x14ac:dyDescent="0.25">
      <c r="A128" s="114" t="str">
        <f t="shared" si="32"/>
        <v>Physical ServicesHighwayFlatbed Truck with power lift tailgateGF</v>
      </c>
      <c r="B128" s="11" t="s">
        <v>366</v>
      </c>
      <c r="C128" s="11">
        <v>37</v>
      </c>
      <c r="D128" s="11" t="s">
        <v>464</v>
      </c>
      <c r="F128" s="181" t="s">
        <v>653</v>
      </c>
      <c r="G128" s="11" t="s">
        <v>16</v>
      </c>
      <c r="H128" s="11" t="s">
        <v>540</v>
      </c>
      <c r="I128" s="11" t="s">
        <v>645</v>
      </c>
      <c r="K128" s="124"/>
      <c r="L128" s="124"/>
      <c r="M128" s="162"/>
      <c r="N128" s="115">
        <f>70000-25000</f>
        <v>45000</v>
      </c>
      <c r="O128" s="115"/>
      <c r="P128" s="115"/>
      <c r="Q128" s="115"/>
      <c r="R128" s="115"/>
      <c r="S128" s="115"/>
      <c r="T128" s="115"/>
      <c r="U128" s="115"/>
      <c r="V128" s="115"/>
      <c r="W128" s="115"/>
    </row>
    <row r="129" spans="1:24" outlineLevel="1" x14ac:dyDescent="0.25">
      <c r="A129" s="114" t="str">
        <f t="shared" si="32"/>
        <v>Physical ServicesHighway250/350 dump trucks - delay purchase 1 yr from requestedGF</v>
      </c>
      <c r="B129" s="11" t="s">
        <v>366</v>
      </c>
      <c r="C129" s="11">
        <v>37</v>
      </c>
      <c r="D129" s="11" t="s">
        <v>464</v>
      </c>
      <c r="F129" s="181" t="s">
        <v>775</v>
      </c>
      <c r="G129" s="11" t="s">
        <v>16</v>
      </c>
      <c r="H129" s="11" t="s">
        <v>540</v>
      </c>
      <c r="I129" s="11" t="s">
        <v>645</v>
      </c>
      <c r="K129" s="166"/>
      <c r="L129" s="166"/>
      <c r="M129" s="170"/>
      <c r="N129" s="115"/>
      <c r="O129" s="115"/>
      <c r="P129" s="201">
        <v>42025</v>
      </c>
      <c r="Q129" s="201">
        <v>38633</v>
      </c>
      <c r="R129" s="201">
        <v>50913</v>
      </c>
      <c r="S129" s="115"/>
      <c r="T129" s="115"/>
      <c r="U129" s="115"/>
      <c r="V129" s="115"/>
      <c r="W129" s="115"/>
    </row>
    <row r="130" spans="1:24" outlineLevel="1" x14ac:dyDescent="0.25">
      <c r="A130" s="114" t="str">
        <f t="shared" si="32"/>
        <v>Physical ServicesHighwayAsphalt UploaderGF</v>
      </c>
      <c r="B130" s="11" t="s">
        <v>366</v>
      </c>
      <c r="C130" s="11">
        <v>37</v>
      </c>
      <c r="D130" s="11" t="s">
        <v>464</v>
      </c>
      <c r="F130" s="181" t="s">
        <v>469</v>
      </c>
      <c r="G130" s="11" t="s">
        <v>16</v>
      </c>
      <c r="H130" s="11" t="s">
        <v>540</v>
      </c>
      <c r="I130" s="11" t="s">
        <v>639</v>
      </c>
      <c r="K130" s="166"/>
      <c r="L130" s="166"/>
      <c r="M130" s="170"/>
      <c r="N130" s="201">
        <f>15000*0</f>
        <v>0</v>
      </c>
      <c r="O130" s="201">
        <f>15000</f>
        <v>15000</v>
      </c>
      <c r="P130" s="115"/>
      <c r="Q130" s="115"/>
      <c r="R130" s="115"/>
      <c r="S130" s="115"/>
      <c r="T130" s="115"/>
      <c r="U130" s="115"/>
      <c r="V130" s="115"/>
      <c r="W130" s="115"/>
    </row>
    <row r="131" spans="1:24" outlineLevel="1" x14ac:dyDescent="0.25">
      <c r="A131" s="114" t="str">
        <f t="shared" si="32"/>
        <v>Physical ServicesHighwayLoader - pay for over 2 yrsGF</v>
      </c>
      <c r="B131" s="11" t="s">
        <v>366</v>
      </c>
      <c r="C131" s="11">
        <v>37</v>
      </c>
      <c r="D131" s="11" t="s">
        <v>464</v>
      </c>
      <c r="F131" s="181" t="s">
        <v>778</v>
      </c>
      <c r="G131" s="11" t="s">
        <v>16</v>
      </c>
      <c r="H131" s="11" t="s">
        <v>540</v>
      </c>
      <c r="I131" s="11" t="s">
        <v>639</v>
      </c>
      <c r="K131" s="166"/>
      <c r="L131" s="166"/>
      <c r="M131" s="170"/>
      <c r="N131" s="115"/>
      <c r="O131" s="115"/>
      <c r="P131" s="201">
        <f>150000/2</f>
        <v>75000</v>
      </c>
      <c r="Q131" s="201">
        <f>150000/2</f>
        <v>75000</v>
      </c>
      <c r="R131" s="115"/>
      <c r="S131" s="115"/>
      <c r="T131" s="115"/>
      <c r="U131" s="115"/>
      <c r="V131" s="115"/>
      <c r="W131" s="115"/>
    </row>
    <row r="132" spans="1:24" outlineLevel="1" x14ac:dyDescent="0.25">
      <c r="A132" s="114" t="str">
        <f t="shared" si="32"/>
        <v>Physical ServicesHighwayTractor - pay for over 2 yrsGF</v>
      </c>
      <c r="B132" s="11" t="s">
        <v>366</v>
      </c>
      <c r="C132" s="11">
        <v>37</v>
      </c>
      <c r="D132" s="11" t="s">
        <v>464</v>
      </c>
      <c r="F132" s="181" t="s">
        <v>779</v>
      </c>
      <c r="G132" s="11" t="s">
        <v>16</v>
      </c>
      <c r="H132" s="11" t="s">
        <v>540</v>
      </c>
      <c r="I132" s="11" t="s">
        <v>639</v>
      </c>
      <c r="K132" s="166"/>
      <c r="L132" s="166"/>
      <c r="M132" s="170"/>
      <c r="N132" s="115"/>
      <c r="O132" s="115"/>
      <c r="P132" s="201">
        <f>120000/2</f>
        <v>60000</v>
      </c>
      <c r="Q132" s="201">
        <f>120000/2</f>
        <v>60000</v>
      </c>
      <c r="R132" s="115"/>
      <c r="S132" s="115"/>
      <c r="T132" s="115"/>
      <c r="U132" s="115"/>
      <c r="V132" s="115"/>
      <c r="W132" s="115"/>
    </row>
    <row r="133" spans="1:24" outlineLevel="1" x14ac:dyDescent="0.25">
      <c r="A133" s="114" t="str">
        <f t="shared" si="32"/>
        <v>Physical ServicesHighwayPaving Box - pay for over 2 yrsGF</v>
      </c>
      <c r="B133" s="11" t="s">
        <v>366</v>
      </c>
      <c r="C133" s="11">
        <v>37</v>
      </c>
      <c r="D133" s="11" t="s">
        <v>464</v>
      </c>
      <c r="F133" s="181" t="s">
        <v>780</v>
      </c>
      <c r="G133" s="11" t="s">
        <v>16</v>
      </c>
      <c r="H133" s="11" t="s">
        <v>540</v>
      </c>
      <c r="I133" s="11" t="s">
        <v>639</v>
      </c>
      <c r="K133" s="166"/>
      <c r="L133" s="166"/>
      <c r="M133" s="170"/>
      <c r="N133" s="115"/>
      <c r="O133" s="115"/>
      <c r="P133" s="201">
        <f>100000/2</f>
        <v>50000</v>
      </c>
      <c r="Q133" s="201">
        <f>100000/2</f>
        <v>50000</v>
      </c>
      <c r="R133" s="115"/>
      <c r="S133" s="115"/>
      <c r="T133" s="115"/>
      <c r="U133" s="115"/>
      <c r="V133" s="115"/>
      <c r="W133" s="115"/>
    </row>
    <row r="134" spans="1:24" outlineLevel="1" x14ac:dyDescent="0.25">
      <c r="A134" s="114" t="str">
        <f t="shared" si="32"/>
        <v>Physical ServicesHighwayRack BodyGF</v>
      </c>
      <c r="B134" s="11" t="s">
        <v>366</v>
      </c>
      <c r="C134" s="11">
        <v>37</v>
      </c>
      <c r="D134" s="11" t="s">
        <v>464</v>
      </c>
      <c r="F134" s="181" t="s">
        <v>470</v>
      </c>
      <c r="G134" s="11" t="s">
        <v>16</v>
      </c>
      <c r="H134" s="11" t="s">
        <v>540</v>
      </c>
      <c r="I134" s="11" t="s">
        <v>639</v>
      </c>
      <c r="K134" s="166"/>
      <c r="L134" s="166"/>
      <c r="M134" s="170"/>
      <c r="N134" s="115"/>
      <c r="O134" s="115"/>
      <c r="P134" s="115"/>
      <c r="Q134" s="115">
        <v>50000</v>
      </c>
      <c r="R134" s="115"/>
      <c r="S134" s="115"/>
      <c r="T134" s="115"/>
      <c r="U134" s="115"/>
      <c r="V134" s="115"/>
      <c r="W134" s="115"/>
    </row>
    <row r="135" spans="1:24" outlineLevel="1" x14ac:dyDescent="0.25">
      <c r="A135" s="114" t="str">
        <f t="shared" si="32"/>
        <v>Physical ServicesHighwayPickup TruckGF</v>
      </c>
      <c r="B135" s="11" t="s">
        <v>366</v>
      </c>
      <c r="C135" s="11">
        <v>37</v>
      </c>
      <c r="D135" s="11" t="s">
        <v>464</v>
      </c>
      <c r="F135" s="181" t="s">
        <v>471</v>
      </c>
      <c r="G135" s="11" t="s">
        <v>16</v>
      </c>
      <c r="H135" s="11" t="s">
        <v>540</v>
      </c>
      <c r="I135" s="11" t="s">
        <v>645</v>
      </c>
      <c r="K135" s="166"/>
      <c r="L135" s="166"/>
      <c r="M135" s="170"/>
      <c r="N135" s="115"/>
      <c r="O135" s="115"/>
      <c r="P135" s="115"/>
      <c r="Q135" s="115">
        <v>40000</v>
      </c>
      <c r="R135" s="115"/>
      <c r="S135" s="115"/>
      <c r="T135" s="115"/>
      <c r="U135" s="115"/>
      <c r="V135" s="115"/>
      <c r="W135" s="115">
        <v>50000</v>
      </c>
    </row>
    <row r="136" spans="1:24" outlineLevel="1" x14ac:dyDescent="0.25">
      <c r="A136" s="114" t="str">
        <f t="shared" si="32"/>
        <v>Physical ServicesHighwayRollerGF</v>
      </c>
      <c r="B136" s="11" t="s">
        <v>366</v>
      </c>
      <c r="C136" s="11">
        <v>37</v>
      </c>
      <c r="D136" s="11" t="s">
        <v>464</v>
      </c>
      <c r="F136" s="181" t="s">
        <v>32</v>
      </c>
      <c r="G136" s="11" t="s">
        <v>16</v>
      </c>
      <c r="H136" s="11" t="s">
        <v>540</v>
      </c>
      <c r="I136" s="11" t="s">
        <v>639</v>
      </c>
      <c r="K136" s="166"/>
      <c r="L136" s="166"/>
      <c r="M136" s="170"/>
      <c r="N136" s="115"/>
      <c r="O136" s="115"/>
      <c r="P136" s="115"/>
      <c r="Q136" s="115"/>
      <c r="R136" s="115">
        <v>45000</v>
      </c>
      <c r="S136" s="115"/>
      <c r="T136" s="115"/>
      <c r="U136" s="115"/>
      <c r="V136" s="115"/>
      <c r="W136" s="115"/>
    </row>
    <row r="137" spans="1:24" outlineLevel="1" x14ac:dyDescent="0.25">
      <c r="A137" s="114" t="str">
        <f t="shared" si="32"/>
        <v>Physical ServicesHighwayBackhoeGF</v>
      </c>
      <c r="B137" s="11" t="s">
        <v>366</v>
      </c>
      <c r="C137" s="11">
        <v>37</v>
      </c>
      <c r="D137" s="11" t="s">
        <v>464</v>
      </c>
      <c r="F137" s="181" t="s">
        <v>530</v>
      </c>
      <c r="G137" s="11" t="s">
        <v>16</v>
      </c>
      <c r="H137" s="11" t="s">
        <v>540</v>
      </c>
      <c r="I137" s="11" t="s">
        <v>639</v>
      </c>
      <c r="K137" s="166"/>
      <c r="L137" s="166"/>
      <c r="M137" s="170"/>
      <c r="N137" s="115"/>
      <c r="O137" s="115"/>
      <c r="P137" s="115"/>
      <c r="Q137" s="115"/>
      <c r="R137" s="115"/>
      <c r="S137" s="115"/>
      <c r="T137" s="115">
        <v>140000</v>
      </c>
      <c r="U137" s="115"/>
      <c r="V137" s="115"/>
      <c r="W137" s="115"/>
    </row>
    <row r="138" spans="1:24" outlineLevel="1" x14ac:dyDescent="0.25">
      <c r="A138" s="114" t="str">
        <f t="shared" ref="A138" si="36">B138&amp;D138&amp;F138&amp;G138</f>
        <v>Physical ServicesHighwaySweeperGF</v>
      </c>
      <c r="B138" s="11" t="s">
        <v>366</v>
      </c>
      <c r="C138" s="11">
        <v>37</v>
      </c>
      <c r="D138" s="11" t="s">
        <v>464</v>
      </c>
      <c r="F138" s="181" t="s">
        <v>654</v>
      </c>
      <c r="G138" s="11" t="s">
        <v>16</v>
      </c>
      <c r="H138" s="11" t="s">
        <v>540</v>
      </c>
      <c r="I138" s="11" t="s">
        <v>639</v>
      </c>
      <c r="K138" s="166"/>
      <c r="L138" s="166"/>
      <c r="M138" s="170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>
        <v>200000</v>
      </c>
    </row>
    <row r="139" spans="1:24" ht="15.75" outlineLevel="1" thickBot="1" x14ac:dyDescent="0.3">
      <c r="C139" s="11"/>
      <c r="K139" s="165">
        <f>SUM(K118:K138)</f>
        <v>1152500</v>
      </c>
      <c r="L139" s="165">
        <f t="shared" ref="L139:W139" si="37">SUM(L118:L138)</f>
        <v>2310000</v>
      </c>
      <c r="M139" s="169"/>
      <c r="N139" s="116">
        <f t="shared" si="37"/>
        <v>831000</v>
      </c>
      <c r="O139" s="116">
        <f t="shared" si="37"/>
        <v>1268000</v>
      </c>
      <c r="P139" s="116">
        <f t="shared" si="37"/>
        <v>1656122</v>
      </c>
      <c r="Q139" s="116">
        <f t="shared" si="37"/>
        <v>1716633</v>
      </c>
      <c r="R139" s="116">
        <f t="shared" si="37"/>
        <v>1438913</v>
      </c>
      <c r="S139" s="116">
        <f t="shared" si="37"/>
        <v>1343000</v>
      </c>
      <c r="T139" s="116">
        <f t="shared" si="37"/>
        <v>1483000</v>
      </c>
      <c r="U139" s="116">
        <f t="shared" si="37"/>
        <v>1343000</v>
      </c>
      <c r="V139" s="116">
        <f t="shared" si="37"/>
        <v>1442847</v>
      </c>
      <c r="W139" s="116">
        <f t="shared" si="37"/>
        <v>1593000</v>
      </c>
    </row>
    <row r="140" spans="1:24" ht="15.75" outlineLevel="1" thickTop="1" x14ac:dyDescent="0.25">
      <c r="C140" s="11"/>
      <c r="K140" s="166"/>
      <c r="L140" s="166"/>
      <c r="M140" s="170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</row>
    <row r="141" spans="1:24" outlineLevel="1" x14ac:dyDescent="0.25">
      <c r="A141" s="114" t="str">
        <f t="shared" ref="A141:A194" si="38">B141&amp;D141&amp;F141&amp;G141</f>
        <v>Physical ServicesPublic BuildingsStorefront, Access Controls,Gutters (Town Hall)LoCIP</v>
      </c>
      <c r="B141" s="11" t="s">
        <v>366</v>
      </c>
      <c r="C141" s="11">
        <v>38</v>
      </c>
      <c r="D141" s="11" t="s">
        <v>47</v>
      </c>
      <c r="F141" s="185" t="s">
        <v>655</v>
      </c>
      <c r="G141" s="123" t="s">
        <v>37</v>
      </c>
      <c r="H141" s="11" t="s">
        <v>540</v>
      </c>
      <c r="K141" s="166"/>
      <c r="L141" s="166">
        <v>375000</v>
      </c>
      <c r="M141" s="170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</row>
    <row r="142" spans="1:24" outlineLevel="1" x14ac:dyDescent="0.25">
      <c r="A142" s="114" t="str">
        <f t="shared" si="38"/>
        <v>Physical ServicesPublic BuildingsSoffit Replacement (Library)GF</v>
      </c>
      <c r="B142" s="11" t="s">
        <v>366</v>
      </c>
      <c r="C142" s="11">
        <v>38</v>
      </c>
      <c r="D142" s="11" t="s">
        <v>47</v>
      </c>
      <c r="F142" s="186" t="s">
        <v>455</v>
      </c>
      <c r="G142" s="11" t="s">
        <v>16</v>
      </c>
      <c r="H142" s="11" t="s">
        <v>540</v>
      </c>
      <c r="K142" s="166"/>
      <c r="L142" s="166"/>
      <c r="M142" s="170"/>
      <c r="N142" s="166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</row>
    <row r="143" spans="1:24" ht="30" outlineLevel="1" x14ac:dyDescent="0.25">
      <c r="A143" s="114" t="str">
        <f t="shared" si="38"/>
        <v>Physical ServicesPublic BuildingsSwitches (75% Schools/25% Town) - schools displayed under dept 61 belowGF</v>
      </c>
      <c r="B143" s="11" t="s">
        <v>366</v>
      </c>
      <c r="C143" s="145">
        <v>38</v>
      </c>
      <c r="D143" s="11" t="s">
        <v>47</v>
      </c>
      <c r="F143" s="181" t="s">
        <v>492</v>
      </c>
      <c r="G143" s="11" t="s">
        <v>16</v>
      </c>
      <c r="H143" s="11" t="s">
        <v>540</v>
      </c>
      <c r="I143" s="11" t="s">
        <v>546</v>
      </c>
      <c r="K143" s="166"/>
      <c r="L143" s="166">
        <f>160000*0.25</f>
        <v>40000</v>
      </c>
      <c r="M143" s="170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>
        <v>50000</v>
      </c>
    </row>
    <row r="144" spans="1:24" outlineLevel="1" x14ac:dyDescent="0.25">
      <c r="A144" s="114" t="str">
        <f t="shared" si="38"/>
        <v>Physical ServicesPublic BuildingsGutters, Roof Trace and Masonry Repairs (Town Hall)GF</v>
      </c>
      <c r="B144" s="11" t="s">
        <v>366</v>
      </c>
      <c r="C144" s="11">
        <v>38</v>
      </c>
      <c r="D144" s="11" t="s">
        <v>47</v>
      </c>
      <c r="F144" s="186" t="s">
        <v>658</v>
      </c>
      <c r="G144" s="11" t="s">
        <v>16</v>
      </c>
      <c r="H144" s="11" t="s">
        <v>540</v>
      </c>
      <c r="K144" s="166"/>
      <c r="L144" s="166"/>
      <c r="M144" s="170"/>
      <c r="N144" s="201">
        <f>100000*0</f>
        <v>0</v>
      </c>
      <c r="O144" s="201">
        <f>100000</f>
        <v>100000</v>
      </c>
      <c r="P144" s="115"/>
      <c r="Q144" s="115"/>
      <c r="R144" s="115"/>
      <c r="S144" s="115"/>
      <c r="T144" s="115"/>
      <c r="U144" s="115"/>
      <c r="V144" s="115"/>
      <c r="W144" s="115"/>
    </row>
    <row r="145" spans="1:24" ht="30" outlineLevel="1" x14ac:dyDescent="0.25">
      <c r="A145" s="114" t="str">
        <f t="shared" ref="A145" si="39">B145&amp;D145&amp;F145&amp;G145</f>
        <v>Physical ServicesPublic BuildingsVarious interior repairs at sr ctr (kitchen, level raised flooring)GF</v>
      </c>
      <c r="B145" s="11" t="s">
        <v>366</v>
      </c>
      <c r="C145" s="11">
        <v>38</v>
      </c>
      <c r="D145" s="11" t="s">
        <v>47</v>
      </c>
      <c r="F145" s="186" t="s">
        <v>782</v>
      </c>
      <c r="G145" s="11" t="s">
        <v>16</v>
      </c>
      <c r="H145" s="11" t="s">
        <v>540</v>
      </c>
      <c r="K145" s="166"/>
      <c r="L145" s="166"/>
      <c r="M145" s="170"/>
      <c r="N145" s="201">
        <f>75000*0+50000</f>
        <v>50000</v>
      </c>
      <c r="O145" s="166"/>
      <c r="P145" s="166"/>
      <c r="Q145" s="166"/>
      <c r="R145" s="166"/>
      <c r="S145" s="166"/>
      <c r="T145" s="166"/>
      <c r="U145" s="166"/>
      <c r="V145" s="166"/>
      <c r="W145" s="166"/>
    </row>
    <row r="146" spans="1:24" ht="30" outlineLevel="1" x14ac:dyDescent="0.25">
      <c r="A146" s="114" t="str">
        <f>B146&amp;D146&amp;F146&amp;G146</f>
        <v>Physical ServicesPublic BuildingsExhaust Fans (Town Hall) - Carried over from FY2017 and completed early FY2018GF</v>
      </c>
      <c r="B146" s="11" t="s">
        <v>366</v>
      </c>
      <c r="C146" s="11">
        <v>38</v>
      </c>
      <c r="D146" s="11" t="s">
        <v>47</v>
      </c>
      <c r="F146" s="181" t="s">
        <v>528</v>
      </c>
      <c r="G146" s="11" t="s">
        <v>16</v>
      </c>
      <c r="H146" s="11" t="s">
        <v>540</v>
      </c>
      <c r="K146" s="166">
        <v>50000</v>
      </c>
      <c r="L146" s="166"/>
      <c r="M146" s="170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</row>
    <row r="147" spans="1:24" outlineLevel="1" x14ac:dyDescent="0.25">
      <c r="A147" s="114" t="str">
        <f>B147&amp;D147&amp;F147&amp;G147</f>
        <v>Physical ServicesPublic BuildingsHVAC-1 (Senior Center)GF</v>
      </c>
      <c r="B147" s="11" t="s">
        <v>366</v>
      </c>
      <c r="C147" s="11">
        <v>38</v>
      </c>
      <c r="D147" s="11" t="s">
        <v>47</v>
      </c>
      <c r="F147" s="186" t="s">
        <v>449</v>
      </c>
      <c r="G147" s="11" t="s">
        <v>16</v>
      </c>
      <c r="H147" s="11" t="s">
        <v>540</v>
      </c>
      <c r="K147" s="166">
        <v>35000</v>
      </c>
      <c r="L147" s="166"/>
      <c r="M147" s="170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</row>
    <row r="148" spans="1:24" outlineLevel="1" x14ac:dyDescent="0.25">
      <c r="A148" s="114" t="str">
        <f t="shared" si="38"/>
        <v>Physical ServicesPublic BuildingsHVAC-2 (Senior Center)GF</v>
      </c>
      <c r="B148" s="11" t="s">
        <v>366</v>
      </c>
      <c r="C148" s="11">
        <v>38</v>
      </c>
      <c r="D148" s="11" t="s">
        <v>47</v>
      </c>
      <c r="F148" s="186" t="s">
        <v>450</v>
      </c>
      <c r="G148" s="11" t="s">
        <v>16</v>
      </c>
      <c r="H148" s="11" t="s">
        <v>540</v>
      </c>
      <c r="K148" s="166"/>
      <c r="L148" s="166">
        <f>35000*0</f>
        <v>0</v>
      </c>
      <c r="M148" s="170"/>
      <c r="N148" s="166">
        <v>50000</v>
      </c>
      <c r="O148" s="166"/>
      <c r="P148" s="166"/>
      <c r="Q148" s="166"/>
      <c r="R148" s="166"/>
      <c r="S148" s="166"/>
      <c r="T148" s="166"/>
      <c r="U148" s="166"/>
      <c r="V148" s="166"/>
      <c r="W148" s="166"/>
    </row>
    <row r="149" spans="1:24" outlineLevel="1" x14ac:dyDescent="0.25">
      <c r="A149" s="114" t="str">
        <f>B149&amp;D149&amp;F149&amp;G149</f>
        <v>Physical ServicesPublic BuildingsHVAC upgrades (Pistol Creek)GF</v>
      </c>
      <c r="B149" s="11" t="s">
        <v>366</v>
      </c>
      <c r="C149" s="11">
        <v>38</v>
      </c>
      <c r="D149" s="11" t="s">
        <v>47</v>
      </c>
      <c r="F149" s="187" t="s">
        <v>673</v>
      </c>
      <c r="G149" s="11" t="s">
        <v>16</v>
      </c>
      <c r="H149" s="11" t="s">
        <v>540</v>
      </c>
      <c r="K149" s="166"/>
      <c r="L149" s="166"/>
      <c r="M149" s="170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>
        <v>100000</v>
      </c>
    </row>
    <row r="150" spans="1:24" outlineLevel="1" x14ac:dyDescent="0.25">
      <c r="A150" s="114" t="str">
        <f>B150&amp;D150&amp;F150&amp;G150</f>
        <v>Physical ServicesPublic BuildingsIAQ (Community Center)GF</v>
      </c>
      <c r="B150" s="11" t="s">
        <v>366</v>
      </c>
      <c r="C150" s="11">
        <v>38</v>
      </c>
      <c r="D150" s="11" t="s">
        <v>47</v>
      </c>
      <c r="F150" s="186" t="s">
        <v>657</v>
      </c>
      <c r="G150" s="11" t="s">
        <v>16</v>
      </c>
      <c r="H150" s="11" t="s">
        <v>540</v>
      </c>
      <c r="K150" s="166"/>
      <c r="L150" s="166"/>
      <c r="M150" s="170"/>
      <c r="N150" s="201">
        <f>50000*0</f>
        <v>0</v>
      </c>
      <c r="O150" s="166"/>
      <c r="P150" s="201">
        <f>50000</f>
        <v>50000</v>
      </c>
      <c r="Q150" s="166"/>
      <c r="R150" s="166"/>
      <c r="S150" s="166"/>
      <c r="T150" s="166"/>
      <c r="U150" s="166"/>
      <c r="V150" s="166"/>
      <c r="W150" s="166"/>
    </row>
    <row r="151" spans="1:24" outlineLevel="1" x14ac:dyDescent="0.25">
      <c r="A151" s="114" t="str">
        <f>B151&amp;D151&amp;F151&amp;G151</f>
        <v>Physical ServicesPublic BuildingsChiller Replacement (Community Center/Library)Bond</v>
      </c>
      <c r="B151" s="11" t="s">
        <v>366</v>
      </c>
      <c r="C151" s="11">
        <v>38</v>
      </c>
      <c r="D151" s="11" t="s">
        <v>47</v>
      </c>
      <c r="F151" s="186" t="s">
        <v>502</v>
      </c>
      <c r="G151" s="11" t="s">
        <v>19</v>
      </c>
      <c r="H151" s="11" t="s">
        <v>540</v>
      </c>
      <c r="K151" s="166"/>
      <c r="L151" s="166"/>
      <c r="M151" s="170"/>
      <c r="N151" s="166"/>
      <c r="O151" s="166"/>
      <c r="P151" s="166"/>
      <c r="Q151" s="166">
        <v>2100000</v>
      </c>
      <c r="R151" s="166"/>
      <c r="S151" s="166"/>
      <c r="T151" s="166"/>
      <c r="U151" s="166"/>
      <c r="V151" s="166"/>
      <c r="W151" s="166"/>
      <c r="X151" s="124"/>
    </row>
    <row r="152" spans="1:24" outlineLevel="1" x14ac:dyDescent="0.25">
      <c r="A152" s="114" t="str">
        <f t="shared" si="38"/>
        <v>Physical ServicesPublic BuildingsHandicap Door (Community Center)GF</v>
      </c>
      <c r="B152" s="11" t="s">
        <v>366</v>
      </c>
      <c r="C152" s="11">
        <v>38</v>
      </c>
      <c r="D152" s="11" t="s">
        <v>47</v>
      </c>
      <c r="F152" s="187" t="s">
        <v>447</v>
      </c>
      <c r="G152" s="11" t="s">
        <v>16</v>
      </c>
      <c r="H152" s="11" t="s">
        <v>540</v>
      </c>
      <c r="K152" s="166"/>
      <c r="L152" s="166"/>
      <c r="M152" s="170"/>
      <c r="N152" s="166">
        <v>50000</v>
      </c>
      <c r="O152" s="166"/>
      <c r="P152" s="166"/>
      <c r="Q152" s="166"/>
      <c r="R152" s="166"/>
      <c r="S152" s="166"/>
      <c r="T152" s="166"/>
      <c r="U152" s="166"/>
      <c r="V152" s="166"/>
      <c r="W152" s="166"/>
      <c r="X152" s="207"/>
    </row>
    <row r="153" spans="1:24" outlineLevel="1" x14ac:dyDescent="0.25">
      <c r="A153" s="114" t="str">
        <f>B153&amp;D153&amp;F153&amp;G153</f>
        <v>Physical ServicesPublic BuildingsExit door replacement (Senior Center)GF</v>
      </c>
      <c r="B153" s="11" t="s">
        <v>366</v>
      </c>
      <c r="C153" s="11">
        <v>38</v>
      </c>
      <c r="D153" s="11" t="s">
        <v>47</v>
      </c>
      <c r="F153" s="186" t="s">
        <v>460</v>
      </c>
      <c r="G153" s="11" t="s">
        <v>16</v>
      </c>
      <c r="H153" s="11" t="s">
        <v>540</v>
      </c>
      <c r="K153" s="166"/>
      <c r="L153" s="166"/>
      <c r="M153" s="170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</row>
    <row r="154" spans="1:24" outlineLevel="1" x14ac:dyDescent="0.25">
      <c r="A154" s="114" t="str">
        <f t="shared" si="38"/>
        <v>Physical ServicesPublic BuildingsSpecialty &amp; SupervisorsGF</v>
      </c>
      <c r="B154" s="11" t="s">
        <v>366</v>
      </c>
      <c r="C154" s="11">
        <v>38</v>
      </c>
      <c r="D154" s="11" t="s">
        <v>47</v>
      </c>
      <c r="F154" s="181" t="s">
        <v>473</v>
      </c>
      <c r="G154" s="11" t="s">
        <v>16</v>
      </c>
      <c r="H154" s="11" t="s">
        <v>540</v>
      </c>
      <c r="K154" s="166"/>
      <c r="L154" s="166">
        <v>0</v>
      </c>
      <c r="M154" s="170"/>
      <c r="N154" s="115"/>
      <c r="O154" s="115"/>
      <c r="P154" s="115"/>
      <c r="Q154" s="115"/>
      <c r="R154" s="115"/>
      <c r="S154" s="115"/>
      <c r="T154" s="115">
        <v>0</v>
      </c>
      <c r="U154" s="115">
        <v>0</v>
      </c>
      <c r="V154" s="115"/>
      <c r="W154" s="115"/>
    </row>
    <row r="155" spans="1:24" outlineLevel="1" x14ac:dyDescent="0.25">
      <c r="A155" s="114" t="str">
        <f t="shared" ref="A155" si="40">B155&amp;D155&amp;F155&amp;G155</f>
        <v>Physical ServicesPublic BuildingsRenovate all Little League concessionsGF</v>
      </c>
      <c r="B155" s="11" t="s">
        <v>366</v>
      </c>
      <c r="C155" s="11">
        <v>38</v>
      </c>
      <c r="D155" s="11" t="s">
        <v>47</v>
      </c>
      <c r="F155" s="185" t="s">
        <v>781</v>
      </c>
      <c r="G155" s="123" t="s">
        <v>16</v>
      </c>
      <c r="H155" s="11" t="s">
        <v>540</v>
      </c>
      <c r="K155" s="166"/>
      <c r="L155" s="166"/>
      <c r="M155" s="170"/>
      <c r="N155" s="166"/>
      <c r="O155" s="166"/>
      <c r="P155" s="201">
        <f>50000*0</f>
        <v>0</v>
      </c>
      <c r="Q155" s="166"/>
      <c r="R155" s="201">
        <f>50000</f>
        <v>50000</v>
      </c>
      <c r="S155" s="166"/>
      <c r="T155" s="166"/>
      <c r="U155" s="166"/>
      <c r="V155" s="166"/>
      <c r="W155" s="166"/>
    </row>
    <row r="156" spans="1:24" outlineLevel="1" x14ac:dyDescent="0.25">
      <c r="A156" s="114" t="str">
        <f t="shared" si="38"/>
        <v>Physical ServicesPublic BuildingsSouth Kensington Fire House - building modificationsGF</v>
      </c>
      <c r="B156" s="11" t="s">
        <v>366</v>
      </c>
      <c r="C156" s="11">
        <v>38</v>
      </c>
      <c r="D156" s="11" t="s">
        <v>47</v>
      </c>
      <c r="F156" s="185" t="s">
        <v>217</v>
      </c>
      <c r="G156" s="123" t="s">
        <v>16</v>
      </c>
      <c r="H156" s="11" t="s">
        <v>540</v>
      </c>
      <c r="K156" s="166"/>
      <c r="L156" s="166"/>
      <c r="M156" s="170"/>
      <c r="N156" s="166"/>
      <c r="O156" s="166"/>
      <c r="P156" s="166">
        <v>750000</v>
      </c>
      <c r="Q156" s="166"/>
      <c r="R156" s="166"/>
      <c r="S156" s="166"/>
      <c r="T156" s="166"/>
      <c r="U156" s="166"/>
      <c r="V156" s="166"/>
      <c r="W156" s="166"/>
    </row>
    <row r="157" spans="1:24" outlineLevel="1" x14ac:dyDescent="0.25">
      <c r="A157" s="114" t="str">
        <f>B157&amp;D157&amp;F157&amp;G157</f>
        <v>Physical ServicesPublic BuildingsOld Peck/Historical Society RenovationsGF</v>
      </c>
      <c r="B157" s="11" t="s">
        <v>366</v>
      </c>
      <c r="C157" s="11">
        <v>38</v>
      </c>
      <c r="D157" s="11" t="s">
        <v>47</v>
      </c>
      <c r="F157" s="185" t="s">
        <v>671</v>
      </c>
      <c r="G157" s="123" t="s">
        <v>16</v>
      </c>
      <c r="H157" s="11" t="s">
        <v>540</v>
      </c>
      <c r="K157" s="166"/>
      <c r="L157" s="166"/>
      <c r="M157" s="170"/>
      <c r="N157" s="166"/>
      <c r="O157" s="166"/>
      <c r="P157" s="166"/>
      <c r="Q157" s="166">
        <v>100000</v>
      </c>
      <c r="R157" s="166"/>
      <c r="S157" s="166"/>
      <c r="T157" s="166"/>
      <c r="U157" s="166"/>
      <c r="V157" s="166"/>
      <c r="W157" s="166"/>
    </row>
    <row r="158" spans="1:24" outlineLevel="1" x14ac:dyDescent="0.25">
      <c r="A158" s="114" t="str">
        <f t="shared" ref="A158" si="41">B158&amp;D158&amp;F158&amp;G158</f>
        <v>Physical ServicesPublic BuildingsExterior repairs to Art League BuildingGF</v>
      </c>
      <c r="B158" s="11" t="s">
        <v>366</v>
      </c>
      <c r="C158" s="11">
        <v>38</v>
      </c>
      <c r="D158" s="11" t="s">
        <v>47</v>
      </c>
      <c r="F158" s="185" t="s">
        <v>659</v>
      </c>
      <c r="G158" s="123" t="s">
        <v>16</v>
      </c>
      <c r="H158" s="11" t="s">
        <v>540</v>
      </c>
      <c r="K158" s="166"/>
      <c r="L158" s="166"/>
      <c r="M158" s="170"/>
      <c r="N158" s="201">
        <f>25000*0</f>
        <v>0</v>
      </c>
      <c r="O158" s="166"/>
      <c r="P158" s="201">
        <f>25000</f>
        <v>25000</v>
      </c>
      <c r="Q158" s="166"/>
      <c r="R158" s="166"/>
      <c r="S158" s="166"/>
      <c r="T158" s="166"/>
      <c r="U158" s="166"/>
      <c r="V158" s="166"/>
      <c r="W158" s="166"/>
      <c r="X158" s="207"/>
    </row>
    <row r="159" spans="1:24" outlineLevel="1" x14ac:dyDescent="0.25">
      <c r="A159" s="114" t="str">
        <f>B159&amp;D159&amp;F159&amp;G159</f>
        <v>Physical ServicesPublic BuildingsDeming Road House (Mobile Home caretakers house)GF</v>
      </c>
      <c r="B159" s="11" t="s">
        <v>366</v>
      </c>
      <c r="C159" s="11">
        <v>38</v>
      </c>
      <c r="D159" s="11" t="s">
        <v>47</v>
      </c>
      <c r="F159" s="185" t="s">
        <v>445</v>
      </c>
      <c r="G159" s="123" t="s">
        <v>16</v>
      </c>
      <c r="H159" s="11" t="s">
        <v>540</v>
      </c>
      <c r="K159" s="166"/>
      <c r="L159" s="166"/>
      <c r="M159" s="170"/>
      <c r="N159" s="201">
        <f>50000*0</f>
        <v>0</v>
      </c>
      <c r="O159" s="201">
        <f>50000</f>
        <v>50000</v>
      </c>
      <c r="P159" s="166"/>
      <c r="Q159" s="166"/>
      <c r="R159" s="166"/>
      <c r="S159" s="166"/>
      <c r="T159" s="166"/>
      <c r="U159" s="166"/>
      <c r="V159" s="166"/>
      <c r="W159" s="166"/>
      <c r="X159" s="207"/>
    </row>
    <row r="160" spans="1:24" outlineLevel="1" x14ac:dyDescent="0.25">
      <c r="A160" s="114" t="str">
        <f>B160&amp;D160&amp;F160&amp;G160</f>
        <v>Physical ServicesPublic BuildingsArt League Building RenovationsGF</v>
      </c>
      <c r="B160" s="11" t="s">
        <v>366</v>
      </c>
      <c r="C160" s="11">
        <v>38</v>
      </c>
      <c r="D160" s="11" t="s">
        <v>47</v>
      </c>
      <c r="F160" s="185" t="s">
        <v>669</v>
      </c>
      <c r="G160" s="123" t="s">
        <v>16</v>
      </c>
      <c r="H160" s="11" t="s">
        <v>540</v>
      </c>
      <c r="K160" s="166"/>
      <c r="L160" s="166"/>
      <c r="M160" s="170"/>
      <c r="N160" s="166"/>
      <c r="O160" s="166"/>
      <c r="P160" s="201">
        <f>100000*0</f>
        <v>0</v>
      </c>
      <c r="Q160" s="166"/>
      <c r="R160" s="201">
        <f>100000</f>
        <v>100000</v>
      </c>
      <c r="S160" s="166"/>
      <c r="T160" s="166"/>
      <c r="U160" s="166"/>
      <c r="V160" s="166"/>
      <c r="W160" s="166"/>
      <c r="X160" s="207"/>
    </row>
    <row r="161" spans="1:24" outlineLevel="1" x14ac:dyDescent="0.25">
      <c r="A161" s="114" t="str">
        <f>B161&amp;D161&amp;F161&amp;G161</f>
        <v>Physical ServicesPublic BuildingsMeatinghouse RenovationsGrants</v>
      </c>
      <c r="B161" s="11" t="s">
        <v>366</v>
      </c>
      <c r="C161" s="11">
        <v>38</v>
      </c>
      <c r="D161" s="11" t="s">
        <v>47</v>
      </c>
      <c r="F161" s="185" t="s">
        <v>672</v>
      </c>
      <c r="G161" s="123" t="s">
        <v>38</v>
      </c>
      <c r="H161" s="11" t="s">
        <v>540</v>
      </c>
      <c r="K161" s="166"/>
      <c r="L161" s="166"/>
      <c r="M161" s="170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>
        <v>3200000</v>
      </c>
      <c r="X161" s="207"/>
    </row>
    <row r="162" spans="1:24" outlineLevel="1" x14ac:dyDescent="0.25">
      <c r="A162" s="114" t="str">
        <f>B162&amp;D162&amp;F162&amp;G162</f>
        <v>Physical ServicesPublic BuildingsAnimal Control Building RenovationsGF</v>
      </c>
      <c r="B162" s="11" t="s">
        <v>366</v>
      </c>
      <c r="C162" s="11">
        <v>38</v>
      </c>
      <c r="D162" s="11" t="s">
        <v>47</v>
      </c>
      <c r="F162" s="185" t="s">
        <v>676</v>
      </c>
      <c r="G162" s="123" t="s">
        <v>16</v>
      </c>
      <c r="H162" s="11" t="s">
        <v>540</v>
      </c>
      <c r="K162" s="166"/>
      <c r="L162" s="166"/>
      <c r="M162" s="170"/>
      <c r="N162" s="166"/>
      <c r="O162" s="166"/>
      <c r="P162" s="166"/>
      <c r="Q162" s="166"/>
      <c r="R162" s="166"/>
      <c r="S162" s="166"/>
      <c r="T162" s="166"/>
      <c r="U162" s="166">
        <v>50000</v>
      </c>
      <c r="V162" s="166"/>
      <c r="W162" s="166"/>
      <c r="X162" s="207"/>
    </row>
    <row r="163" spans="1:24" outlineLevel="1" x14ac:dyDescent="0.25">
      <c r="A163" s="114" t="str">
        <f t="shared" si="38"/>
        <v>Physical ServicesPublic BuildingsCarpet Replacement (Library)GF</v>
      </c>
      <c r="B163" s="11" t="s">
        <v>366</v>
      </c>
      <c r="C163" s="11">
        <v>38</v>
      </c>
      <c r="D163" s="11" t="s">
        <v>47</v>
      </c>
      <c r="F163" s="186" t="s">
        <v>456</v>
      </c>
      <c r="G163" s="11" t="s">
        <v>16</v>
      </c>
      <c r="H163" s="11" t="s">
        <v>540</v>
      </c>
      <c r="K163" s="166"/>
      <c r="L163" s="166"/>
      <c r="M163" s="170"/>
      <c r="N163" s="115"/>
      <c r="O163" s="115"/>
      <c r="P163" s="115">
        <v>125000</v>
      </c>
      <c r="Q163" s="115"/>
      <c r="R163" s="115"/>
      <c r="S163" s="115"/>
      <c r="T163" s="115"/>
      <c r="U163" s="115"/>
      <c r="V163" s="115"/>
      <c r="W163" s="115"/>
    </row>
    <row r="164" spans="1:24" outlineLevel="1" x14ac:dyDescent="0.25">
      <c r="A164" s="114" t="str">
        <f t="shared" ref="A164" si="42">B164&amp;D164&amp;F164&amp;G164</f>
        <v>Physical ServicesPublic BuildingsTimberlin Clubhouse FloorGF</v>
      </c>
      <c r="B164" s="11" t="s">
        <v>366</v>
      </c>
      <c r="C164" s="11">
        <v>38</v>
      </c>
      <c r="D164" s="11" t="s">
        <v>47</v>
      </c>
      <c r="F164" s="186" t="s">
        <v>664</v>
      </c>
      <c r="G164" s="11" t="s">
        <v>16</v>
      </c>
      <c r="H164" s="11" t="s">
        <v>540</v>
      </c>
      <c r="K164" s="166"/>
      <c r="L164" s="166"/>
      <c r="M164" s="170"/>
      <c r="N164" s="115"/>
      <c r="O164" s="115"/>
      <c r="P164" s="115"/>
      <c r="Q164" s="115">
        <v>50000</v>
      </c>
      <c r="R164" s="115"/>
      <c r="S164" s="115"/>
      <c r="T164" s="115"/>
      <c r="U164" s="115"/>
      <c r="V164" s="115"/>
      <c r="W164" s="115"/>
    </row>
    <row r="165" spans="1:24" outlineLevel="1" x14ac:dyDescent="0.25">
      <c r="A165" s="114" t="str">
        <f t="shared" ref="A165" si="43">B165&amp;D165&amp;F165&amp;G165</f>
        <v>Physical ServicesPublic BuildingsTown Hall Bathroom RenovationsGF</v>
      </c>
      <c r="B165" s="11" t="s">
        <v>366</v>
      </c>
      <c r="C165" s="11">
        <v>38</v>
      </c>
      <c r="D165" s="11" t="s">
        <v>47</v>
      </c>
      <c r="F165" s="185" t="s">
        <v>662</v>
      </c>
      <c r="G165" s="123" t="s">
        <v>16</v>
      </c>
      <c r="H165" s="11" t="s">
        <v>540</v>
      </c>
      <c r="K165" s="166"/>
      <c r="L165" s="166"/>
      <c r="M165" s="170"/>
      <c r="N165" s="166"/>
      <c r="O165" s="166">
        <v>80000</v>
      </c>
      <c r="P165" s="166"/>
      <c r="Q165" s="166"/>
      <c r="R165" s="166"/>
      <c r="S165" s="166"/>
      <c r="T165" s="166"/>
      <c r="U165" s="166"/>
      <c r="V165" s="166"/>
      <c r="W165" s="166"/>
    </row>
    <row r="166" spans="1:24" outlineLevel="1" x14ac:dyDescent="0.25">
      <c r="A166" s="114" t="str">
        <f t="shared" ref="A166" si="44">B166&amp;D166&amp;F166&amp;G166</f>
        <v>Physical ServicesPublic BuildingsLibrary Bathroom RenovationsGF</v>
      </c>
      <c r="B166" s="11" t="s">
        <v>366</v>
      </c>
      <c r="C166" s="11">
        <v>38</v>
      </c>
      <c r="D166" s="11" t="s">
        <v>47</v>
      </c>
      <c r="F166" s="185" t="s">
        <v>663</v>
      </c>
      <c r="G166" s="123" t="s">
        <v>16</v>
      </c>
      <c r="H166" s="11" t="s">
        <v>540</v>
      </c>
      <c r="K166" s="166"/>
      <c r="L166" s="166"/>
      <c r="M166" s="170"/>
      <c r="N166" s="166"/>
      <c r="O166" s="166"/>
      <c r="P166" s="166"/>
      <c r="Q166" s="166"/>
      <c r="R166" s="166"/>
      <c r="S166" s="166"/>
      <c r="T166" s="166"/>
      <c r="U166" s="166">
        <v>50000</v>
      </c>
      <c r="V166" s="166"/>
      <c r="W166" s="166"/>
    </row>
    <row r="167" spans="1:24" outlineLevel="1" x14ac:dyDescent="0.25">
      <c r="A167" s="114" t="str">
        <f t="shared" ref="A167" si="45">B167&amp;D167&amp;F167&amp;G167</f>
        <v>Physical ServicesPublic BuildingsTimberlin Clubhouse Bathroom RenovationsGF</v>
      </c>
      <c r="B167" s="11" t="s">
        <v>366</v>
      </c>
      <c r="C167" s="11">
        <v>38</v>
      </c>
      <c r="D167" s="11" t="s">
        <v>47</v>
      </c>
      <c r="F167" s="185" t="s">
        <v>665</v>
      </c>
      <c r="G167" s="123" t="s">
        <v>16</v>
      </c>
      <c r="H167" s="11" t="s">
        <v>540</v>
      </c>
      <c r="K167" s="166"/>
      <c r="L167" s="166"/>
      <c r="M167" s="170"/>
      <c r="N167" s="166"/>
      <c r="O167" s="166"/>
      <c r="P167" s="166"/>
      <c r="Q167" s="166"/>
      <c r="R167" s="166">
        <v>80000</v>
      </c>
      <c r="S167" s="166"/>
      <c r="T167" s="166"/>
      <c r="U167" s="166"/>
      <c r="V167" s="166"/>
      <c r="W167" s="166"/>
    </row>
    <row r="168" spans="1:24" outlineLevel="1" x14ac:dyDescent="0.25">
      <c r="A168" s="114" t="str">
        <f t="shared" si="38"/>
        <v>Physical ServicesPublic BuildingsUpgrade &amp; repairs of Sage Park restroomsGF</v>
      </c>
      <c r="B168" s="11" t="s">
        <v>366</v>
      </c>
      <c r="C168" s="11">
        <v>38</v>
      </c>
      <c r="D168" s="11" t="s">
        <v>47</v>
      </c>
      <c r="F168" s="185" t="s">
        <v>347</v>
      </c>
      <c r="G168" s="123" t="s">
        <v>16</v>
      </c>
      <c r="H168" s="11" t="s">
        <v>540</v>
      </c>
      <c r="K168" s="166"/>
      <c r="L168" s="166"/>
      <c r="M168" s="170"/>
      <c r="N168" s="166"/>
      <c r="O168" s="166">
        <v>100000</v>
      </c>
      <c r="P168" s="166"/>
      <c r="Q168" s="166"/>
      <c r="R168" s="166"/>
      <c r="S168" s="166"/>
      <c r="T168" s="166"/>
      <c r="U168" s="166"/>
      <c r="V168" s="166"/>
      <c r="W168" s="166"/>
    </row>
    <row r="169" spans="1:24" outlineLevel="1" x14ac:dyDescent="0.25">
      <c r="A169" s="114" t="str">
        <f t="shared" si="38"/>
        <v>Physical ServicesPublic BuildingsModernize elevator @ Town HallGF</v>
      </c>
      <c r="B169" s="11" t="s">
        <v>366</v>
      </c>
      <c r="C169" s="11">
        <v>38</v>
      </c>
      <c r="D169" s="11" t="s">
        <v>47</v>
      </c>
      <c r="F169" s="185" t="s">
        <v>526</v>
      </c>
      <c r="G169" s="123" t="s">
        <v>16</v>
      </c>
      <c r="H169" s="11" t="s">
        <v>540</v>
      </c>
      <c r="K169" s="166"/>
      <c r="L169" s="166"/>
      <c r="M169" s="170"/>
      <c r="N169" s="166"/>
      <c r="O169" s="166"/>
      <c r="P169" s="166">
        <v>100000</v>
      </c>
      <c r="Q169" s="166"/>
      <c r="R169" s="166"/>
      <c r="S169" s="166"/>
      <c r="T169" s="166"/>
      <c r="U169" s="166"/>
      <c r="V169" s="166"/>
      <c r="W169" s="166"/>
    </row>
    <row r="170" spans="1:24" outlineLevel="1" x14ac:dyDescent="0.25">
      <c r="A170" s="114" t="str">
        <f t="shared" ref="A170" si="46">B170&amp;D170&amp;F170&amp;G170</f>
        <v>Physical ServicesPublic BuildingsTownwide Phone System UpgradeGF</v>
      </c>
      <c r="B170" s="11" t="s">
        <v>366</v>
      </c>
      <c r="C170" s="11">
        <v>38</v>
      </c>
      <c r="D170" s="11" t="s">
        <v>47</v>
      </c>
      <c r="F170" s="185" t="s">
        <v>677</v>
      </c>
      <c r="G170" s="123" t="s">
        <v>16</v>
      </c>
      <c r="H170" s="11" t="s">
        <v>540</v>
      </c>
      <c r="K170" s="166"/>
      <c r="L170" s="166"/>
      <c r="M170" s="170"/>
      <c r="N170" s="166"/>
      <c r="O170" s="166"/>
      <c r="P170" s="166"/>
      <c r="Q170" s="166"/>
      <c r="R170" s="166"/>
      <c r="S170" s="166"/>
      <c r="T170" s="166"/>
      <c r="U170" s="166"/>
      <c r="V170" s="166">
        <v>350000</v>
      </c>
      <c r="W170" s="166"/>
    </row>
    <row r="171" spans="1:24" outlineLevel="1" x14ac:dyDescent="0.25">
      <c r="A171" s="114" t="str">
        <f t="shared" si="38"/>
        <v>Physical ServicesPublic BuildingsFire Alarm Upgrade (Library)GF</v>
      </c>
      <c r="B171" s="11" t="s">
        <v>366</v>
      </c>
      <c r="C171" s="11">
        <v>38</v>
      </c>
      <c r="D171" s="11" t="s">
        <v>47</v>
      </c>
      <c r="F171" s="186" t="s">
        <v>457</v>
      </c>
      <c r="G171" s="11" t="s">
        <v>16</v>
      </c>
      <c r="H171" s="11" t="s">
        <v>540</v>
      </c>
      <c r="K171" s="166"/>
      <c r="L171" s="166"/>
      <c r="M171" s="170"/>
      <c r="N171" s="166"/>
      <c r="O171" s="166"/>
      <c r="P171" s="166"/>
      <c r="Q171" s="166"/>
      <c r="R171" s="166"/>
      <c r="S171" s="166"/>
      <c r="T171" s="166"/>
      <c r="U171" s="166"/>
      <c r="V171" s="166">
        <v>200000</v>
      </c>
      <c r="W171" s="166"/>
      <c r="X171" s="208"/>
    </row>
    <row r="172" spans="1:24" outlineLevel="1" x14ac:dyDescent="0.25">
      <c r="A172" s="114" t="str">
        <f t="shared" ref="A172" si="47">B172&amp;D172&amp;F172&amp;G172</f>
        <v>Physical ServicesPublic BuildingsFire Alarm Upgrade (Town Hall)GF</v>
      </c>
      <c r="B172" s="11" t="s">
        <v>366</v>
      </c>
      <c r="C172" s="11">
        <v>38</v>
      </c>
      <c r="D172" s="11" t="s">
        <v>47</v>
      </c>
      <c r="F172" s="186" t="s">
        <v>661</v>
      </c>
      <c r="G172" s="11" t="s">
        <v>16</v>
      </c>
      <c r="H172" s="11" t="s">
        <v>540</v>
      </c>
      <c r="K172" s="166"/>
      <c r="L172" s="166"/>
      <c r="M172" s="170"/>
      <c r="N172" s="166"/>
      <c r="O172" s="166"/>
      <c r="P172" s="166"/>
      <c r="Q172" s="166"/>
      <c r="R172" s="166"/>
      <c r="S172" s="166"/>
      <c r="T172" s="166">
        <v>350000</v>
      </c>
      <c r="U172" s="166"/>
      <c r="V172" s="166"/>
      <c r="W172" s="166"/>
      <c r="X172" s="208"/>
    </row>
    <row r="173" spans="1:24" outlineLevel="1" x14ac:dyDescent="0.25">
      <c r="A173" s="114" t="str">
        <f t="shared" si="38"/>
        <v>Physical ServicesPublic BuildingsBoiler replacement (Timberlin)GF</v>
      </c>
      <c r="B173" s="11" t="s">
        <v>366</v>
      </c>
      <c r="C173" s="11">
        <v>38</v>
      </c>
      <c r="D173" s="11" t="s">
        <v>47</v>
      </c>
      <c r="F173" s="187" t="s">
        <v>462</v>
      </c>
      <c r="G173" s="11" t="s">
        <v>16</v>
      </c>
      <c r="H173" s="11" t="s">
        <v>540</v>
      </c>
      <c r="K173" s="166"/>
      <c r="L173" s="166"/>
      <c r="M173" s="170"/>
      <c r="N173" s="166"/>
      <c r="O173" s="166"/>
      <c r="P173" s="166">
        <v>25000</v>
      </c>
      <c r="Q173" s="166"/>
      <c r="R173" s="166"/>
      <c r="S173" s="166"/>
      <c r="T173" s="166"/>
      <c r="U173" s="166"/>
      <c r="V173" s="166"/>
      <c r="W173" s="166"/>
    </row>
    <row r="174" spans="1:24" ht="30" outlineLevel="1" x14ac:dyDescent="0.25">
      <c r="A174" s="114" t="str">
        <f t="shared" si="38"/>
        <v>Physical ServicesPublic BuildingsPool Building - Percival (borrow in middle or end of project, work done in FY20)Bond</v>
      </c>
      <c r="B174" s="11" t="s">
        <v>366</v>
      </c>
      <c r="C174" s="11">
        <v>38</v>
      </c>
      <c r="D174" s="11" t="s">
        <v>47</v>
      </c>
      <c r="F174" s="185" t="s">
        <v>264</v>
      </c>
      <c r="G174" s="11" t="s">
        <v>19</v>
      </c>
      <c r="H174" s="11" t="s">
        <v>540</v>
      </c>
      <c r="K174" s="166"/>
      <c r="L174" s="166"/>
      <c r="M174" s="170"/>
      <c r="N174" s="166"/>
      <c r="O174" s="166"/>
      <c r="P174" s="166"/>
      <c r="Q174" s="166"/>
      <c r="R174" s="166">
        <v>600000</v>
      </c>
      <c r="S174" s="166"/>
      <c r="T174" s="166"/>
      <c r="U174" s="166"/>
      <c r="V174" s="166"/>
      <c r="W174" s="166"/>
      <c r="X174" s="115"/>
    </row>
    <row r="175" spans="1:24" ht="30" outlineLevel="1" x14ac:dyDescent="0.25">
      <c r="A175" s="114" t="str">
        <f t="shared" si="38"/>
        <v>Physical ServicesPublic BuildingsPool Building - East Berlin (borrow in middle or end of project, work done in FY20)Bond</v>
      </c>
      <c r="B175" s="11" t="s">
        <v>366</v>
      </c>
      <c r="C175" s="11">
        <v>38</v>
      </c>
      <c r="D175" s="11" t="s">
        <v>47</v>
      </c>
      <c r="F175" s="185" t="s">
        <v>265</v>
      </c>
      <c r="G175" s="11" t="s">
        <v>19</v>
      </c>
      <c r="H175" s="11" t="s">
        <v>540</v>
      </c>
      <c r="K175" s="166"/>
      <c r="L175" s="166"/>
      <c r="M175" s="170"/>
      <c r="N175" s="166"/>
      <c r="O175" s="166"/>
      <c r="P175" s="166"/>
      <c r="Q175" s="166"/>
      <c r="R175" s="201">
        <f>400000</f>
        <v>400000</v>
      </c>
      <c r="S175" s="201">
        <f>400000*0</f>
        <v>0</v>
      </c>
      <c r="T175" s="166"/>
      <c r="U175" s="166"/>
      <c r="V175" s="166"/>
      <c r="W175" s="166"/>
    </row>
    <row r="176" spans="1:24" outlineLevel="1" x14ac:dyDescent="0.25">
      <c r="A176" s="114" t="str">
        <f t="shared" si="38"/>
        <v>Physical ServicesPublic BuildingsWindow Replacement (Town Hall)GF</v>
      </c>
      <c r="B176" s="11" t="s">
        <v>366</v>
      </c>
      <c r="C176" s="11">
        <v>38</v>
      </c>
      <c r="D176" s="11" t="s">
        <v>47</v>
      </c>
      <c r="F176" s="185" t="s">
        <v>452</v>
      </c>
      <c r="G176" s="123" t="s">
        <v>16</v>
      </c>
      <c r="H176" s="11" t="s">
        <v>540</v>
      </c>
      <c r="K176" s="166"/>
      <c r="L176" s="166"/>
      <c r="M176" s="170"/>
      <c r="N176" s="166"/>
      <c r="O176" s="166"/>
      <c r="P176" s="166"/>
      <c r="Q176" s="166"/>
      <c r="R176" s="166"/>
      <c r="S176" s="166">
        <v>2500000</v>
      </c>
      <c r="T176" s="166"/>
      <c r="U176" s="166"/>
      <c r="V176" s="166"/>
      <c r="W176" s="166"/>
    </row>
    <row r="177" spans="1:24" outlineLevel="1" x14ac:dyDescent="0.25">
      <c r="A177" s="114" t="str">
        <f t="shared" si="38"/>
        <v>Physical ServicesPublic BuildingsWindow Replacement (Library/Community Center)GF</v>
      </c>
      <c r="B177" s="11" t="s">
        <v>366</v>
      </c>
      <c r="C177" s="11">
        <v>38</v>
      </c>
      <c r="D177" s="11" t="s">
        <v>47</v>
      </c>
      <c r="F177" s="185" t="s">
        <v>527</v>
      </c>
      <c r="G177" s="11" t="s">
        <v>16</v>
      </c>
      <c r="H177" s="11" t="s">
        <v>540</v>
      </c>
      <c r="K177" s="166"/>
      <c r="L177" s="166"/>
      <c r="M177" s="170"/>
      <c r="N177" s="166"/>
      <c r="O177" s="166"/>
      <c r="P177" s="166"/>
      <c r="Q177" s="166"/>
      <c r="R177" s="166"/>
      <c r="S177" s="166"/>
      <c r="T177" s="166">
        <v>750000</v>
      </c>
      <c r="U177" s="166"/>
      <c r="V177" s="166"/>
      <c r="W177" s="166"/>
      <c r="X177" s="124"/>
    </row>
    <row r="178" spans="1:24" outlineLevel="1" x14ac:dyDescent="0.25">
      <c r="A178" s="114" t="str">
        <f t="shared" si="38"/>
        <v>Physical ServicesPublic BuildingsWindows &amp; Doors replacement (Timberlin)GF</v>
      </c>
      <c r="B178" s="11" t="s">
        <v>366</v>
      </c>
      <c r="C178" s="11">
        <v>38</v>
      </c>
      <c r="D178" s="11" t="s">
        <v>47</v>
      </c>
      <c r="F178" s="187" t="s">
        <v>666</v>
      </c>
      <c r="G178" s="11" t="s">
        <v>16</v>
      </c>
      <c r="H178" s="11" t="s">
        <v>540</v>
      </c>
      <c r="K178" s="166"/>
      <c r="L178" s="166"/>
      <c r="M178" s="170"/>
      <c r="N178" s="166"/>
      <c r="O178" s="166">
        <v>175000</v>
      </c>
      <c r="P178" s="166"/>
      <c r="Q178" s="166"/>
      <c r="R178" s="166"/>
      <c r="S178" s="166"/>
      <c r="T178" s="166"/>
      <c r="U178" s="166"/>
      <c r="V178" s="166"/>
      <c r="W178" s="166"/>
    </row>
    <row r="179" spans="1:24" outlineLevel="1" x14ac:dyDescent="0.25">
      <c r="A179" s="114" t="str">
        <f>B179&amp;D179&amp;F179&amp;G179</f>
        <v>Physical ServicesPublic BuildingsWindow Replacement (Senior Center)GF</v>
      </c>
      <c r="B179" s="11" t="s">
        <v>366</v>
      </c>
      <c r="C179" s="11">
        <v>38</v>
      </c>
      <c r="D179" s="11" t="s">
        <v>47</v>
      </c>
      <c r="F179" s="186" t="s">
        <v>670</v>
      </c>
      <c r="G179" s="11" t="s">
        <v>16</v>
      </c>
      <c r="H179" s="11" t="s">
        <v>540</v>
      </c>
      <c r="K179" s="166"/>
      <c r="L179" s="166"/>
      <c r="M179" s="170"/>
      <c r="N179" s="166"/>
      <c r="O179" s="166"/>
      <c r="P179" s="166"/>
      <c r="Q179" s="166"/>
      <c r="R179" s="166"/>
      <c r="S179" s="166"/>
      <c r="T179" s="166"/>
      <c r="U179" s="166"/>
      <c r="V179" s="166">
        <v>750000</v>
      </c>
      <c r="W179" s="166"/>
    </row>
    <row r="180" spans="1:24" outlineLevel="1" x14ac:dyDescent="0.25">
      <c r="A180" s="114" t="str">
        <f>B180&amp;D180&amp;F180&amp;G180</f>
        <v>Physical ServicesPublic BuildingsRoof Replacement (Garage)LoCIP</v>
      </c>
      <c r="B180" s="11" t="s">
        <v>366</v>
      </c>
      <c r="C180" s="11">
        <v>38</v>
      </c>
      <c r="D180" s="11" t="s">
        <v>47</v>
      </c>
      <c r="F180" s="186" t="s">
        <v>461</v>
      </c>
      <c r="G180" s="11" t="s">
        <v>37</v>
      </c>
      <c r="H180" s="11" t="s">
        <v>540</v>
      </c>
      <c r="K180" s="166"/>
      <c r="L180" s="166"/>
      <c r="M180" s="170"/>
      <c r="N180" s="166">
        <v>120000</v>
      </c>
      <c r="O180" s="166"/>
      <c r="P180" s="166"/>
      <c r="Q180" s="166"/>
      <c r="R180" s="166"/>
      <c r="S180" s="166"/>
      <c r="T180" s="166"/>
      <c r="U180" s="166"/>
      <c r="V180" s="166"/>
      <c r="W180" s="166"/>
    </row>
    <row r="181" spans="1:24" outlineLevel="1" x14ac:dyDescent="0.25">
      <c r="A181" s="114" t="str">
        <f t="shared" si="38"/>
        <v>Physical ServicesPublic BuildingsRoof Repl-Est (Town Hall)Bond</v>
      </c>
      <c r="B181" s="11" t="s">
        <v>366</v>
      </c>
      <c r="C181" s="11">
        <v>38</v>
      </c>
      <c r="D181" s="11" t="s">
        <v>47</v>
      </c>
      <c r="F181" s="181" t="s">
        <v>453</v>
      </c>
      <c r="G181" s="11" t="s">
        <v>19</v>
      </c>
      <c r="H181" s="11" t="s">
        <v>540</v>
      </c>
      <c r="I181" s="11" t="s">
        <v>547</v>
      </c>
      <c r="K181" s="166"/>
      <c r="L181" s="166"/>
      <c r="M181" s="170"/>
      <c r="N181" s="115"/>
      <c r="O181" s="115"/>
      <c r="P181" s="115"/>
      <c r="Q181" s="115"/>
      <c r="R181" s="115">
        <v>1200000</v>
      </c>
      <c r="S181" s="115"/>
      <c r="T181" s="115"/>
      <c r="U181" s="115"/>
      <c r="V181" s="115"/>
      <c r="W181" s="115"/>
    </row>
    <row r="182" spans="1:24" outlineLevel="1" x14ac:dyDescent="0.25">
      <c r="A182" s="114" t="str">
        <f t="shared" si="38"/>
        <v>Physical ServicesPublic BuildingsRoof Replacement (Library)Bond</v>
      </c>
      <c r="B182" s="11" t="s">
        <v>366</v>
      </c>
      <c r="C182" s="11">
        <v>38</v>
      </c>
      <c r="D182" s="11" t="s">
        <v>47</v>
      </c>
      <c r="F182" s="186" t="s">
        <v>458</v>
      </c>
      <c r="G182" s="11" t="s">
        <v>19</v>
      </c>
      <c r="H182" s="11" t="s">
        <v>540</v>
      </c>
      <c r="I182" s="11" t="s">
        <v>547</v>
      </c>
      <c r="K182" s="166"/>
      <c r="L182" s="166"/>
      <c r="M182" s="170"/>
      <c r="N182" s="166"/>
      <c r="O182" s="166">
        <v>1200000</v>
      </c>
      <c r="P182" s="166"/>
      <c r="Q182" s="166"/>
      <c r="R182" s="166"/>
      <c r="S182" s="166"/>
      <c r="T182" s="166"/>
      <c r="U182" s="166"/>
      <c r="V182" s="166"/>
      <c r="W182" s="166"/>
    </row>
    <row r="183" spans="1:24" outlineLevel="1" x14ac:dyDescent="0.25">
      <c r="A183" s="114" t="str">
        <f t="shared" si="38"/>
        <v>Physical ServicesPublic BuildingsRoof Replacement (Senior Center)Bond</v>
      </c>
      <c r="B183" s="11" t="s">
        <v>366</v>
      </c>
      <c r="C183" s="11">
        <v>38</v>
      </c>
      <c r="D183" s="11" t="s">
        <v>47</v>
      </c>
      <c r="F183" s="186" t="s">
        <v>459</v>
      </c>
      <c r="G183" s="11" t="s">
        <v>19</v>
      </c>
      <c r="H183" s="11" t="s">
        <v>540</v>
      </c>
      <c r="I183" s="11" t="s">
        <v>547</v>
      </c>
      <c r="K183" s="166"/>
      <c r="L183" s="166"/>
      <c r="M183" s="170"/>
      <c r="N183" s="166"/>
      <c r="O183" s="166"/>
      <c r="P183" s="166"/>
      <c r="Q183" s="166"/>
      <c r="R183" s="166"/>
      <c r="S183" s="166"/>
      <c r="T183" s="201">
        <f>750000</f>
        <v>750000</v>
      </c>
      <c r="U183" s="201">
        <f>750000*0</f>
        <v>0</v>
      </c>
      <c r="V183" s="166"/>
      <c r="W183" s="166"/>
    </row>
    <row r="184" spans="1:24" ht="30" outlineLevel="1" x14ac:dyDescent="0.25">
      <c r="A184" s="114" t="str">
        <f>B184&amp;D184&amp;F184&amp;G184</f>
        <v>Physical ServicesPublic BuildingsRoof, windows &amp; door replacement - Timberlin Maintenance (Timberlin)GF</v>
      </c>
      <c r="B184" s="11" t="s">
        <v>366</v>
      </c>
      <c r="C184" s="11">
        <v>38</v>
      </c>
      <c r="D184" s="11" t="s">
        <v>47</v>
      </c>
      <c r="F184" s="187" t="s">
        <v>486</v>
      </c>
      <c r="G184" s="11" t="s">
        <v>16</v>
      </c>
      <c r="H184" s="11" t="s">
        <v>540</v>
      </c>
      <c r="K184" s="166"/>
      <c r="L184" s="166"/>
      <c r="M184" s="170"/>
      <c r="N184" s="166"/>
      <c r="O184" s="166"/>
      <c r="P184" s="166"/>
      <c r="Q184" s="166"/>
      <c r="R184" s="166"/>
      <c r="S184" s="201">
        <f>200000*0</f>
        <v>0</v>
      </c>
      <c r="T184" s="201">
        <f>200000</f>
        <v>200000</v>
      </c>
      <c r="U184" s="166"/>
      <c r="V184" s="166"/>
      <c r="W184" s="166"/>
    </row>
    <row r="185" spans="1:24" outlineLevel="1" x14ac:dyDescent="0.25">
      <c r="A185" s="114" t="str">
        <f>B185&amp;D185&amp;F185&amp;G185</f>
        <v>Physical ServicesPublic BuildingsTiberlin Maintenance Shop ExteriorGF</v>
      </c>
      <c r="B185" s="11" t="s">
        <v>366</v>
      </c>
      <c r="C185" s="11">
        <v>38</v>
      </c>
      <c r="D185" s="11" t="s">
        <v>47</v>
      </c>
      <c r="F185" s="187" t="s">
        <v>667</v>
      </c>
      <c r="G185" s="11" t="s">
        <v>16</v>
      </c>
      <c r="H185" s="11" t="s">
        <v>540</v>
      </c>
      <c r="K185" s="166"/>
      <c r="L185" s="166"/>
      <c r="M185" s="170"/>
      <c r="N185" s="166"/>
      <c r="O185" s="166">
        <v>50000</v>
      </c>
      <c r="P185" s="166"/>
      <c r="Q185" s="166"/>
      <c r="R185" s="166"/>
      <c r="S185" s="166"/>
      <c r="T185" s="166"/>
      <c r="U185" s="166"/>
      <c r="V185" s="166"/>
      <c r="W185" s="166"/>
    </row>
    <row r="186" spans="1:24" outlineLevel="1" x14ac:dyDescent="0.25">
      <c r="A186" s="114" t="str">
        <f t="shared" ref="A186" si="48">B186&amp;D186&amp;F186&amp;G186</f>
        <v>Physical ServicesPublic BuildingsElectrical panel upgrade (Town Hall)GF</v>
      </c>
      <c r="B186" s="11" t="s">
        <v>366</v>
      </c>
      <c r="C186" s="11">
        <v>38</v>
      </c>
      <c r="D186" s="11" t="s">
        <v>47</v>
      </c>
      <c r="F186" s="187" t="s">
        <v>660</v>
      </c>
      <c r="G186" s="11" t="s">
        <v>16</v>
      </c>
      <c r="H186" s="11" t="s">
        <v>540</v>
      </c>
      <c r="K186" s="166"/>
      <c r="L186" s="166"/>
      <c r="M186" s="170"/>
      <c r="N186" s="166"/>
      <c r="O186" s="166"/>
      <c r="P186" s="166"/>
      <c r="Q186" s="166"/>
      <c r="R186" s="166">
        <v>100000</v>
      </c>
      <c r="S186" s="166"/>
      <c r="T186" s="166"/>
      <c r="U186" s="166"/>
      <c r="V186" s="166"/>
      <c r="W186" s="166"/>
    </row>
    <row r="187" spans="1:24" outlineLevel="1" x14ac:dyDescent="0.25">
      <c r="A187" s="114" t="str">
        <f t="shared" si="38"/>
        <v>Physical ServicesPublic BuildingsElectrical service upgrades (Timerlin)GF</v>
      </c>
      <c r="B187" s="11" t="s">
        <v>366</v>
      </c>
      <c r="C187" s="11">
        <v>38</v>
      </c>
      <c r="D187" s="11" t="s">
        <v>47</v>
      </c>
      <c r="F187" s="187" t="s">
        <v>451</v>
      </c>
      <c r="G187" s="11" t="s">
        <v>16</v>
      </c>
      <c r="H187" s="11" t="s">
        <v>540</v>
      </c>
      <c r="K187" s="166"/>
      <c r="L187" s="166"/>
      <c r="M187" s="170"/>
      <c r="N187" s="166"/>
      <c r="O187" s="166"/>
      <c r="P187" s="166">
        <v>50000</v>
      </c>
      <c r="Q187" s="166"/>
      <c r="R187" s="166"/>
      <c r="S187" s="166"/>
      <c r="T187" s="166"/>
      <c r="U187" s="166"/>
      <c r="V187" s="166"/>
      <c r="W187" s="166"/>
    </row>
    <row r="188" spans="1:24" outlineLevel="1" x14ac:dyDescent="0.25">
      <c r="A188" s="114" t="str">
        <f t="shared" si="38"/>
        <v>Physical ServicesPublic BuildingsConversion to LED lighting - Town HallGF</v>
      </c>
      <c r="B188" s="11" t="s">
        <v>366</v>
      </c>
      <c r="C188" s="11">
        <v>38</v>
      </c>
      <c r="D188" s="11" t="s">
        <v>47</v>
      </c>
      <c r="F188" s="186" t="s">
        <v>576</v>
      </c>
      <c r="G188" s="11" t="s">
        <v>16</v>
      </c>
      <c r="H188" s="11" t="s">
        <v>540</v>
      </c>
      <c r="I188" s="11" t="s">
        <v>575</v>
      </c>
      <c r="K188" s="166"/>
      <c r="L188" s="166"/>
      <c r="M188" s="170"/>
      <c r="N188" s="166"/>
      <c r="O188" s="166"/>
      <c r="P188" s="166"/>
      <c r="Q188" s="166">
        <v>250000</v>
      </c>
      <c r="R188" s="166"/>
      <c r="S188" s="166"/>
      <c r="T188" s="166"/>
      <c r="U188" s="166"/>
      <c r="V188" s="166"/>
      <c r="W188" s="166"/>
    </row>
    <row r="189" spans="1:24" ht="30" outlineLevel="1" x14ac:dyDescent="0.25">
      <c r="A189" s="114" t="str">
        <f t="shared" si="38"/>
        <v>Physical ServicesPublic BuildingsConversion to LED lighting - Library/Community Center ($100k each location)GF</v>
      </c>
      <c r="B189" s="11" t="s">
        <v>366</v>
      </c>
      <c r="C189" s="11">
        <v>38</v>
      </c>
      <c r="D189" s="11" t="s">
        <v>47</v>
      </c>
      <c r="F189" s="186" t="s">
        <v>678</v>
      </c>
      <c r="G189" s="11" t="s">
        <v>16</v>
      </c>
      <c r="H189" s="11" t="s">
        <v>540</v>
      </c>
      <c r="I189" s="11" t="s">
        <v>575</v>
      </c>
      <c r="K189" s="166"/>
      <c r="L189" s="166"/>
      <c r="M189" s="170"/>
      <c r="N189" s="166"/>
      <c r="O189" s="166"/>
      <c r="P189" s="166"/>
      <c r="Q189" s="166"/>
      <c r="R189" s="166">
        <v>200000</v>
      </c>
      <c r="S189" s="166"/>
      <c r="T189" s="166"/>
      <c r="U189" s="166"/>
      <c r="V189" s="166"/>
      <c r="W189" s="166"/>
    </row>
    <row r="190" spans="1:24" outlineLevel="1" x14ac:dyDescent="0.25">
      <c r="A190" s="114" t="str">
        <f t="shared" ref="A190" si="49">B190&amp;D190&amp;F190&amp;G190</f>
        <v>Physical ServicesPublic BuildingsSage Park Field LightsGF</v>
      </c>
      <c r="B190" s="11" t="s">
        <v>366</v>
      </c>
      <c r="C190" s="11">
        <v>38</v>
      </c>
      <c r="D190" s="11" t="s">
        <v>47</v>
      </c>
      <c r="F190" s="181" t="s">
        <v>668</v>
      </c>
      <c r="G190" s="11" t="s">
        <v>16</v>
      </c>
      <c r="H190" s="11" t="s">
        <v>540</v>
      </c>
      <c r="K190" s="166"/>
      <c r="L190" s="166"/>
      <c r="M190" s="170"/>
      <c r="N190" s="115"/>
      <c r="O190" s="201">
        <f>500000*0</f>
        <v>0</v>
      </c>
      <c r="P190" s="115"/>
      <c r="Q190" s="201">
        <f>500000</f>
        <v>500000</v>
      </c>
      <c r="R190" s="115"/>
      <c r="S190" s="115"/>
      <c r="T190" s="115"/>
      <c r="U190" s="115"/>
      <c r="V190" s="115"/>
      <c r="W190" s="115"/>
    </row>
    <row r="191" spans="1:24" outlineLevel="1" x14ac:dyDescent="0.25">
      <c r="A191" s="114" t="str">
        <f t="shared" si="38"/>
        <v>Physical ServicesPublic BuildingsPhysical Services Generator UpgradesGF</v>
      </c>
      <c r="B191" s="11" t="s">
        <v>366</v>
      </c>
      <c r="C191" s="11">
        <v>38</v>
      </c>
      <c r="D191" s="11" t="s">
        <v>47</v>
      </c>
      <c r="F191" s="181" t="s">
        <v>674</v>
      </c>
      <c r="G191" s="11" t="s">
        <v>16</v>
      </c>
      <c r="H191" s="11" t="s">
        <v>540</v>
      </c>
      <c r="K191" s="166"/>
      <c r="L191" s="166"/>
      <c r="M191" s="170"/>
      <c r="N191" s="115"/>
      <c r="O191" s="115"/>
      <c r="P191" s="115"/>
      <c r="Q191" s="115"/>
      <c r="R191" s="115"/>
      <c r="S191" s="115"/>
      <c r="T191" s="115"/>
      <c r="U191" s="115">
        <v>350000</v>
      </c>
      <c r="V191" s="115"/>
      <c r="W191" s="115"/>
    </row>
    <row r="192" spans="1:24" outlineLevel="1" x14ac:dyDescent="0.25">
      <c r="A192" s="114" t="str">
        <f t="shared" ref="A192:A193" si="50">B192&amp;D192&amp;F192&amp;G192</f>
        <v>Physical ServicesPublic BuildingsPhysical Services Facilities AdditionGF</v>
      </c>
      <c r="B192" s="11" t="s">
        <v>366</v>
      </c>
      <c r="C192" s="11">
        <v>38</v>
      </c>
      <c r="D192" s="11" t="s">
        <v>47</v>
      </c>
      <c r="F192" s="181" t="s">
        <v>675</v>
      </c>
      <c r="G192" s="11" t="s">
        <v>16</v>
      </c>
      <c r="H192" s="11" t="s">
        <v>540</v>
      </c>
      <c r="K192" s="166"/>
      <c r="L192" s="166"/>
      <c r="M192" s="170"/>
      <c r="N192" s="115"/>
      <c r="O192" s="115"/>
      <c r="P192" s="115"/>
      <c r="Q192" s="115"/>
      <c r="R192" s="115"/>
      <c r="S192" s="115"/>
      <c r="T192" s="115"/>
      <c r="U192" s="115">
        <v>150000</v>
      </c>
      <c r="V192" s="115"/>
      <c r="W192" s="115"/>
    </row>
    <row r="193" spans="1:23" outlineLevel="1" x14ac:dyDescent="0.25">
      <c r="A193" s="114" t="str">
        <f t="shared" si="50"/>
        <v>Physical ServicesPublic BuildingsService VansGF</v>
      </c>
      <c r="B193" s="11" t="s">
        <v>366</v>
      </c>
      <c r="C193" s="11">
        <v>38</v>
      </c>
      <c r="D193" s="11" t="s">
        <v>47</v>
      </c>
      <c r="F193" s="181" t="s">
        <v>472</v>
      </c>
      <c r="G193" s="11" t="s">
        <v>16</v>
      </c>
      <c r="H193" s="11" t="s">
        <v>540</v>
      </c>
      <c r="K193" s="166"/>
      <c r="L193" s="166">
        <f>35000*0.5</f>
        <v>17500</v>
      </c>
      <c r="M193" s="170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</row>
    <row r="194" spans="1:23" outlineLevel="1" x14ac:dyDescent="0.25">
      <c r="A194" s="114" t="str">
        <f t="shared" si="38"/>
        <v>Physical ServicesPublic BuildingsVarious Contractual ServicesGrants</v>
      </c>
      <c r="B194" s="11" t="s">
        <v>366</v>
      </c>
      <c r="C194" s="11">
        <v>38</v>
      </c>
      <c r="D194" s="11" t="s">
        <v>47</v>
      </c>
      <c r="F194" s="186" t="s">
        <v>507</v>
      </c>
      <c r="G194" s="11" t="s">
        <v>38</v>
      </c>
      <c r="H194" s="11" t="s">
        <v>540</v>
      </c>
      <c r="K194" s="166">
        <v>30000</v>
      </c>
      <c r="L194" s="166"/>
      <c r="M194" s="170"/>
      <c r="N194" s="166"/>
      <c r="O194" s="166"/>
      <c r="P194" s="166"/>
      <c r="Q194" s="166"/>
      <c r="R194" s="166"/>
      <c r="S194" s="166"/>
      <c r="T194" s="166"/>
      <c r="U194" s="166"/>
      <c r="V194" s="166"/>
      <c r="W194" s="166"/>
    </row>
    <row r="195" spans="1:23" ht="15.75" outlineLevel="1" thickBot="1" x14ac:dyDescent="0.3">
      <c r="C195" s="11"/>
      <c r="F195" s="186"/>
      <c r="K195" s="165">
        <f t="shared" ref="K195:W195" si="51">SUM(K141:K194)</f>
        <v>115000</v>
      </c>
      <c r="L195" s="165">
        <f t="shared" si="51"/>
        <v>432500</v>
      </c>
      <c r="M195" s="169"/>
      <c r="N195" s="165">
        <f t="shared" si="51"/>
        <v>270000</v>
      </c>
      <c r="O195" s="165">
        <f t="shared" si="51"/>
        <v>1755000</v>
      </c>
      <c r="P195" s="165">
        <f t="shared" si="51"/>
        <v>1125000</v>
      </c>
      <c r="Q195" s="165">
        <f t="shared" si="51"/>
        <v>3000000</v>
      </c>
      <c r="R195" s="165">
        <f t="shared" si="51"/>
        <v>2730000</v>
      </c>
      <c r="S195" s="165">
        <f t="shared" si="51"/>
        <v>2500000</v>
      </c>
      <c r="T195" s="165">
        <f t="shared" si="51"/>
        <v>2050000</v>
      </c>
      <c r="U195" s="165">
        <f t="shared" si="51"/>
        <v>600000</v>
      </c>
      <c r="V195" s="165">
        <f t="shared" si="51"/>
        <v>1300000</v>
      </c>
      <c r="W195" s="165">
        <f t="shared" si="51"/>
        <v>3350000</v>
      </c>
    </row>
    <row r="196" spans="1:23" ht="15.75" outlineLevel="1" thickTop="1" x14ac:dyDescent="0.25">
      <c r="C196" s="11"/>
      <c r="F196" s="186"/>
      <c r="K196" s="166"/>
      <c r="L196" s="166"/>
      <c r="M196" s="170"/>
      <c r="N196" s="166"/>
      <c r="O196" s="166"/>
      <c r="P196" s="166"/>
      <c r="Q196" s="166"/>
      <c r="R196" s="166"/>
      <c r="S196" s="166"/>
      <c r="T196" s="166"/>
      <c r="U196" s="166"/>
      <c r="V196" s="166"/>
      <c r="W196" s="166"/>
    </row>
    <row r="197" spans="1:23" x14ac:dyDescent="0.25">
      <c r="C197" s="11"/>
      <c r="K197" s="166"/>
      <c r="L197" s="166"/>
      <c r="M197" s="170"/>
      <c r="N197" s="166"/>
      <c r="O197" s="166"/>
      <c r="P197" s="166"/>
      <c r="Q197" s="166"/>
      <c r="R197" s="166"/>
      <c r="S197" s="166"/>
      <c r="T197" s="166"/>
      <c r="U197" s="166"/>
      <c r="V197" s="166"/>
      <c r="W197" s="166"/>
    </row>
    <row r="198" spans="1:23" ht="30" outlineLevel="1" x14ac:dyDescent="0.25">
      <c r="A198" s="114" t="str">
        <f t="shared" ref="A198:A205" si="52">B198&amp;D198&amp;F198&amp;G198</f>
        <v>Parks, Recreation &amp; LibrariesGolf CourseBridges - 7 on course; 2 repaired per year using Golf CIP; $30k per bridge (estimate)Capital</v>
      </c>
      <c r="B198" s="11" t="s">
        <v>367</v>
      </c>
      <c r="C198" s="11">
        <v>43</v>
      </c>
      <c r="D198" s="11" t="s">
        <v>441</v>
      </c>
      <c r="F198" s="181" t="s">
        <v>572</v>
      </c>
      <c r="G198" s="11" t="s">
        <v>542</v>
      </c>
      <c r="H198" s="11" t="s">
        <v>540</v>
      </c>
      <c r="K198" s="166"/>
      <c r="L198" s="166"/>
      <c r="M198" s="170"/>
      <c r="N198" s="166">
        <v>40000</v>
      </c>
      <c r="O198" s="166">
        <v>40000</v>
      </c>
      <c r="P198" s="166">
        <v>40000</v>
      </c>
      <c r="Q198" s="166">
        <v>30000</v>
      </c>
      <c r="R198" s="166"/>
      <c r="S198" s="166"/>
      <c r="T198" s="166"/>
      <c r="U198" s="166"/>
      <c r="V198" s="166"/>
      <c r="W198" s="166"/>
    </row>
    <row r="199" spans="1:23" outlineLevel="1" x14ac:dyDescent="0.25">
      <c r="A199" s="114" t="str">
        <f t="shared" ref="A199" si="53">B199&amp;D199&amp;F199&amp;G199</f>
        <v>Parks, Recreation &amp; LibrariesGolf CourseLightning Detection SystemGF</v>
      </c>
      <c r="B199" s="11" t="s">
        <v>367</v>
      </c>
      <c r="C199" s="11">
        <v>43</v>
      </c>
      <c r="D199" s="11" t="s">
        <v>441</v>
      </c>
      <c r="F199" s="181" t="s">
        <v>783</v>
      </c>
      <c r="G199" s="11" t="s">
        <v>16</v>
      </c>
      <c r="H199" s="11" t="s">
        <v>540</v>
      </c>
      <c r="K199" s="166"/>
      <c r="L199" s="166"/>
      <c r="M199" s="170"/>
      <c r="N199" s="201">
        <f>20000*0</f>
        <v>0</v>
      </c>
      <c r="O199" s="201">
        <f>20000</f>
        <v>20000</v>
      </c>
      <c r="P199" s="115"/>
      <c r="Q199" s="115"/>
      <c r="R199" s="115"/>
      <c r="S199" s="115"/>
      <c r="T199" s="115"/>
      <c r="U199" s="115"/>
      <c r="V199" s="115"/>
      <c r="W199" s="115"/>
    </row>
    <row r="200" spans="1:23" outlineLevel="1" x14ac:dyDescent="0.25">
      <c r="A200" s="114" t="str">
        <f t="shared" si="52"/>
        <v>Parks, Recreation &amp; LibrariesGolf CourseUsed pickup truckGF</v>
      </c>
      <c r="B200" s="11" t="s">
        <v>367</v>
      </c>
      <c r="C200" s="11">
        <v>43</v>
      </c>
      <c r="D200" s="11" t="s">
        <v>441</v>
      </c>
      <c r="F200" s="181" t="s">
        <v>478</v>
      </c>
      <c r="G200" s="11" t="s">
        <v>16</v>
      </c>
      <c r="H200" s="11" t="s">
        <v>540</v>
      </c>
      <c r="K200" s="166"/>
      <c r="L200" s="166"/>
      <c r="M200" s="170"/>
      <c r="N200" s="201">
        <f>21000*0</f>
        <v>0</v>
      </c>
      <c r="O200" s="166">
        <v>21000</v>
      </c>
      <c r="P200" s="115"/>
      <c r="Q200" s="115"/>
      <c r="R200" s="115"/>
      <c r="S200" s="115"/>
      <c r="T200" s="115"/>
      <c r="U200" s="115"/>
      <c r="V200" s="115"/>
      <c r="W200" s="115"/>
    </row>
    <row r="201" spans="1:23" ht="45" outlineLevel="1" x14ac:dyDescent="0.25">
      <c r="A201" s="114" t="str">
        <f t="shared" si="52"/>
        <v>Parks, Recreation &amp; LibrariesGolf CourseGolf Equip Lease - SandPro, Utility Vehicle, Arifier &amp; Greens Mower (convert strategy to purchase one per yr instead of leasing many items for 4-5 yrs)GF</v>
      </c>
      <c r="B201" s="11" t="s">
        <v>367</v>
      </c>
      <c r="C201" s="11">
        <v>43</v>
      </c>
      <c r="D201" s="11" t="s">
        <v>441</v>
      </c>
      <c r="F201" s="181" t="s">
        <v>776</v>
      </c>
      <c r="G201" s="11" t="s">
        <v>16</v>
      </c>
      <c r="H201" s="11" t="s">
        <v>531</v>
      </c>
      <c r="K201" s="166"/>
      <c r="L201" s="166">
        <v>17863</v>
      </c>
      <c r="M201" s="170"/>
      <c r="N201" s="201">
        <f>L201*0</f>
        <v>0</v>
      </c>
      <c r="O201" s="166">
        <f>L201</f>
        <v>17863</v>
      </c>
      <c r="P201" s="166">
        <f>O201</f>
        <v>17863</v>
      </c>
      <c r="Q201" s="166">
        <f>P201</f>
        <v>17863</v>
      </c>
      <c r="R201" s="166"/>
      <c r="S201" s="166"/>
      <c r="T201" s="166"/>
      <c r="U201" s="166"/>
      <c r="V201" s="166"/>
      <c r="W201" s="166"/>
    </row>
    <row r="202" spans="1:23" outlineLevel="1" x14ac:dyDescent="0.25">
      <c r="A202" s="114" t="str">
        <f t="shared" si="52"/>
        <v>Parks, Recreation &amp; LibrariesGolf CourseGolf Equip Lease - Triplex mowers, greens/teesGF</v>
      </c>
      <c r="B202" s="11" t="s">
        <v>367</v>
      </c>
      <c r="C202" s="11">
        <v>43</v>
      </c>
      <c r="D202" s="11" t="s">
        <v>441</v>
      </c>
      <c r="F202" s="181" t="s">
        <v>308</v>
      </c>
      <c r="G202" s="11" t="s">
        <v>16</v>
      </c>
      <c r="H202" s="11" t="s">
        <v>531</v>
      </c>
      <c r="K202" s="166">
        <v>6419</v>
      </c>
      <c r="L202" s="166">
        <v>6419</v>
      </c>
      <c r="M202" s="170"/>
      <c r="N202" s="166">
        <v>6419</v>
      </c>
      <c r="O202" s="166"/>
      <c r="P202" s="166"/>
      <c r="Q202" s="166"/>
      <c r="R202" s="166"/>
      <c r="S202" s="166"/>
      <c r="T202" s="166"/>
      <c r="U202" s="166"/>
      <c r="V202" s="166"/>
      <c r="W202" s="166"/>
    </row>
    <row r="203" spans="1:23" outlineLevel="1" x14ac:dyDescent="0.25">
      <c r="A203" s="114" t="str">
        <f t="shared" si="52"/>
        <v>Parks, Recreation &amp; LibrariesGolf CourseGolf - Wash StationGF</v>
      </c>
      <c r="B203" s="11" t="s">
        <v>367</v>
      </c>
      <c r="C203" s="11">
        <v>43</v>
      </c>
      <c r="D203" s="11" t="s">
        <v>441</v>
      </c>
      <c r="F203" s="181" t="s">
        <v>350</v>
      </c>
      <c r="G203" s="11" t="s">
        <v>16</v>
      </c>
      <c r="H203" s="11" t="s">
        <v>540</v>
      </c>
      <c r="K203" s="166"/>
      <c r="L203" s="166"/>
      <c r="M203" s="170"/>
      <c r="N203" s="166"/>
      <c r="O203" s="166"/>
      <c r="P203" s="166">
        <v>45000</v>
      </c>
      <c r="Q203" s="166"/>
      <c r="R203" s="166"/>
      <c r="S203" s="166"/>
      <c r="T203" s="166"/>
      <c r="U203" s="166"/>
      <c r="V203" s="166"/>
      <c r="W203" s="166"/>
    </row>
    <row r="204" spans="1:23" outlineLevel="1" x14ac:dyDescent="0.25">
      <c r="A204" s="114" t="str">
        <f t="shared" si="52"/>
        <v>Parks, Recreation &amp; LibrariesGolf CourseGolf Equip Lease - Large Rough Mower &amp; Fairway MowerGF</v>
      </c>
      <c r="B204" s="11" t="s">
        <v>367</v>
      </c>
      <c r="C204" s="11">
        <v>43</v>
      </c>
      <c r="D204" s="11" t="s">
        <v>441</v>
      </c>
      <c r="F204" s="181" t="s">
        <v>186</v>
      </c>
      <c r="G204" s="11" t="s">
        <v>16</v>
      </c>
      <c r="H204" s="11" t="s">
        <v>531</v>
      </c>
      <c r="K204" s="166"/>
      <c r="L204" s="166"/>
      <c r="M204" s="170"/>
      <c r="N204" s="166"/>
      <c r="O204" s="166">
        <v>28964</v>
      </c>
      <c r="P204" s="166">
        <f>O204</f>
        <v>28964</v>
      </c>
      <c r="Q204" s="166">
        <f t="shared" ref="Q204:S204" si="54">P204</f>
        <v>28964</v>
      </c>
      <c r="R204" s="166">
        <f t="shared" si="54"/>
        <v>28964</v>
      </c>
      <c r="S204" s="166">
        <f t="shared" si="54"/>
        <v>28964</v>
      </c>
      <c r="T204" s="166"/>
      <c r="U204" s="166"/>
      <c r="V204" s="166"/>
      <c r="W204" s="166"/>
    </row>
    <row r="205" spans="1:23" ht="30" outlineLevel="1" x14ac:dyDescent="0.25">
      <c r="A205" s="114" t="str">
        <f t="shared" si="52"/>
        <v>Parks, Recreation &amp; LibrariesGolf CourseGolf Equip Lease - Greens Mower, Dump Body Utility, Conventional AerifierGF</v>
      </c>
      <c r="B205" s="11" t="s">
        <v>367</v>
      </c>
      <c r="C205" s="11">
        <v>43</v>
      </c>
      <c r="D205" s="11" t="s">
        <v>441</v>
      </c>
      <c r="F205" s="181" t="s">
        <v>680</v>
      </c>
      <c r="G205" s="11" t="s">
        <v>16</v>
      </c>
      <c r="H205" s="11" t="s">
        <v>531</v>
      </c>
      <c r="K205" s="166"/>
      <c r="L205" s="166"/>
      <c r="M205" s="170"/>
      <c r="N205" s="166"/>
      <c r="O205" s="166"/>
      <c r="P205" s="166"/>
      <c r="Q205" s="166"/>
      <c r="R205" s="166">
        <v>16500</v>
      </c>
      <c r="S205" s="166">
        <f>R205</f>
        <v>16500</v>
      </c>
      <c r="T205" s="166">
        <f t="shared" ref="T205:V206" si="55">S205</f>
        <v>16500</v>
      </c>
      <c r="U205" s="166">
        <f t="shared" si="55"/>
        <v>16500</v>
      </c>
      <c r="V205" s="166">
        <f t="shared" si="55"/>
        <v>16500</v>
      </c>
      <c r="W205" s="166"/>
    </row>
    <row r="206" spans="1:23" ht="30" outlineLevel="1" x14ac:dyDescent="0.25">
      <c r="A206" s="114" t="str">
        <f t="shared" ref="A206" si="56">B206&amp;D206&amp;F206&amp;G206</f>
        <v>Parks, Recreation &amp; LibrariesGolf CourseGolf Equip Lease - Greens Mower, Chemical Sprayer, Fairway MowerGF</v>
      </c>
      <c r="B206" s="11" t="s">
        <v>367</v>
      </c>
      <c r="C206" s="11">
        <v>43</v>
      </c>
      <c r="D206" s="11" t="s">
        <v>441</v>
      </c>
      <c r="F206" s="181" t="s">
        <v>681</v>
      </c>
      <c r="G206" s="11" t="s">
        <v>16</v>
      </c>
      <c r="H206" s="11" t="s">
        <v>531</v>
      </c>
      <c r="K206" s="166"/>
      <c r="L206" s="166"/>
      <c r="M206" s="170"/>
      <c r="N206" s="166"/>
      <c r="O206" s="166"/>
      <c r="P206" s="166"/>
      <c r="Q206" s="166"/>
      <c r="R206" s="166"/>
      <c r="S206" s="166"/>
      <c r="T206" s="166">
        <v>26000</v>
      </c>
      <c r="U206" s="166">
        <f t="shared" si="55"/>
        <v>26000</v>
      </c>
      <c r="V206" s="166">
        <f t="shared" si="55"/>
        <v>26000</v>
      </c>
      <c r="W206" s="166">
        <f>V206</f>
        <v>26000</v>
      </c>
    </row>
    <row r="207" spans="1:23" ht="15.75" outlineLevel="1" thickBot="1" x14ac:dyDescent="0.3">
      <c r="C207" s="11"/>
      <c r="K207" s="165">
        <f>SUM(K198:K206)</f>
        <v>6419</v>
      </c>
      <c r="L207" s="165">
        <f t="shared" ref="L207:W207" si="57">SUM(L198:L206)</f>
        <v>24282</v>
      </c>
      <c r="M207" s="169"/>
      <c r="N207" s="116">
        <f t="shared" si="57"/>
        <v>46419</v>
      </c>
      <c r="O207" s="116">
        <f t="shared" si="57"/>
        <v>127827</v>
      </c>
      <c r="P207" s="116">
        <f t="shared" si="57"/>
        <v>131827</v>
      </c>
      <c r="Q207" s="116">
        <f t="shared" si="57"/>
        <v>76827</v>
      </c>
      <c r="R207" s="116">
        <f t="shared" si="57"/>
        <v>45464</v>
      </c>
      <c r="S207" s="116">
        <f t="shared" si="57"/>
        <v>45464</v>
      </c>
      <c r="T207" s="116">
        <f t="shared" si="57"/>
        <v>42500</v>
      </c>
      <c r="U207" s="116">
        <f t="shared" si="57"/>
        <v>42500</v>
      </c>
      <c r="V207" s="116">
        <f t="shared" si="57"/>
        <v>42500</v>
      </c>
      <c r="W207" s="116">
        <f t="shared" si="57"/>
        <v>26000</v>
      </c>
    </row>
    <row r="208" spans="1:23" ht="15.75" outlineLevel="1" thickTop="1" x14ac:dyDescent="0.25">
      <c r="C208" s="11"/>
      <c r="K208" s="166"/>
      <c r="L208" s="166"/>
      <c r="M208" s="170"/>
      <c r="N208" s="166"/>
      <c r="O208" s="166"/>
      <c r="P208" s="166"/>
      <c r="Q208" s="166"/>
      <c r="R208" s="166"/>
      <c r="S208" s="166"/>
      <c r="T208" s="166"/>
      <c r="U208" s="166"/>
      <c r="V208" s="166"/>
      <c r="W208" s="166"/>
    </row>
    <row r="209" spans="1:25" outlineLevel="1" x14ac:dyDescent="0.25">
      <c r="A209" s="114" t="str">
        <f>B209&amp;D209&amp;F209&amp;G209</f>
        <v>Parks, Recreation &amp; LibrariesLibraryMakerspace EquipmentGF</v>
      </c>
      <c r="B209" s="11" t="s">
        <v>367</v>
      </c>
      <c r="C209" s="11">
        <v>44</v>
      </c>
      <c r="D209" s="11" t="s">
        <v>438</v>
      </c>
      <c r="F209" s="181" t="s">
        <v>352</v>
      </c>
      <c r="G209" s="11" t="s">
        <v>16</v>
      </c>
      <c r="H209" s="11" t="s">
        <v>540</v>
      </c>
      <c r="K209" s="166"/>
      <c r="L209" s="166"/>
      <c r="M209" s="170"/>
      <c r="N209" s="166"/>
      <c r="O209" s="166"/>
      <c r="P209" s="166">
        <v>50000</v>
      </c>
      <c r="Q209" s="166"/>
      <c r="R209" s="166"/>
      <c r="S209" s="166"/>
      <c r="T209" s="166"/>
      <c r="U209" s="166"/>
      <c r="V209" s="166"/>
      <c r="W209" s="166"/>
    </row>
    <row r="210" spans="1:25" outlineLevel="1" x14ac:dyDescent="0.25">
      <c r="A210" s="114" t="str">
        <f>B210&amp;D210&amp;F210&amp;G210</f>
        <v>Parks, Recreation &amp; LibrariesLibraryRFID ProjectGF</v>
      </c>
      <c r="B210" s="11" t="s">
        <v>367</v>
      </c>
      <c r="C210" s="11">
        <v>44</v>
      </c>
      <c r="D210" s="11" t="s">
        <v>438</v>
      </c>
      <c r="F210" s="181" t="s">
        <v>682</v>
      </c>
      <c r="G210" s="11" t="s">
        <v>16</v>
      </c>
      <c r="H210" s="11" t="s">
        <v>540</v>
      </c>
      <c r="K210" s="166"/>
      <c r="L210" s="166"/>
      <c r="M210" s="170"/>
      <c r="N210" s="166"/>
      <c r="O210" s="166"/>
      <c r="P210" s="166">
        <v>57000</v>
      </c>
      <c r="Q210" s="166"/>
      <c r="R210" s="166"/>
      <c r="S210" s="166"/>
      <c r="T210" s="166"/>
      <c r="U210" s="166"/>
      <c r="V210" s="166"/>
      <c r="W210" s="166"/>
    </row>
    <row r="211" spans="1:25" ht="15.75" outlineLevel="1" thickBot="1" x14ac:dyDescent="0.3">
      <c r="C211" s="11"/>
      <c r="K211" s="165">
        <f>SUM(K209:K210)</f>
        <v>0</v>
      </c>
      <c r="L211" s="165">
        <f>SUM(L209:L210)</f>
        <v>0</v>
      </c>
      <c r="M211" s="169"/>
      <c r="N211" s="116">
        <f t="shared" ref="N211:W211" si="58">SUM(N209:N210)</f>
        <v>0</v>
      </c>
      <c r="O211" s="116">
        <f t="shared" si="58"/>
        <v>0</v>
      </c>
      <c r="P211" s="116">
        <f t="shared" si="58"/>
        <v>107000</v>
      </c>
      <c r="Q211" s="116">
        <f t="shared" si="58"/>
        <v>0</v>
      </c>
      <c r="R211" s="116">
        <f t="shared" si="58"/>
        <v>0</v>
      </c>
      <c r="S211" s="116">
        <f t="shared" si="58"/>
        <v>0</v>
      </c>
      <c r="T211" s="116">
        <f t="shared" si="58"/>
        <v>0</v>
      </c>
      <c r="U211" s="116">
        <f t="shared" si="58"/>
        <v>0</v>
      </c>
      <c r="V211" s="116">
        <f t="shared" si="58"/>
        <v>0</v>
      </c>
      <c r="W211" s="116">
        <f t="shared" si="58"/>
        <v>0</v>
      </c>
      <c r="X211" s="124"/>
      <c r="Y211" s="124"/>
    </row>
    <row r="212" spans="1:25" ht="15.75" outlineLevel="1" thickTop="1" x14ac:dyDescent="0.25">
      <c r="C212" s="11"/>
      <c r="K212" s="166"/>
      <c r="L212" s="166"/>
      <c r="M212" s="170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24"/>
      <c r="Y212" s="124"/>
    </row>
    <row r="213" spans="1:25" outlineLevel="1" x14ac:dyDescent="0.25">
      <c r="A213" s="114" t="str">
        <f t="shared" ref="A213:A240" si="59">B213&amp;D213&amp;F213&amp;G213</f>
        <v>Parks, Recreation &amp; LibrariesPublic GroundsReplace artificial turf at ScaliseBond</v>
      </c>
      <c r="B213" s="11" t="s">
        <v>367</v>
      </c>
      <c r="C213" s="11">
        <v>45</v>
      </c>
      <c r="D213" s="11" t="s">
        <v>46</v>
      </c>
      <c r="F213" s="181" t="s">
        <v>489</v>
      </c>
      <c r="G213" s="11" t="s">
        <v>19</v>
      </c>
      <c r="H213" s="11" t="s">
        <v>540</v>
      </c>
      <c r="I213" s="11" t="s">
        <v>546</v>
      </c>
      <c r="K213" s="166"/>
      <c r="L213" s="166">
        <f>0</f>
        <v>0</v>
      </c>
      <c r="M213" s="170"/>
      <c r="N213" s="166">
        <v>1000000</v>
      </c>
      <c r="O213" s="115"/>
      <c r="P213" s="115"/>
      <c r="Q213" s="115"/>
      <c r="R213" s="115"/>
      <c r="S213" s="115"/>
      <c r="T213" s="115"/>
      <c r="U213" s="115"/>
      <c r="V213" s="166"/>
      <c r="W213" s="166">
        <v>1000000</v>
      </c>
      <c r="X213" s="207" t="s">
        <v>307</v>
      </c>
    </row>
    <row r="214" spans="1:25" outlineLevel="1" x14ac:dyDescent="0.25">
      <c r="A214" s="114" t="str">
        <f t="shared" si="59"/>
        <v>Parks, Recreation &amp; LibrariesPublic GroundsLarge rotary mowerGF</v>
      </c>
      <c r="B214" s="11" t="s">
        <v>367</v>
      </c>
      <c r="C214" s="11">
        <v>45</v>
      </c>
      <c r="D214" s="11" t="s">
        <v>46</v>
      </c>
      <c r="F214" s="181" t="s">
        <v>20</v>
      </c>
      <c r="G214" s="11" t="s">
        <v>16</v>
      </c>
      <c r="H214" s="11" t="s">
        <v>540</v>
      </c>
      <c r="K214" s="166"/>
      <c r="L214" s="166">
        <v>105000</v>
      </c>
      <c r="M214" s="170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</row>
    <row r="215" spans="1:25" outlineLevel="1" x14ac:dyDescent="0.25">
      <c r="A215" s="114" t="str">
        <f t="shared" si="59"/>
        <v>Parks, Recreation &amp; LibrariesPublic GroundsZero degree mowerGF</v>
      </c>
      <c r="B215" s="11" t="s">
        <v>367</v>
      </c>
      <c r="C215" s="11">
        <v>45</v>
      </c>
      <c r="D215" s="11" t="s">
        <v>46</v>
      </c>
      <c r="F215" s="181" t="s">
        <v>23</v>
      </c>
      <c r="G215" s="11" t="s">
        <v>16</v>
      </c>
      <c r="H215" s="11" t="s">
        <v>540</v>
      </c>
      <c r="K215" s="166"/>
      <c r="L215" s="166"/>
      <c r="M215" s="170"/>
      <c r="N215" s="201">
        <f>20000*0</f>
        <v>0</v>
      </c>
      <c r="O215" s="115">
        <v>20000</v>
      </c>
      <c r="P215" s="201">
        <v>20000</v>
      </c>
      <c r="Q215" s="115">
        <v>20000</v>
      </c>
      <c r="R215" s="115"/>
      <c r="S215" s="115">
        <v>20000</v>
      </c>
      <c r="T215" s="115"/>
      <c r="U215" s="115">
        <v>20000</v>
      </c>
      <c r="V215" s="115"/>
      <c r="W215" s="115">
        <v>20000</v>
      </c>
    </row>
    <row r="216" spans="1:25" outlineLevel="1" x14ac:dyDescent="0.25">
      <c r="A216" s="114" t="str">
        <f t="shared" si="59"/>
        <v>Parks, Recreation &amp; LibrariesPublic GroundsTrailer (20 ft.) replacementGF</v>
      </c>
      <c r="B216" s="11" t="s">
        <v>367</v>
      </c>
      <c r="C216" s="11">
        <v>45</v>
      </c>
      <c r="D216" s="11" t="s">
        <v>46</v>
      </c>
      <c r="F216" s="181" t="s">
        <v>22</v>
      </c>
      <c r="G216" s="11" t="s">
        <v>16</v>
      </c>
      <c r="H216" s="11" t="s">
        <v>540</v>
      </c>
      <c r="K216" s="166"/>
      <c r="L216" s="166">
        <v>10000</v>
      </c>
      <c r="M216" s="170"/>
      <c r="N216" s="201">
        <f>10000*0</f>
        <v>0</v>
      </c>
      <c r="O216" s="201">
        <f>10000</f>
        <v>10000</v>
      </c>
      <c r="P216" s="115"/>
      <c r="Q216" s="115"/>
      <c r="R216" s="115"/>
      <c r="S216" s="115"/>
      <c r="T216" s="115"/>
      <c r="U216" s="115"/>
      <c r="V216" s="115"/>
      <c r="W216" s="115"/>
    </row>
    <row r="217" spans="1:25" outlineLevel="1" x14ac:dyDescent="0.25">
      <c r="A217" s="114" t="str">
        <f t="shared" si="59"/>
        <v>Parks, Recreation &amp; LibrariesPublic GroundsEast Berlin Pool Parking LotGF</v>
      </c>
      <c r="B217" s="11" t="s">
        <v>367</v>
      </c>
      <c r="C217" s="11">
        <v>45</v>
      </c>
      <c r="D217" s="11" t="s">
        <v>46</v>
      </c>
      <c r="F217" s="181" t="s">
        <v>493</v>
      </c>
      <c r="G217" s="11" t="s">
        <v>16</v>
      </c>
      <c r="H217" s="11" t="s">
        <v>540</v>
      </c>
      <c r="I217" s="11" t="s">
        <v>548</v>
      </c>
      <c r="K217" s="166"/>
      <c r="L217" s="166"/>
      <c r="M217" s="170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207" t="s">
        <v>501</v>
      </c>
    </row>
    <row r="218" spans="1:25" outlineLevel="1" x14ac:dyDescent="0.25">
      <c r="A218" s="114" t="str">
        <f t="shared" si="59"/>
        <v>Parks, Recreation &amp; LibrariesPublic GroundsTimberlin Parking LotGF</v>
      </c>
      <c r="B218" s="11" t="s">
        <v>367</v>
      </c>
      <c r="C218" s="11">
        <v>45</v>
      </c>
      <c r="D218" s="11" t="s">
        <v>46</v>
      </c>
      <c r="F218" s="181" t="s">
        <v>494</v>
      </c>
      <c r="G218" s="11" t="s">
        <v>16</v>
      </c>
      <c r="H218" s="11" t="s">
        <v>540</v>
      </c>
      <c r="I218" s="11" t="s">
        <v>548</v>
      </c>
      <c r="K218" s="166"/>
      <c r="L218" s="166"/>
      <c r="M218" s="170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</row>
    <row r="219" spans="1:25" ht="30" outlineLevel="1" x14ac:dyDescent="0.25">
      <c r="A219" s="114" t="str">
        <f t="shared" si="59"/>
        <v>Parks, Recreation &amp; LibrariesPublic GroundsSage 1 Field Improvements - delay new concession/rest room bldg (lights are under Public Buildings)GF</v>
      </c>
      <c r="B219" s="11" t="s">
        <v>367</v>
      </c>
      <c r="C219" s="11">
        <v>45</v>
      </c>
      <c r="D219" s="11" t="s">
        <v>46</v>
      </c>
      <c r="F219" s="181" t="s">
        <v>777</v>
      </c>
      <c r="G219" s="11" t="s">
        <v>16</v>
      </c>
      <c r="H219" s="11" t="s">
        <v>540</v>
      </c>
      <c r="K219" s="166"/>
      <c r="L219" s="166"/>
      <c r="M219" s="170"/>
      <c r="N219" s="201">
        <f>402000*0+385000*0</f>
        <v>0</v>
      </c>
      <c r="O219" s="166"/>
      <c r="P219" s="115"/>
      <c r="Q219" s="115"/>
      <c r="R219" s="201">
        <f>402000*0+385000</f>
        <v>385000</v>
      </c>
      <c r="S219" s="115"/>
      <c r="T219" s="115"/>
      <c r="U219" s="115"/>
    </row>
    <row r="220" spans="1:25" outlineLevel="1" x14ac:dyDescent="0.25">
      <c r="A220" s="114" t="str">
        <f t="shared" ref="A220" si="60">B220&amp;D220&amp;F220&amp;G220</f>
        <v>Parks, Recreation &amp; LibrariesPublic GroundsSage 2 Field ImprovementsGF</v>
      </c>
      <c r="B220" s="11" t="s">
        <v>367</v>
      </c>
      <c r="C220" s="11">
        <v>45</v>
      </c>
      <c r="D220" s="11" t="s">
        <v>46</v>
      </c>
      <c r="F220" s="181" t="s">
        <v>685</v>
      </c>
      <c r="G220" s="11" t="s">
        <v>16</v>
      </c>
      <c r="H220" s="11" t="s">
        <v>540</v>
      </c>
      <c r="K220" s="166"/>
      <c r="L220" s="166"/>
      <c r="M220" s="170"/>
      <c r="N220" s="115"/>
      <c r="O220" s="115">
        <v>35000</v>
      </c>
      <c r="P220" s="115"/>
      <c r="Q220" s="115"/>
      <c r="R220" s="115"/>
      <c r="S220" s="115"/>
      <c r="T220" s="115"/>
      <c r="U220" s="115"/>
    </row>
    <row r="221" spans="1:25" ht="30" outlineLevel="1" x14ac:dyDescent="0.25">
      <c r="A221" s="114" t="str">
        <f t="shared" si="59"/>
        <v>Parks, Recreation &amp; LibrariesPublic GroundsConversion of Demore, Dinda, Bittner Jr. Memorial Pool into Splash PadGF</v>
      </c>
      <c r="B221" s="11" t="s">
        <v>367</v>
      </c>
      <c r="C221" s="11">
        <v>45</v>
      </c>
      <c r="D221" s="11" t="s">
        <v>46</v>
      </c>
      <c r="F221" s="181" t="s">
        <v>684</v>
      </c>
      <c r="G221" s="11" t="s">
        <v>16</v>
      </c>
      <c r="H221" s="11" t="s">
        <v>540</v>
      </c>
      <c r="K221" s="166"/>
      <c r="L221" s="166"/>
      <c r="M221" s="170"/>
      <c r="N221" s="201">
        <f>82841*0</f>
        <v>0</v>
      </c>
      <c r="O221" s="115"/>
      <c r="P221" s="115"/>
      <c r="Q221" s="201">
        <f>82841*1.1</f>
        <v>91125.1</v>
      </c>
      <c r="R221" s="115"/>
      <c r="S221" s="115"/>
      <c r="T221" s="115"/>
      <c r="U221" s="115"/>
      <c r="V221" s="115"/>
      <c r="W221" s="115"/>
    </row>
    <row r="222" spans="1:25" outlineLevel="1" x14ac:dyDescent="0.25">
      <c r="A222" s="114" t="str">
        <f t="shared" si="59"/>
        <v>Parks, Recreation &amp; LibrariesPublic GroundsMini excavator (used)GF</v>
      </c>
      <c r="B222" s="11" t="s">
        <v>367</v>
      </c>
      <c r="C222" s="11">
        <v>45</v>
      </c>
      <c r="D222" s="11" t="s">
        <v>46</v>
      </c>
      <c r="F222" s="181" t="s">
        <v>25</v>
      </c>
      <c r="G222" s="11" t="s">
        <v>16</v>
      </c>
      <c r="H222" s="11" t="s">
        <v>540</v>
      </c>
      <c r="K222" s="166"/>
      <c r="L222" s="166"/>
      <c r="M222" s="170"/>
      <c r="N222" s="201">
        <f>(78000-28000)*0</f>
        <v>0</v>
      </c>
      <c r="O222" s="201">
        <f>(78000-28000)</f>
        <v>50000</v>
      </c>
      <c r="P222" s="115"/>
      <c r="Q222" s="115"/>
      <c r="R222" s="115"/>
      <c r="S222" s="115"/>
      <c r="T222" s="115"/>
      <c r="U222" s="115"/>
    </row>
    <row r="223" spans="1:25" outlineLevel="1" x14ac:dyDescent="0.25">
      <c r="A223" s="114" t="str">
        <f t="shared" si="59"/>
        <v>Parks, Recreation &amp; LibrariesPublic GroundsDennehy Field Parking LotGrants</v>
      </c>
      <c r="B223" s="11" t="s">
        <v>367</v>
      </c>
      <c r="C223" s="11">
        <v>45</v>
      </c>
      <c r="D223" s="11" t="s">
        <v>46</v>
      </c>
      <c r="F223" s="181" t="s">
        <v>495</v>
      </c>
      <c r="G223" s="11" t="s">
        <v>38</v>
      </c>
      <c r="H223" s="11" t="s">
        <v>540</v>
      </c>
      <c r="I223" s="11" t="s">
        <v>548</v>
      </c>
      <c r="K223" s="166"/>
      <c r="L223" s="166"/>
      <c r="M223" s="170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</row>
    <row r="224" spans="1:25" outlineLevel="1" x14ac:dyDescent="0.25">
      <c r="A224" s="114" t="str">
        <f t="shared" si="59"/>
        <v>Parks, Recreation &amp; LibrariesPublic GroundsPick UpsGF</v>
      </c>
      <c r="B224" s="11" t="s">
        <v>367</v>
      </c>
      <c r="C224" s="11">
        <v>45</v>
      </c>
      <c r="D224" s="11" t="s">
        <v>46</v>
      </c>
      <c r="F224" s="181" t="s">
        <v>481</v>
      </c>
      <c r="G224" s="11" t="s">
        <v>16</v>
      </c>
      <c r="H224" s="11" t="s">
        <v>540</v>
      </c>
      <c r="K224" s="166"/>
      <c r="L224" s="166"/>
      <c r="M224" s="170"/>
      <c r="N224" s="115"/>
      <c r="O224" s="115">
        <v>40000</v>
      </c>
      <c r="P224" s="115"/>
      <c r="Q224" s="115">
        <v>40000</v>
      </c>
      <c r="R224" s="115"/>
      <c r="S224" s="115">
        <v>40000</v>
      </c>
      <c r="T224" s="115"/>
      <c r="U224" s="115">
        <v>40000</v>
      </c>
      <c r="V224" s="115"/>
      <c r="W224" s="115">
        <v>40000</v>
      </c>
    </row>
    <row r="225" spans="1:24" outlineLevel="1" x14ac:dyDescent="0.25">
      <c r="A225" s="114" t="str">
        <f t="shared" si="59"/>
        <v>Parks, Recreation &amp; LibrariesPublic GroundsReplace locks  at Sage ParkGF</v>
      </c>
      <c r="B225" s="11" t="s">
        <v>367</v>
      </c>
      <c r="C225" s="11">
        <v>45</v>
      </c>
      <c r="D225" s="11" t="s">
        <v>46</v>
      </c>
      <c r="F225" s="181" t="s">
        <v>283</v>
      </c>
      <c r="G225" s="11" t="s">
        <v>16</v>
      </c>
      <c r="H225" s="11" t="s">
        <v>540</v>
      </c>
      <c r="K225" s="166"/>
      <c r="L225" s="166"/>
      <c r="M225" s="170"/>
      <c r="N225" s="115"/>
      <c r="O225" s="115">
        <v>40000</v>
      </c>
      <c r="P225" s="115"/>
      <c r="Q225" s="115"/>
      <c r="R225" s="115"/>
      <c r="S225" s="115"/>
      <c r="T225" s="115"/>
      <c r="U225" s="115"/>
      <c r="V225" s="115"/>
      <c r="W225" s="115"/>
    </row>
    <row r="226" spans="1:24" outlineLevel="1" x14ac:dyDescent="0.25">
      <c r="A226" s="114" t="str">
        <f t="shared" si="59"/>
        <v>Parks, Recreation &amp; LibrariesPublic GroundsBall field groomerGF</v>
      </c>
      <c r="B226" s="11" t="s">
        <v>367</v>
      </c>
      <c r="C226" s="11">
        <v>45</v>
      </c>
      <c r="D226" s="11" t="s">
        <v>46</v>
      </c>
      <c r="F226" s="181" t="s">
        <v>21</v>
      </c>
      <c r="G226" s="11" t="s">
        <v>16</v>
      </c>
      <c r="H226" s="11" t="s">
        <v>540</v>
      </c>
      <c r="K226" s="166"/>
      <c r="L226" s="166"/>
      <c r="M226" s="170"/>
      <c r="N226" s="201">
        <f>23500*0</f>
        <v>0</v>
      </c>
      <c r="O226" s="115"/>
      <c r="P226" s="115"/>
      <c r="Q226" s="201">
        <v>23500</v>
      </c>
      <c r="R226" s="115"/>
      <c r="S226" s="115"/>
      <c r="T226" s="115"/>
      <c r="U226" s="115"/>
      <c r="V226" s="115"/>
      <c r="W226" s="115">
        <v>30000</v>
      </c>
    </row>
    <row r="227" spans="1:24" outlineLevel="1" x14ac:dyDescent="0.25">
      <c r="A227" s="114" t="str">
        <f t="shared" si="59"/>
        <v>Parks, Recreation &amp; LibrariesPublic GroundsGoosinatorGF</v>
      </c>
      <c r="B227" s="11" t="s">
        <v>367</v>
      </c>
      <c r="C227" s="11">
        <v>45</v>
      </c>
      <c r="D227" s="11" t="s">
        <v>46</v>
      </c>
      <c r="F227" s="181" t="s">
        <v>354</v>
      </c>
      <c r="G227" s="11" t="s">
        <v>16</v>
      </c>
      <c r="H227" s="11" t="s">
        <v>540</v>
      </c>
      <c r="K227" s="166"/>
      <c r="L227" s="166"/>
      <c r="M227" s="170"/>
      <c r="N227" s="201">
        <f>8000*0</f>
        <v>0</v>
      </c>
      <c r="O227" s="115"/>
      <c r="P227" s="115"/>
      <c r="Q227" s="115"/>
      <c r="R227" s="115"/>
      <c r="S227" s="115"/>
      <c r="T227" s="115"/>
      <c r="U227" s="115"/>
    </row>
    <row r="228" spans="1:24" outlineLevel="1" x14ac:dyDescent="0.25">
      <c r="A228" s="114" t="str">
        <f t="shared" si="59"/>
        <v>Parks, Recreation &amp; LibrariesPublic GroundsTrailersGF</v>
      </c>
      <c r="B228" s="11" t="s">
        <v>367</v>
      </c>
      <c r="C228" s="11">
        <v>45</v>
      </c>
      <c r="D228" s="11" t="s">
        <v>46</v>
      </c>
      <c r="F228" s="181" t="s">
        <v>482</v>
      </c>
      <c r="G228" s="11" t="s">
        <v>16</v>
      </c>
      <c r="H228" s="11" t="s">
        <v>531</v>
      </c>
      <c r="K228" s="166"/>
      <c r="L228" s="166"/>
      <c r="M228" s="170"/>
      <c r="N228" s="115"/>
      <c r="O228" s="115"/>
      <c r="P228" s="115">
        <v>8000</v>
      </c>
      <c r="Q228" s="115"/>
      <c r="R228" s="115">
        <v>8000</v>
      </c>
      <c r="S228" s="115"/>
      <c r="T228" s="115">
        <v>8000</v>
      </c>
      <c r="U228" s="115"/>
      <c r="V228" s="115">
        <v>8000</v>
      </c>
      <c r="W228" s="115"/>
    </row>
    <row r="229" spans="1:24" outlineLevel="1" x14ac:dyDescent="0.25">
      <c r="A229" s="114" t="str">
        <f t="shared" si="59"/>
        <v>Parks, Recreation &amp; LibrariesPublic GroundsEquipmentGF</v>
      </c>
      <c r="B229" s="11" t="s">
        <v>367</v>
      </c>
      <c r="C229" s="11">
        <v>45</v>
      </c>
      <c r="D229" s="11" t="s">
        <v>46</v>
      </c>
      <c r="F229" s="181" t="s">
        <v>483</v>
      </c>
      <c r="G229" s="11" t="s">
        <v>16</v>
      </c>
      <c r="H229" s="11" t="s">
        <v>540</v>
      </c>
      <c r="K229" s="166"/>
      <c r="L229" s="166"/>
      <c r="M229" s="170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</row>
    <row r="230" spans="1:24" outlineLevel="1" x14ac:dyDescent="0.25">
      <c r="A230" s="114" t="str">
        <f t="shared" si="59"/>
        <v>Parks, Recreation &amp; LibrariesPublic GroundsDump TrucksGF</v>
      </c>
      <c r="B230" s="11" t="s">
        <v>367</v>
      </c>
      <c r="C230" s="11">
        <v>45</v>
      </c>
      <c r="D230" s="11" t="s">
        <v>46</v>
      </c>
      <c r="F230" s="181" t="s">
        <v>479</v>
      </c>
      <c r="G230" s="11" t="s">
        <v>16</v>
      </c>
      <c r="H230" s="11" t="s">
        <v>540</v>
      </c>
      <c r="K230" s="166"/>
      <c r="L230" s="166"/>
      <c r="M230" s="170"/>
      <c r="N230" s="115"/>
      <c r="O230" s="201">
        <f>80000*0</f>
        <v>0</v>
      </c>
      <c r="P230" s="201">
        <v>80000</v>
      </c>
      <c r="Q230" s="115"/>
      <c r="R230" s="115"/>
      <c r="S230" s="115"/>
      <c r="T230" s="115">
        <v>100000</v>
      </c>
      <c r="U230" s="115"/>
      <c r="V230" s="115"/>
      <c r="W230" s="115"/>
    </row>
    <row r="231" spans="1:24" outlineLevel="1" x14ac:dyDescent="0.25">
      <c r="A231" s="114" t="str">
        <f t="shared" si="59"/>
        <v>Parks, Recreation &amp; LibrariesPublic GroundsLeaf boxGF</v>
      </c>
      <c r="B231" s="11" t="s">
        <v>367</v>
      </c>
      <c r="C231" s="11">
        <v>45</v>
      </c>
      <c r="D231" s="11" t="s">
        <v>46</v>
      </c>
      <c r="F231" s="181" t="s">
        <v>27</v>
      </c>
      <c r="G231" s="11" t="s">
        <v>16</v>
      </c>
      <c r="H231" s="11" t="s">
        <v>540</v>
      </c>
      <c r="K231" s="166"/>
      <c r="L231" s="166"/>
      <c r="M231" s="170"/>
      <c r="N231" s="115"/>
      <c r="O231" s="115">
        <v>6000</v>
      </c>
      <c r="P231" s="115">
        <v>6000</v>
      </c>
      <c r="Q231" s="115"/>
      <c r="R231" s="115"/>
      <c r="S231" s="115"/>
      <c r="T231" s="115"/>
      <c r="U231" s="115"/>
    </row>
    <row r="232" spans="1:24" outlineLevel="1" x14ac:dyDescent="0.25">
      <c r="A232" s="114" t="str">
        <f t="shared" si="59"/>
        <v>Parks, Recreation &amp; LibrariesPublic GroundsDredging Sage PondGF</v>
      </c>
      <c r="B232" s="11" t="s">
        <v>367</v>
      </c>
      <c r="C232" s="11">
        <v>45</v>
      </c>
      <c r="D232" s="11" t="s">
        <v>46</v>
      </c>
      <c r="F232" s="181" t="s">
        <v>29</v>
      </c>
      <c r="G232" s="11" t="s">
        <v>16</v>
      </c>
      <c r="H232" s="11" t="s">
        <v>540</v>
      </c>
      <c r="K232" s="166"/>
      <c r="L232" s="166"/>
      <c r="M232" s="170"/>
      <c r="N232" s="115"/>
      <c r="O232" s="115"/>
      <c r="P232" s="115">
        <v>80000</v>
      </c>
      <c r="Q232" s="115"/>
      <c r="R232" s="115"/>
      <c r="S232" s="115"/>
      <c r="T232" s="115"/>
      <c r="U232" s="115"/>
    </row>
    <row r="233" spans="1:24" outlineLevel="1" x14ac:dyDescent="0.25">
      <c r="A233" s="114" t="str">
        <f t="shared" si="59"/>
        <v>Parks, Recreation &amp; LibrariesPublic GroundsRollerGF</v>
      </c>
      <c r="B233" s="11" t="s">
        <v>367</v>
      </c>
      <c r="C233" s="11">
        <v>45</v>
      </c>
      <c r="D233" s="11" t="s">
        <v>46</v>
      </c>
      <c r="F233" s="181" t="s">
        <v>32</v>
      </c>
      <c r="G233" s="11" t="s">
        <v>16</v>
      </c>
      <c r="H233" s="11" t="s">
        <v>540</v>
      </c>
      <c r="K233" s="166"/>
      <c r="L233" s="166"/>
      <c r="M233" s="170"/>
      <c r="N233" s="115"/>
      <c r="O233" s="115"/>
      <c r="P233" s="115">
        <v>17000</v>
      </c>
      <c r="Q233" s="115"/>
      <c r="R233" s="115"/>
      <c r="S233" s="115"/>
      <c r="T233" s="115"/>
      <c r="U233" s="115"/>
    </row>
    <row r="234" spans="1:24" outlineLevel="1" x14ac:dyDescent="0.25">
      <c r="A234" s="114" t="str">
        <f t="shared" ref="A234" si="61">B234&amp;D234&amp;F234&amp;G234</f>
        <v>Parks, Recreation &amp; LibrariesPublic GroundsBobcatGF</v>
      </c>
      <c r="B234" s="11" t="s">
        <v>367</v>
      </c>
      <c r="C234" s="11">
        <v>45</v>
      </c>
      <c r="D234" s="11" t="s">
        <v>46</v>
      </c>
      <c r="F234" s="181" t="s">
        <v>686</v>
      </c>
      <c r="G234" s="11" t="s">
        <v>16</v>
      </c>
      <c r="H234" s="11" t="s">
        <v>540</v>
      </c>
      <c r="K234" s="166"/>
      <c r="L234" s="166"/>
      <c r="M234" s="170"/>
      <c r="N234" s="115"/>
      <c r="O234" s="115"/>
      <c r="P234" s="115"/>
      <c r="Q234" s="115"/>
      <c r="R234" s="115"/>
      <c r="S234" s="115"/>
      <c r="T234" s="115"/>
      <c r="U234" s="115"/>
      <c r="W234" s="114">
        <v>125000</v>
      </c>
    </row>
    <row r="235" spans="1:24" outlineLevel="1" x14ac:dyDescent="0.25">
      <c r="A235" s="114" t="str">
        <f t="shared" si="59"/>
        <v>Parks, Recreation &amp; LibrariesPublic GroundsRagged Mountain Walking TrailsGF</v>
      </c>
      <c r="B235" s="11" t="s">
        <v>367</v>
      </c>
      <c r="C235" s="11">
        <v>45</v>
      </c>
      <c r="D235" s="11" t="s">
        <v>46</v>
      </c>
      <c r="F235" s="181" t="s">
        <v>30</v>
      </c>
      <c r="G235" s="11" t="s">
        <v>16</v>
      </c>
      <c r="H235" s="11" t="s">
        <v>540</v>
      </c>
      <c r="K235" s="166"/>
      <c r="L235" s="166"/>
      <c r="M235" s="170"/>
      <c r="N235" s="115"/>
      <c r="O235" s="115"/>
      <c r="P235" s="115">
        <v>15000</v>
      </c>
      <c r="Q235" s="115"/>
      <c r="R235" s="115"/>
      <c r="S235" s="115"/>
      <c r="T235" s="115"/>
      <c r="U235" s="115"/>
    </row>
    <row r="236" spans="1:24" outlineLevel="1" x14ac:dyDescent="0.25">
      <c r="A236" s="114" t="str">
        <f t="shared" si="59"/>
        <v>Parks, Recreation &amp; LibrariesPublic GroundsRiding mower (w/ cab, plow &amp; broom)GF</v>
      </c>
      <c r="B236" s="11" t="s">
        <v>367</v>
      </c>
      <c r="C236" s="11">
        <v>45</v>
      </c>
      <c r="D236" s="11" t="s">
        <v>46</v>
      </c>
      <c r="F236" s="181" t="s">
        <v>39</v>
      </c>
      <c r="G236" s="11" t="s">
        <v>16</v>
      </c>
      <c r="H236" s="11" t="s">
        <v>540</v>
      </c>
      <c r="K236" s="166"/>
      <c r="L236" s="166"/>
      <c r="M236" s="170"/>
      <c r="N236" s="115"/>
      <c r="O236" s="115"/>
      <c r="P236" s="115"/>
      <c r="Q236" s="115">
        <v>75000</v>
      </c>
      <c r="R236" s="115"/>
      <c r="S236" s="115"/>
      <c r="T236" s="115"/>
      <c r="U236" s="115"/>
    </row>
    <row r="237" spans="1:24" outlineLevel="1" x14ac:dyDescent="0.25">
      <c r="A237" s="114" t="str">
        <f t="shared" si="59"/>
        <v>Parks, Recreation &amp; LibrariesPublic GroundsFuture bikewaysGF</v>
      </c>
      <c r="B237" s="11" t="s">
        <v>367</v>
      </c>
      <c r="C237" s="11">
        <v>45</v>
      </c>
      <c r="D237" s="11" t="s">
        <v>46</v>
      </c>
      <c r="F237" s="181" t="s">
        <v>40</v>
      </c>
      <c r="G237" s="11" t="s">
        <v>16</v>
      </c>
      <c r="H237" s="11" t="s">
        <v>540</v>
      </c>
      <c r="K237" s="166"/>
      <c r="L237" s="166"/>
      <c r="M237" s="170"/>
      <c r="N237" s="115"/>
      <c r="O237" s="115"/>
      <c r="P237" s="115"/>
      <c r="Q237" s="115"/>
      <c r="R237" s="115">
        <v>60000</v>
      </c>
      <c r="S237" s="115"/>
      <c r="T237" s="115"/>
      <c r="U237" s="115"/>
    </row>
    <row r="238" spans="1:24" outlineLevel="1" x14ac:dyDescent="0.25">
      <c r="A238" s="114" t="str">
        <f t="shared" si="59"/>
        <v>Parks, Recreation &amp; LibrariesPublic GroundsPaper Goods PondGF</v>
      </c>
      <c r="B238" s="11" t="s">
        <v>367</v>
      </c>
      <c r="C238" s="11">
        <v>45</v>
      </c>
      <c r="D238" s="11" t="s">
        <v>46</v>
      </c>
      <c r="F238" s="181" t="s">
        <v>90</v>
      </c>
      <c r="G238" s="11" t="s">
        <v>16</v>
      </c>
      <c r="H238" s="11" t="s">
        <v>540</v>
      </c>
      <c r="K238" s="166"/>
      <c r="L238" s="166"/>
      <c r="M238" s="170"/>
      <c r="N238" s="115"/>
      <c r="O238" s="115"/>
      <c r="P238" s="115"/>
      <c r="Q238" s="115"/>
      <c r="R238" s="115"/>
      <c r="S238" s="115"/>
      <c r="T238" s="115">
        <v>25000</v>
      </c>
      <c r="U238" s="115"/>
      <c r="V238" s="115"/>
      <c r="W238" s="115"/>
      <c r="X238" s="124"/>
    </row>
    <row r="239" spans="1:24" outlineLevel="1" x14ac:dyDescent="0.25">
      <c r="A239" s="114" t="str">
        <f t="shared" si="59"/>
        <v>Parks, Recreation &amp; LibrariesPublic GroundsRebuild Zipadelli infieldBond - E</v>
      </c>
      <c r="B239" s="11" t="s">
        <v>367</v>
      </c>
      <c r="C239" s="11">
        <v>45</v>
      </c>
      <c r="D239" s="11" t="s">
        <v>46</v>
      </c>
      <c r="F239" s="181" t="s">
        <v>14</v>
      </c>
      <c r="G239" s="11" t="s">
        <v>243</v>
      </c>
      <c r="H239" s="11" t="s">
        <v>540</v>
      </c>
      <c r="K239" s="166">
        <v>85000</v>
      </c>
      <c r="L239" s="166"/>
      <c r="M239" s="170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</row>
    <row r="240" spans="1:24" outlineLevel="1" x14ac:dyDescent="0.25">
      <c r="A240" s="114" t="str">
        <f t="shared" si="59"/>
        <v>Parks, Recreation &amp; LibrariesPublic GroundsService TrucksGF</v>
      </c>
      <c r="B240" s="11" t="s">
        <v>367</v>
      </c>
      <c r="C240" s="11">
        <v>45</v>
      </c>
      <c r="D240" s="11" t="s">
        <v>46</v>
      </c>
      <c r="F240" s="181" t="s">
        <v>480</v>
      </c>
      <c r="G240" s="11" t="s">
        <v>16</v>
      </c>
      <c r="H240" s="11" t="s">
        <v>540</v>
      </c>
      <c r="K240" s="166">
        <v>8000</v>
      </c>
      <c r="L240" s="166"/>
      <c r="M240" s="170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</row>
    <row r="241" spans="1:24" ht="15.75" outlineLevel="1" thickBot="1" x14ac:dyDescent="0.3">
      <c r="C241" s="11"/>
      <c r="K241" s="165">
        <f>SUM(K213:K240)</f>
        <v>93000</v>
      </c>
      <c r="L241" s="165">
        <f>SUM(L213:L240)</f>
        <v>115000</v>
      </c>
      <c r="M241" s="169"/>
      <c r="N241" s="116">
        <f t="shared" ref="N241:W241" si="62">SUM(N213:N240)</f>
        <v>1000000</v>
      </c>
      <c r="O241" s="116">
        <f t="shared" si="62"/>
        <v>201000</v>
      </c>
      <c r="P241" s="116">
        <f t="shared" si="62"/>
        <v>226000</v>
      </c>
      <c r="Q241" s="116">
        <f t="shared" si="62"/>
        <v>249625.1</v>
      </c>
      <c r="R241" s="116">
        <f t="shared" si="62"/>
        <v>453000</v>
      </c>
      <c r="S241" s="116">
        <f t="shared" si="62"/>
        <v>60000</v>
      </c>
      <c r="T241" s="116">
        <f t="shared" si="62"/>
        <v>133000</v>
      </c>
      <c r="U241" s="116">
        <f t="shared" si="62"/>
        <v>60000</v>
      </c>
      <c r="V241" s="116">
        <f t="shared" si="62"/>
        <v>8000</v>
      </c>
      <c r="W241" s="116">
        <f t="shared" si="62"/>
        <v>1215000</v>
      </c>
    </row>
    <row r="242" spans="1:24" ht="15.75" outlineLevel="1" thickTop="1" x14ac:dyDescent="0.25">
      <c r="C242" s="11"/>
      <c r="K242" s="166"/>
      <c r="L242" s="166"/>
      <c r="M242" s="170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</row>
    <row r="243" spans="1:24" outlineLevel="1" x14ac:dyDescent="0.25">
      <c r="C243" s="11"/>
      <c r="K243" s="166"/>
      <c r="L243" s="166"/>
      <c r="M243" s="170"/>
      <c r="N243" s="166"/>
      <c r="O243" s="166"/>
      <c r="P243" s="166"/>
      <c r="Q243" s="166"/>
      <c r="R243" s="166"/>
      <c r="S243" s="166"/>
      <c r="T243" s="166"/>
      <c r="U243" s="166"/>
      <c r="V243" s="166"/>
      <c r="W243" s="166"/>
    </row>
    <row r="244" spans="1:24" outlineLevel="1" x14ac:dyDescent="0.25">
      <c r="A244" s="114" t="str">
        <f>B244&amp;D244&amp;F244&amp;G244</f>
        <v>Parks, Recreation &amp; LibrariesSenior Center9 Passenger VanGF</v>
      </c>
      <c r="B244" s="11" t="s">
        <v>367</v>
      </c>
      <c r="C244" s="11">
        <v>55</v>
      </c>
      <c r="D244" s="11" t="s">
        <v>85</v>
      </c>
      <c r="F244" s="181" t="s">
        <v>687</v>
      </c>
      <c r="G244" s="11" t="s">
        <v>16</v>
      </c>
      <c r="H244" s="11" t="s">
        <v>540</v>
      </c>
      <c r="I244" s="11" t="s">
        <v>571</v>
      </c>
      <c r="K244" s="166"/>
      <c r="L244" s="166">
        <v>12800</v>
      </c>
      <c r="M244" s="170"/>
      <c r="N244" s="115"/>
      <c r="O244" s="115">
        <f>70000-O245</f>
        <v>57200</v>
      </c>
      <c r="P244" s="115"/>
      <c r="Q244" s="115"/>
      <c r="R244" s="115"/>
      <c r="S244" s="115"/>
      <c r="T244" s="115"/>
      <c r="U244" s="115"/>
      <c r="V244" s="115"/>
      <c r="W244" s="115"/>
    </row>
    <row r="245" spans="1:24" ht="30" outlineLevel="1" x14ac:dyDescent="0.25">
      <c r="A245" s="114" t="str">
        <f>B245&amp;D245&amp;F245&amp;G245</f>
        <v>Parks, Recreation &amp; LibrariesSenior Center9 Passenger Van (carryover capital from FY19 when Town was not awarded grant)Capital</v>
      </c>
      <c r="B245" s="11" t="s">
        <v>367</v>
      </c>
      <c r="C245" s="11">
        <v>55</v>
      </c>
      <c r="D245" s="11" t="s">
        <v>85</v>
      </c>
      <c r="F245" s="181" t="s">
        <v>688</v>
      </c>
      <c r="G245" s="11" t="s">
        <v>542</v>
      </c>
      <c r="H245" s="11" t="s">
        <v>540</v>
      </c>
      <c r="I245" s="11" t="s">
        <v>571</v>
      </c>
      <c r="K245" s="166"/>
      <c r="L245" s="166"/>
      <c r="M245" s="170"/>
      <c r="N245" s="115"/>
      <c r="O245" s="115">
        <v>12800</v>
      </c>
      <c r="P245" s="115"/>
      <c r="Q245" s="115"/>
      <c r="R245" s="115"/>
      <c r="S245" s="115"/>
      <c r="T245" s="115"/>
      <c r="U245" s="115"/>
      <c r="V245" s="115"/>
      <c r="W245" s="115"/>
    </row>
    <row r="246" spans="1:24" outlineLevel="1" x14ac:dyDescent="0.25">
      <c r="A246" s="114" t="str">
        <f>B246&amp;D246&amp;F246&amp;G246</f>
        <v>Parks, Recreation &amp; LibrariesSenior Center12 Passenger VanGF</v>
      </c>
      <c r="B246" s="11" t="s">
        <v>367</v>
      </c>
      <c r="C246" s="11">
        <v>55</v>
      </c>
      <c r="D246" s="11" t="s">
        <v>85</v>
      </c>
      <c r="F246" s="181" t="s">
        <v>689</v>
      </c>
      <c r="G246" s="11" t="s">
        <v>16</v>
      </c>
      <c r="H246" s="11" t="s">
        <v>540</v>
      </c>
      <c r="I246" s="11" t="s">
        <v>571</v>
      </c>
      <c r="K246" s="166"/>
      <c r="L246" s="166"/>
      <c r="M246" s="170"/>
      <c r="N246" s="115"/>
      <c r="O246" s="115"/>
      <c r="P246" s="115">
        <v>80000</v>
      </c>
      <c r="Q246" s="115"/>
      <c r="R246" s="115"/>
      <c r="S246" s="115"/>
      <c r="T246" s="115"/>
      <c r="U246" s="115">
        <v>80000</v>
      </c>
      <c r="V246" s="115"/>
      <c r="W246" s="115"/>
    </row>
    <row r="247" spans="1:24" ht="15.75" outlineLevel="1" thickBot="1" x14ac:dyDescent="0.3">
      <c r="C247" s="11"/>
      <c r="K247" s="165">
        <f>SUM(K244:K246)</f>
        <v>0</v>
      </c>
      <c r="L247" s="165">
        <f>SUM(L244:L246)</f>
        <v>12800</v>
      </c>
      <c r="M247" s="169"/>
      <c r="N247" s="116">
        <f t="shared" ref="N247:W247" si="63">SUM(N244:N246)</f>
        <v>0</v>
      </c>
      <c r="O247" s="116">
        <f t="shared" si="63"/>
        <v>70000</v>
      </c>
      <c r="P247" s="116">
        <f t="shared" si="63"/>
        <v>80000</v>
      </c>
      <c r="Q247" s="116">
        <f t="shared" si="63"/>
        <v>0</v>
      </c>
      <c r="R247" s="116">
        <f t="shared" si="63"/>
        <v>0</v>
      </c>
      <c r="S247" s="116">
        <f t="shared" si="63"/>
        <v>0</v>
      </c>
      <c r="T247" s="116">
        <f t="shared" si="63"/>
        <v>0</v>
      </c>
      <c r="U247" s="116">
        <f t="shared" si="63"/>
        <v>80000</v>
      </c>
      <c r="V247" s="116">
        <f t="shared" si="63"/>
        <v>0</v>
      </c>
      <c r="W247" s="116">
        <f t="shared" si="63"/>
        <v>0</v>
      </c>
    </row>
    <row r="248" spans="1:24" ht="15.75" outlineLevel="1" thickTop="1" x14ac:dyDescent="0.25">
      <c r="C248" s="11"/>
      <c r="K248" s="166"/>
      <c r="L248" s="166"/>
      <c r="M248" s="170"/>
      <c r="N248" s="166"/>
      <c r="O248" s="166"/>
      <c r="P248" s="166"/>
      <c r="Q248" s="166"/>
      <c r="R248" s="166"/>
      <c r="S248" s="166"/>
      <c r="T248" s="166"/>
      <c r="U248" s="166"/>
      <c r="V248" s="166"/>
      <c r="W248" s="166"/>
    </row>
    <row r="249" spans="1:24" outlineLevel="1" x14ac:dyDescent="0.25">
      <c r="A249" s="114" t="str">
        <f>B249&amp;D249&amp;F249&amp;G249</f>
        <v>Parks, Recreation &amp; LibrariesSocial ServicesSocial Services VanGF</v>
      </c>
      <c r="B249" s="11" t="s">
        <v>367</v>
      </c>
      <c r="C249" s="11">
        <v>54</v>
      </c>
      <c r="D249" s="11" t="s">
        <v>691</v>
      </c>
      <c r="F249" s="181" t="s">
        <v>690</v>
      </c>
      <c r="G249" s="11" t="s">
        <v>16</v>
      </c>
      <c r="H249" s="11" t="s">
        <v>540</v>
      </c>
      <c r="I249" s="11" t="s">
        <v>571</v>
      </c>
      <c r="K249" s="166"/>
      <c r="L249" s="166"/>
      <c r="M249" s="170"/>
      <c r="N249" s="201">
        <f>48000*0</f>
        <v>0</v>
      </c>
      <c r="O249" s="201">
        <f>48000</f>
        <v>48000</v>
      </c>
      <c r="P249" s="115"/>
      <c r="Q249" s="115"/>
      <c r="R249" s="115"/>
      <c r="S249" s="115"/>
      <c r="T249" s="115"/>
      <c r="U249" s="115"/>
      <c r="V249" s="115"/>
      <c r="W249" s="115"/>
    </row>
    <row r="250" spans="1:24" ht="15.75" outlineLevel="1" thickBot="1" x14ac:dyDescent="0.3">
      <c r="C250" s="11"/>
      <c r="K250" s="165">
        <f>SUM(K249)</f>
        <v>0</v>
      </c>
      <c r="L250" s="165">
        <f t="shared" ref="L250:W250" si="64">SUM(L249)</f>
        <v>0</v>
      </c>
      <c r="M250" s="169"/>
      <c r="N250" s="116">
        <f t="shared" si="64"/>
        <v>0</v>
      </c>
      <c r="O250" s="116">
        <f t="shared" si="64"/>
        <v>48000</v>
      </c>
      <c r="P250" s="116">
        <f t="shared" si="64"/>
        <v>0</v>
      </c>
      <c r="Q250" s="116">
        <f t="shared" si="64"/>
        <v>0</v>
      </c>
      <c r="R250" s="116">
        <f t="shared" si="64"/>
        <v>0</v>
      </c>
      <c r="S250" s="116">
        <f t="shared" si="64"/>
        <v>0</v>
      </c>
      <c r="T250" s="116">
        <f t="shared" si="64"/>
        <v>0</v>
      </c>
      <c r="U250" s="116">
        <f t="shared" si="64"/>
        <v>0</v>
      </c>
      <c r="V250" s="116">
        <f t="shared" si="64"/>
        <v>0</v>
      </c>
      <c r="W250" s="116">
        <f t="shared" si="64"/>
        <v>0</v>
      </c>
    </row>
    <row r="251" spans="1:24" ht="15.75" thickTop="1" x14ac:dyDescent="0.25">
      <c r="C251" s="11"/>
      <c r="K251" s="166"/>
      <c r="L251" s="166"/>
      <c r="M251" s="170"/>
      <c r="N251" s="166"/>
      <c r="O251" s="166"/>
      <c r="P251" s="166"/>
      <c r="Q251" s="166"/>
      <c r="R251" s="166"/>
      <c r="S251" s="166"/>
      <c r="T251" s="166"/>
      <c r="U251" s="166"/>
      <c r="V251" s="166"/>
      <c r="W251" s="166"/>
    </row>
    <row r="252" spans="1:24" x14ac:dyDescent="0.25">
      <c r="A252" s="114" t="str">
        <f t="shared" ref="A252:A324" si="65">B252&amp;D252&amp;F252&amp;G252</f>
        <v>SchoolsSchoolsParking Lot - GriswoldGrants</v>
      </c>
      <c r="B252" s="11" t="s">
        <v>1</v>
      </c>
      <c r="C252" s="11">
        <v>61</v>
      </c>
      <c r="D252" s="11" t="s">
        <v>1</v>
      </c>
      <c r="F252" s="181" t="s">
        <v>697</v>
      </c>
      <c r="G252" s="11" t="s">
        <v>38</v>
      </c>
      <c r="H252" s="11" t="s">
        <v>540</v>
      </c>
      <c r="I252" s="11" t="s">
        <v>548</v>
      </c>
      <c r="K252" s="166"/>
      <c r="L252" s="166"/>
      <c r="M252" s="170"/>
      <c r="N252" s="201">
        <f>200000</f>
        <v>200000</v>
      </c>
      <c r="O252" s="115"/>
      <c r="P252" s="201">
        <f>350000*0</f>
        <v>0</v>
      </c>
      <c r="Q252" s="115"/>
      <c r="R252" s="115"/>
      <c r="S252" s="115"/>
      <c r="T252" s="115"/>
      <c r="U252" s="115"/>
      <c r="V252" s="115"/>
      <c r="W252" s="115"/>
    </row>
    <row r="253" spans="1:24" x14ac:dyDescent="0.25">
      <c r="A253" s="114" t="str">
        <f t="shared" ref="A253:A280" si="66">B253&amp;D253&amp;F253&amp;G253</f>
        <v>SchoolsSchoolsParking Lot - WillardGF</v>
      </c>
      <c r="B253" s="11" t="s">
        <v>1</v>
      </c>
      <c r="C253" s="11">
        <v>61</v>
      </c>
      <c r="D253" s="11" t="s">
        <v>1</v>
      </c>
      <c r="F253" s="181" t="s">
        <v>698</v>
      </c>
      <c r="G253" s="11" t="s">
        <v>16</v>
      </c>
      <c r="H253" s="11" t="s">
        <v>540</v>
      </c>
      <c r="I253" s="11" t="s">
        <v>548</v>
      </c>
      <c r="K253" s="166"/>
      <c r="L253" s="166"/>
      <c r="M253" s="170"/>
      <c r="N253" s="115"/>
      <c r="O253" s="115"/>
      <c r="P253" s="115"/>
      <c r="Q253" s="115">
        <v>350000</v>
      </c>
      <c r="R253" s="115"/>
      <c r="S253" s="115"/>
      <c r="T253" s="115"/>
      <c r="U253" s="115"/>
      <c r="V253" s="115"/>
      <c r="W253" s="115"/>
    </row>
    <row r="254" spans="1:24" x14ac:dyDescent="0.25">
      <c r="A254" s="114" t="str">
        <f t="shared" si="66"/>
        <v>SchoolsSchoolsParking Lot - HubbardGF</v>
      </c>
      <c r="B254" s="11" t="s">
        <v>1</v>
      </c>
      <c r="C254" s="11">
        <v>61</v>
      </c>
      <c r="D254" s="11" t="s">
        <v>1</v>
      </c>
      <c r="F254" s="181" t="s">
        <v>699</v>
      </c>
      <c r="G254" s="11" t="s">
        <v>16</v>
      </c>
      <c r="H254" s="11" t="s">
        <v>540</v>
      </c>
      <c r="I254" s="11" t="s">
        <v>548</v>
      </c>
      <c r="K254" s="166"/>
      <c r="L254" s="166"/>
      <c r="M254" s="170"/>
      <c r="N254" s="115"/>
      <c r="O254" s="115"/>
      <c r="P254" s="115"/>
      <c r="Q254" s="115"/>
      <c r="R254" s="115">
        <v>350000</v>
      </c>
      <c r="S254" s="115"/>
      <c r="T254" s="115"/>
      <c r="U254" s="115"/>
      <c r="V254" s="115"/>
      <c r="W254" s="115"/>
      <c r="X254" s="207"/>
    </row>
    <row r="255" spans="1:24" x14ac:dyDescent="0.25">
      <c r="A255" s="114" t="str">
        <f t="shared" si="66"/>
        <v>SchoolsSchoolsParking Lot - McGeeGF</v>
      </c>
      <c r="B255" s="11" t="s">
        <v>1</v>
      </c>
      <c r="C255" s="11">
        <v>61</v>
      </c>
      <c r="D255" s="11" t="s">
        <v>1</v>
      </c>
      <c r="F255" s="181" t="s">
        <v>700</v>
      </c>
      <c r="G255" s="11" t="s">
        <v>16</v>
      </c>
      <c r="H255" s="11" t="s">
        <v>540</v>
      </c>
      <c r="I255" s="11" t="s">
        <v>548</v>
      </c>
      <c r="K255" s="166"/>
      <c r="L255" s="166"/>
      <c r="M255" s="170"/>
      <c r="N255" s="115"/>
      <c r="O255" s="115"/>
      <c r="P255" s="115"/>
      <c r="Q255" s="115"/>
      <c r="R255" s="115"/>
      <c r="S255" s="115"/>
      <c r="T255" s="115">
        <v>550000</v>
      </c>
      <c r="U255" s="115"/>
      <c r="V255" s="115"/>
      <c r="W255" s="115"/>
      <c r="X255" s="207"/>
    </row>
    <row r="256" spans="1:24" x14ac:dyDescent="0.25">
      <c r="A256" s="114" t="str">
        <f t="shared" si="66"/>
        <v>SchoolsSchoolsParking Lot - BHSGF</v>
      </c>
      <c r="B256" s="11" t="s">
        <v>1</v>
      </c>
      <c r="C256" s="11">
        <v>61</v>
      </c>
      <c r="D256" s="11" t="s">
        <v>1</v>
      </c>
      <c r="F256" s="181" t="s">
        <v>731</v>
      </c>
      <c r="G256" s="11" t="s">
        <v>16</v>
      </c>
      <c r="H256" s="11" t="s">
        <v>540</v>
      </c>
      <c r="I256" s="11" t="s">
        <v>548</v>
      </c>
      <c r="K256" s="166"/>
      <c r="L256" s="166"/>
      <c r="M256" s="170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>
        <v>1100000</v>
      </c>
    </row>
    <row r="257" spans="1:23" x14ac:dyDescent="0.25">
      <c r="A257" s="114" t="str">
        <f t="shared" ref="A257" si="67">B257&amp;D257&amp;F257&amp;G257</f>
        <v>SchoolsSchoolsSidewalks - HubbardGF</v>
      </c>
      <c r="B257" s="11" t="s">
        <v>1</v>
      </c>
      <c r="C257" s="11">
        <v>61</v>
      </c>
      <c r="D257" s="11" t="s">
        <v>1</v>
      </c>
      <c r="F257" s="181" t="s">
        <v>726</v>
      </c>
      <c r="G257" s="11" t="s">
        <v>16</v>
      </c>
      <c r="H257" s="11" t="s">
        <v>540</v>
      </c>
      <c r="I257" s="11" t="s">
        <v>546</v>
      </c>
      <c r="K257" s="166"/>
      <c r="L257" s="166"/>
      <c r="M257" s="170"/>
      <c r="N257" s="115"/>
      <c r="O257" s="115"/>
      <c r="P257" s="115">
        <v>150000</v>
      </c>
      <c r="Q257" s="115"/>
      <c r="R257" s="115"/>
      <c r="S257" s="115"/>
      <c r="T257" s="115"/>
      <c r="U257" s="115"/>
      <c r="V257" s="115"/>
      <c r="W257" s="115"/>
    </row>
    <row r="258" spans="1:23" x14ac:dyDescent="0.25">
      <c r="A258" s="114" t="str">
        <f t="shared" ref="A258:A261" si="68">B258&amp;D258&amp;F258&amp;G258</f>
        <v>SchoolsSchoolsSidewalks - WillardGF</v>
      </c>
      <c r="B258" s="11" t="s">
        <v>1</v>
      </c>
      <c r="C258" s="11">
        <v>61</v>
      </c>
      <c r="D258" s="11" t="s">
        <v>1</v>
      </c>
      <c r="F258" s="181" t="s">
        <v>727</v>
      </c>
      <c r="G258" s="11" t="s">
        <v>16</v>
      </c>
      <c r="H258" s="11" t="s">
        <v>540</v>
      </c>
      <c r="I258" s="11" t="s">
        <v>546</v>
      </c>
      <c r="K258" s="166"/>
      <c r="L258" s="166"/>
      <c r="M258" s="170"/>
      <c r="N258" s="115"/>
      <c r="O258" s="201">
        <f>150000*0</f>
        <v>0</v>
      </c>
      <c r="P258" s="115"/>
      <c r="Q258" s="115"/>
      <c r="R258" s="201">
        <f>150000</f>
        <v>150000</v>
      </c>
      <c r="S258" s="115"/>
      <c r="T258" s="115"/>
      <c r="U258" s="115"/>
      <c r="V258" s="115"/>
      <c r="W258" s="115"/>
    </row>
    <row r="259" spans="1:23" x14ac:dyDescent="0.25">
      <c r="A259" s="114" t="str">
        <f t="shared" si="68"/>
        <v>SchoolsSchoolsSidewalks - GriswoldGF</v>
      </c>
      <c r="B259" s="11" t="s">
        <v>1</v>
      </c>
      <c r="C259" s="11">
        <v>61</v>
      </c>
      <c r="D259" s="11" t="s">
        <v>1</v>
      </c>
      <c r="F259" s="181" t="s">
        <v>728</v>
      </c>
      <c r="G259" s="11" t="s">
        <v>16</v>
      </c>
      <c r="H259" s="11" t="s">
        <v>540</v>
      </c>
      <c r="I259" s="11" t="s">
        <v>546</v>
      </c>
      <c r="K259" s="166"/>
      <c r="L259" s="166"/>
      <c r="M259" s="170"/>
      <c r="N259" s="115"/>
      <c r="O259" s="115">
        <v>150000</v>
      </c>
      <c r="P259" s="115"/>
      <c r="Q259" s="115"/>
      <c r="R259" s="115"/>
      <c r="S259" s="115"/>
      <c r="T259" s="115"/>
      <c r="U259" s="115"/>
      <c r="V259" s="115"/>
      <c r="W259" s="115"/>
    </row>
    <row r="260" spans="1:23" x14ac:dyDescent="0.25">
      <c r="A260" s="114" t="str">
        <f t="shared" si="68"/>
        <v>SchoolsSchoolsSidewalks - McGeeGF</v>
      </c>
      <c r="B260" s="11" t="s">
        <v>1</v>
      </c>
      <c r="C260" s="11">
        <v>61</v>
      </c>
      <c r="D260" s="11" t="s">
        <v>1</v>
      </c>
      <c r="F260" s="181" t="s">
        <v>729</v>
      </c>
      <c r="G260" s="11" t="s">
        <v>16</v>
      </c>
      <c r="H260" s="11" t="s">
        <v>540</v>
      </c>
      <c r="I260" s="11" t="s">
        <v>546</v>
      </c>
      <c r="K260" s="166"/>
      <c r="L260" s="166"/>
      <c r="M260" s="170"/>
      <c r="N260" s="115"/>
      <c r="O260" s="115"/>
      <c r="P260" s="115"/>
      <c r="Q260" s="115">
        <v>150000</v>
      </c>
      <c r="R260" s="115"/>
      <c r="S260" s="115"/>
      <c r="T260" s="115"/>
      <c r="U260" s="115"/>
      <c r="V260" s="115"/>
      <c r="W260" s="115"/>
    </row>
    <row r="261" spans="1:23" x14ac:dyDescent="0.25">
      <c r="A261" s="114" t="str">
        <f t="shared" si="68"/>
        <v>SchoolsSchoolsSidewalks - BHSGF</v>
      </c>
      <c r="B261" s="11" t="s">
        <v>1</v>
      </c>
      <c r="C261" s="11">
        <v>61</v>
      </c>
      <c r="D261" s="11" t="s">
        <v>1</v>
      </c>
      <c r="F261" s="181" t="s">
        <v>730</v>
      </c>
      <c r="G261" s="11" t="s">
        <v>16</v>
      </c>
      <c r="H261" s="11" t="s">
        <v>540</v>
      </c>
      <c r="I261" s="11" t="s">
        <v>546</v>
      </c>
      <c r="K261" s="166"/>
      <c r="L261" s="166"/>
      <c r="M261" s="170"/>
      <c r="N261" s="115"/>
      <c r="O261" s="115"/>
      <c r="P261" s="115"/>
      <c r="Q261" s="115"/>
      <c r="R261" s="115"/>
      <c r="S261" s="115">
        <v>250000</v>
      </c>
      <c r="T261" s="115"/>
      <c r="U261" s="115"/>
      <c r="V261" s="115"/>
      <c r="W261" s="115"/>
    </row>
    <row r="262" spans="1:23" x14ac:dyDescent="0.25">
      <c r="A262" s="114" t="str">
        <f t="shared" ref="A262" si="69">B262&amp;D262&amp;F262&amp;G262</f>
        <v>SchoolsSchoolsMasonry Repointing - BHSGF</v>
      </c>
      <c r="B262" s="11" t="s">
        <v>1</v>
      </c>
      <c r="C262" s="11">
        <v>61</v>
      </c>
      <c r="D262" s="11" t="s">
        <v>1</v>
      </c>
      <c r="F262" s="181" t="s">
        <v>703</v>
      </c>
      <c r="G262" s="11" t="s">
        <v>16</v>
      </c>
      <c r="H262" s="11" t="s">
        <v>540</v>
      </c>
      <c r="I262" s="11" t="s">
        <v>546</v>
      </c>
      <c r="K262" s="166"/>
      <c r="L262" s="166"/>
      <c r="M262" s="170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>
        <v>100000</v>
      </c>
    </row>
    <row r="263" spans="1:23" x14ac:dyDescent="0.25">
      <c r="A263" s="114" t="str">
        <f t="shared" ref="A263" si="70">B263&amp;D263&amp;F263&amp;G263</f>
        <v>SchoolsSchoolsMasonry Repointing - McGeeGF</v>
      </c>
      <c r="B263" s="11" t="s">
        <v>1</v>
      </c>
      <c r="C263" s="11">
        <v>61</v>
      </c>
      <c r="D263" s="11" t="s">
        <v>1</v>
      </c>
      <c r="F263" s="181" t="s">
        <v>712</v>
      </c>
      <c r="G263" s="11" t="s">
        <v>16</v>
      </c>
      <c r="H263" s="11" t="s">
        <v>540</v>
      </c>
      <c r="I263" s="11" t="s">
        <v>546</v>
      </c>
      <c r="K263" s="166"/>
      <c r="L263" s="166"/>
      <c r="M263" s="170"/>
      <c r="N263" s="115"/>
      <c r="O263" s="115"/>
      <c r="P263" s="115"/>
      <c r="Q263" s="115"/>
      <c r="R263" s="115"/>
      <c r="S263" s="115"/>
      <c r="T263" s="115"/>
      <c r="U263" s="115">
        <v>100000</v>
      </c>
      <c r="V263" s="115"/>
      <c r="W263" s="115"/>
    </row>
    <row r="264" spans="1:23" x14ac:dyDescent="0.25">
      <c r="A264" s="114" t="str">
        <f t="shared" ref="A264" si="71">B264&amp;D264&amp;F264&amp;G264</f>
        <v>SchoolsSchoolsMasonry Repointing - WillardGF</v>
      </c>
      <c r="B264" s="11" t="s">
        <v>1</v>
      </c>
      <c r="C264" s="11">
        <v>61</v>
      </c>
      <c r="D264" s="11" t="s">
        <v>1</v>
      </c>
      <c r="F264" s="181" t="s">
        <v>716</v>
      </c>
      <c r="G264" s="11" t="s">
        <v>16</v>
      </c>
      <c r="H264" s="11" t="s">
        <v>540</v>
      </c>
      <c r="I264" s="11" t="s">
        <v>546</v>
      </c>
      <c r="K264" s="166"/>
      <c r="L264" s="166"/>
      <c r="M264" s="170"/>
      <c r="N264" s="115"/>
      <c r="O264" s="115">
        <v>50000</v>
      </c>
      <c r="P264" s="115"/>
      <c r="Q264" s="115"/>
      <c r="R264" s="115"/>
      <c r="S264" s="115"/>
      <c r="T264" s="115"/>
      <c r="U264" s="115"/>
      <c r="V264" s="115"/>
      <c r="W264" s="115"/>
    </row>
    <row r="265" spans="1:23" x14ac:dyDescent="0.25">
      <c r="A265" s="114" t="str">
        <f t="shared" ref="A265" si="72">B265&amp;D265&amp;F265&amp;G265</f>
        <v>SchoolsSchoolsMasonry Repointing - HubbardGF</v>
      </c>
      <c r="B265" s="11" t="s">
        <v>1</v>
      </c>
      <c r="C265" s="11">
        <v>61</v>
      </c>
      <c r="D265" s="11" t="s">
        <v>1</v>
      </c>
      <c r="F265" s="181" t="s">
        <v>717</v>
      </c>
      <c r="G265" s="11" t="s">
        <v>16</v>
      </c>
      <c r="H265" s="11" t="s">
        <v>540</v>
      </c>
      <c r="I265" s="11" t="s">
        <v>546</v>
      </c>
      <c r="K265" s="166"/>
      <c r="L265" s="166"/>
      <c r="M265" s="170"/>
      <c r="N265" s="115"/>
      <c r="O265" s="115"/>
      <c r="P265" s="115"/>
      <c r="Q265" s="115"/>
      <c r="R265" s="115"/>
      <c r="S265" s="115"/>
      <c r="T265" s="115"/>
      <c r="U265" s="115">
        <v>75000</v>
      </c>
      <c r="V265" s="115"/>
      <c r="W265" s="115"/>
    </row>
    <row r="266" spans="1:23" x14ac:dyDescent="0.25">
      <c r="A266" s="114" t="str">
        <f t="shared" ref="A266" si="73">B266&amp;D266&amp;F266&amp;G266</f>
        <v>SchoolsSchoolsMasonry Repointing - GriswoldGF</v>
      </c>
      <c r="B266" s="11" t="s">
        <v>1</v>
      </c>
      <c r="C266" s="11">
        <v>61</v>
      </c>
      <c r="D266" s="11" t="s">
        <v>1</v>
      </c>
      <c r="F266" s="181" t="s">
        <v>725</v>
      </c>
      <c r="G266" s="11" t="s">
        <v>16</v>
      </c>
      <c r="H266" s="11" t="s">
        <v>540</v>
      </c>
      <c r="I266" s="11" t="s">
        <v>546</v>
      </c>
      <c r="K266" s="166"/>
      <c r="L266" s="166"/>
      <c r="M266" s="170"/>
      <c r="N266" s="115"/>
      <c r="O266" s="115"/>
      <c r="P266" s="115">
        <v>100000</v>
      </c>
      <c r="Q266" s="115"/>
      <c r="R266" s="115"/>
      <c r="S266" s="115"/>
      <c r="T266" s="115"/>
      <c r="U266" s="115"/>
      <c r="V266" s="115"/>
      <c r="W266" s="115"/>
    </row>
    <row r="267" spans="1:23" x14ac:dyDescent="0.25">
      <c r="A267" s="114" t="str">
        <f t="shared" ref="A267" si="74">B267&amp;D267&amp;F267&amp;G267</f>
        <v>SchoolsSchoolsDoors &amp; Hardware - BHSGF</v>
      </c>
      <c r="B267" s="11" t="s">
        <v>1</v>
      </c>
      <c r="C267" s="11">
        <v>61</v>
      </c>
      <c r="D267" s="11" t="s">
        <v>1</v>
      </c>
      <c r="F267" s="181" t="s">
        <v>704</v>
      </c>
      <c r="G267" s="11" t="s">
        <v>16</v>
      </c>
      <c r="H267" s="11" t="s">
        <v>540</v>
      </c>
      <c r="I267" s="11" t="s">
        <v>546</v>
      </c>
      <c r="K267" s="166"/>
      <c r="L267" s="166"/>
      <c r="M267" s="170"/>
      <c r="N267" s="115"/>
      <c r="O267" s="115"/>
      <c r="P267" s="115"/>
      <c r="Q267" s="115"/>
      <c r="R267" s="115"/>
      <c r="S267" s="115"/>
      <c r="T267" s="115"/>
      <c r="U267" s="115"/>
      <c r="V267" s="115">
        <v>50000</v>
      </c>
      <c r="W267" s="115"/>
    </row>
    <row r="268" spans="1:23" x14ac:dyDescent="0.25">
      <c r="A268" s="114" t="str">
        <f t="shared" ref="A268" si="75">B268&amp;D268&amp;F268&amp;G268</f>
        <v>SchoolsSchoolsDoors &amp; Hardware - WillardGF</v>
      </c>
      <c r="B268" s="11" t="s">
        <v>1</v>
      </c>
      <c r="C268" s="11">
        <v>61</v>
      </c>
      <c r="D268" s="11" t="s">
        <v>1</v>
      </c>
      <c r="F268" s="181" t="s">
        <v>715</v>
      </c>
      <c r="G268" s="11" t="s">
        <v>16</v>
      </c>
      <c r="H268" s="11" t="s">
        <v>540</v>
      </c>
      <c r="I268" s="11" t="s">
        <v>546</v>
      </c>
      <c r="K268" s="166"/>
      <c r="L268" s="166"/>
      <c r="M268" s="170"/>
      <c r="N268" s="115"/>
      <c r="O268" s="115"/>
      <c r="P268" s="115"/>
      <c r="Q268" s="115"/>
      <c r="R268" s="115"/>
      <c r="S268" s="115">
        <v>25000</v>
      </c>
      <c r="T268" s="115"/>
      <c r="U268" s="115"/>
      <c r="V268" s="115"/>
      <c r="W268" s="115"/>
    </row>
    <row r="269" spans="1:23" x14ac:dyDescent="0.25">
      <c r="A269" s="114" t="str">
        <f t="shared" ref="A269" si="76">B269&amp;D269&amp;F269&amp;G269</f>
        <v>SchoolsSchoolsDoors &amp; Hardware - HubbardGF</v>
      </c>
      <c r="B269" s="11" t="s">
        <v>1</v>
      </c>
      <c r="C269" s="11">
        <v>61</v>
      </c>
      <c r="D269" s="11" t="s">
        <v>1</v>
      </c>
      <c r="F269" s="181" t="s">
        <v>719</v>
      </c>
      <c r="G269" s="11" t="s">
        <v>16</v>
      </c>
      <c r="H269" s="11" t="s">
        <v>540</v>
      </c>
      <c r="I269" s="11" t="s">
        <v>546</v>
      </c>
      <c r="K269" s="166"/>
      <c r="L269" s="166"/>
      <c r="M269" s="170"/>
      <c r="N269" s="115"/>
      <c r="O269" s="115"/>
      <c r="P269" s="115"/>
      <c r="Q269" s="115"/>
      <c r="R269" s="115"/>
      <c r="S269" s="115">
        <v>25000</v>
      </c>
      <c r="T269" s="115"/>
      <c r="U269" s="115"/>
      <c r="V269" s="115"/>
      <c r="W269" s="115"/>
    </row>
    <row r="270" spans="1:23" x14ac:dyDescent="0.25">
      <c r="A270" s="114" t="str">
        <f t="shared" ref="A270" si="77">B270&amp;D270&amp;F270&amp;G270</f>
        <v>SchoolsSchoolsDoors &amp; Hardware - GriswoldGF</v>
      </c>
      <c r="B270" s="11" t="s">
        <v>1</v>
      </c>
      <c r="C270" s="11">
        <v>61</v>
      </c>
      <c r="D270" s="11" t="s">
        <v>1</v>
      </c>
      <c r="F270" s="181" t="s">
        <v>723</v>
      </c>
      <c r="G270" s="11" t="s">
        <v>16</v>
      </c>
      <c r="H270" s="11" t="s">
        <v>540</v>
      </c>
      <c r="I270" s="11" t="s">
        <v>546</v>
      </c>
      <c r="K270" s="166"/>
      <c r="L270" s="166"/>
      <c r="M270" s="170"/>
      <c r="N270" s="115"/>
      <c r="O270" s="115"/>
      <c r="P270" s="115"/>
      <c r="Q270" s="115"/>
      <c r="R270" s="115"/>
      <c r="S270" s="115"/>
      <c r="T270" s="115">
        <v>25000</v>
      </c>
      <c r="U270" s="115"/>
      <c r="V270" s="115"/>
      <c r="W270" s="115"/>
    </row>
    <row r="271" spans="1:23" x14ac:dyDescent="0.25">
      <c r="A271" s="114" t="str">
        <f t="shared" ref="A271" si="78">B271&amp;D271&amp;F271&amp;G271</f>
        <v>SchoolsSchoolsDoors &amp; Hardware - McGeeGF</v>
      </c>
      <c r="B271" s="11" t="s">
        <v>1</v>
      </c>
      <c r="C271" s="11">
        <v>61</v>
      </c>
      <c r="D271" s="11" t="s">
        <v>1</v>
      </c>
      <c r="F271" s="181" t="s">
        <v>732</v>
      </c>
      <c r="G271" s="11" t="s">
        <v>16</v>
      </c>
      <c r="H271" s="11" t="s">
        <v>540</v>
      </c>
      <c r="I271" s="11" t="s">
        <v>546</v>
      </c>
      <c r="K271" s="166"/>
      <c r="L271" s="166"/>
      <c r="M271" s="170"/>
      <c r="N271" s="115"/>
      <c r="O271" s="115"/>
      <c r="P271" s="115"/>
      <c r="Q271" s="115"/>
      <c r="R271" s="115"/>
      <c r="S271" s="115"/>
      <c r="T271" s="115">
        <v>25000</v>
      </c>
      <c r="U271" s="115"/>
      <c r="V271" s="115"/>
      <c r="W271" s="115"/>
    </row>
    <row r="272" spans="1:23" x14ac:dyDescent="0.25">
      <c r="A272" s="114" t="str">
        <f t="shared" si="66"/>
        <v>SchoolsSchoolsPolice/Fire Radio Signals @ BHS - State Share (43.21%)Grants</v>
      </c>
      <c r="B272" s="11" t="s">
        <v>1</v>
      </c>
      <c r="C272" s="11">
        <v>61</v>
      </c>
      <c r="D272" s="11" t="s">
        <v>1</v>
      </c>
      <c r="F272" s="181" t="s">
        <v>583</v>
      </c>
      <c r="G272" s="11" t="s">
        <v>38</v>
      </c>
      <c r="H272" s="11" t="s">
        <v>540</v>
      </c>
      <c r="K272" s="166"/>
      <c r="L272" s="166">
        <f>200000*(0.4321)</f>
        <v>86420</v>
      </c>
      <c r="M272" s="170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</row>
    <row r="273" spans="1:24" x14ac:dyDescent="0.25">
      <c r="A273" s="114" t="str">
        <f t="shared" si="66"/>
        <v>SchoolsSchoolsPolice/Fire Radio Signals @ BHS - Town Share (56.79%)GF</v>
      </c>
      <c r="B273" s="11" t="s">
        <v>1</v>
      </c>
      <c r="C273" s="11">
        <v>61</v>
      </c>
      <c r="D273" s="11" t="s">
        <v>1</v>
      </c>
      <c r="F273" s="181" t="s">
        <v>582</v>
      </c>
      <c r="G273" s="11" t="s">
        <v>16</v>
      </c>
      <c r="H273" s="11" t="s">
        <v>540</v>
      </c>
      <c r="K273" s="166"/>
      <c r="L273" s="166">
        <f>200000*(1-0.4321)</f>
        <v>113580.00000000001</v>
      </c>
      <c r="M273" s="170"/>
      <c r="N273" s="166"/>
      <c r="O273" s="166"/>
      <c r="P273" s="115"/>
      <c r="Q273" s="115"/>
      <c r="R273" s="115"/>
      <c r="S273" s="115"/>
      <c r="T273" s="115"/>
      <c r="U273" s="115"/>
      <c r="V273" s="115"/>
      <c r="W273" s="115"/>
    </row>
    <row r="274" spans="1:24" x14ac:dyDescent="0.25">
      <c r="A274" s="114" t="str">
        <f t="shared" si="66"/>
        <v>SchoolsSchoolsFire Alarm Upgrades - McGeeGF</v>
      </c>
      <c r="B274" s="11" t="s">
        <v>1</v>
      </c>
      <c r="C274" s="11">
        <v>61</v>
      </c>
      <c r="D274" s="11" t="s">
        <v>1</v>
      </c>
      <c r="F274" s="185" t="s">
        <v>200</v>
      </c>
      <c r="G274" s="123" t="s">
        <v>16</v>
      </c>
      <c r="H274" s="11" t="s">
        <v>540</v>
      </c>
      <c r="I274" s="209" t="s">
        <v>546</v>
      </c>
      <c r="K274" s="166"/>
      <c r="L274" s="166">
        <v>50000</v>
      </c>
      <c r="M274" s="170"/>
      <c r="N274" s="166"/>
      <c r="O274" s="166"/>
      <c r="P274" s="166"/>
      <c r="Q274" s="166"/>
      <c r="R274" s="166"/>
      <c r="S274" s="166"/>
      <c r="T274" s="115"/>
      <c r="U274" s="115"/>
      <c r="V274" s="115"/>
      <c r="W274" s="115"/>
    </row>
    <row r="275" spans="1:24" x14ac:dyDescent="0.25">
      <c r="A275" s="114" t="str">
        <f t="shared" si="66"/>
        <v>SchoolsSchoolsFire Alarm Upgrades - WillardGF</v>
      </c>
      <c r="B275" s="11" t="s">
        <v>1</v>
      </c>
      <c r="C275" s="11">
        <v>61</v>
      </c>
      <c r="D275" s="11" t="s">
        <v>1</v>
      </c>
      <c r="F275" s="181" t="s">
        <v>202</v>
      </c>
      <c r="G275" s="11" t="s">
        <v>16</v>
      </c>
      <c r="H275" s="11" t="s">
        <v>540</v>
      </c>
      <c r="I275" s="209" t="s">
        <v>546</v>
      </c>
      <c r="K275" s="166"/>
      <c r="L275" s="166"/>
      <c r="M275" s="170"/>
      <c r="N275" s="115"/>
      <c r="O275" s="115"/>
      <c r="P275" s="115">
        <v>150000</v>
      </c>
      <c r="Q275" s="115"/>
      <c r="R275" s="115"/>
      <c r="S275" s="115"/>
      <c r="T275" s="115"/>
      <c r="U275" s="115"/>
      <c r="V275" s="115"/>
      <c r="W275" s="115"/>
    </row>
    <row r="276" spans="1:24" x14ac:dyDescent="0.25">
      <c r="A276" s="114" t="str">
        <f t="shared" si="66"/>
        <v>SchoolsSchoolsFire Alarm Upgrades - GriswoldGF</v>
      </c>
      <c r="B276" s="11" t="s">
        <v>1</v>
      </c>
      <c r="C276" s="11">
        <v>61</v>
      </c>
      <c r="D276" s="11" t="s">
        <v>1</v>
      </c>
      <c r="F276" s="181" t="s">
        <v>203</v>
      </c>
      <c r="G276" s="11" t="s">
        <v>16</v>
      </c>
      <c r="H276" s="11" t="s">
        <v>540</v>
      </c>
      <c r="I276" s="11" t="s">
        <v>546</v>
      </c>
      <c r="K276" s="166"/>
      <c r="L276" s="166"/>
      <c r="M276" s="170"/>
      <c r="N276" s="115"/>
      <c r="O276" s="115"/>
      <c r="P276" s="115"/>
      <c r="Q276" s="115"/>
      <c r="R276" s="115">
        <v>150000</v>
      </c>
      <c r="S276" s="115"/>
      <c r="T276" s="115"/>
      <c r="U276" s="115"/>
      <c r="V276" s="115"/>
      <c r="W276" s="115"/>
    </row>
    <row r="277" spans="1:24" x14ac:dyDescent="0.25">
      <c r="A277" s="114" t="str">
        <f t="shared" si="66"/>
        <v>SchoolsSchoolsFire Alarm Upgrades - HubbardGF</v>
      </c>
      <c r="B277" s="11" t="s">
        <v>1</v>
      </c>
      <c r="C277" s="11">
        <v>61</v>
      </c>
      <c r="D277" s="11" t="s">
        <v>1</v>
      </c>
      <c r="F277" s="185" t="s">
        <v>201</v>
      </c>
      <c r="G277" s="123" t="s">
        <v>16</v>
      </c>
      <c r="H277" s="11" t="s">
        <v>540</v>
      </c>
      <c r="I277" s="209" t="s">
        <v>546</v>
      </c>
      <c r="K277" s="166"/>
      <c r="L277" s="166"/>
      <c r="M277" s="170"/>
      <c r="N277" s="166"/>
      <c r="O277" s="166"/>
      <c r="P277" s="201">
        <f>150000*0</f>
        <v>0</v>
      </c>
      <c r="Q277" s="201">
        <f>150000</f>
        <v>150000</v>
      </c>
      <c r="R277" s="166"/>
      <c r="S277" s="166"/>
      <c r="T277" s="115"/>
      <c r="U277" s="115"/>
      <c r="V277" s="115"/>
      <c r="W277" s="115"/>
    </row>
    <row r="278" spans="1:24" x14ac:dyDescent="0.25">
      <c r="A278" s="114" t="str">
        <f t="shared" si="66"/>
        <v>SchoolsSchoolsClean up wiring at McGee - site &amp; buildingGF</v>
      </c>
      <c r="B278" s="11" t="s">
        <v>1</v>
      </c>
      <c r="C278" s="11">
        <v>61</v>
      </c>
      <c r="D278" s="11" t="s">
        <v>1</v>
      </c>
      <c r="F278" s="185" t="s">
        <v>518</v>
      </c>
      <c r="G278" s="123" t="s">
        <v>16</v>
      </c>
      <c r="H278" s="11" t="s">
        <v>540</v>
      </c>
      <c r="K278" s="166"/>
      <c r="L278" s="166">
        <v>50000</v>
      </c>
      <c r="M278" s="170"/>
      <c r="N278" s="166"/>
      <c r="O278" s="166"/>
      <c r="P278" s="166"/>
      <c r="Q278" s="166"/>
      <c r="R278" s="166"/>
      <c r="S278" s="166"/>
      <c r="T278" s="115"/>
      <c r="U278" s="115"/>
      <c r="V278" s="115"/>
      <c r="W278" s="115"/>
    </row>
    <row r="279" spans="1:24" x14ac:dyDescent="0.25">
      <c r="A279" s="114" t="str">
        <f t="shared" si="66"/>
        <v>SchoolsSchoolsVans - capitalGF</v>
      </c>
      <c r="B279" s="11" t="s">
        <v>1</v>
      </c>
      <c r="C279" s="123">
        <v>61</v>
      </c>
      <c r="D279" s="11" t="s">
        <v>1</v>
      </c>
      <c r="F279" s="181" t="s">
        <v>514</v>
      </c>
      <c r="G279" s="11" t="s">
        <v>16</v>
      </c>
      <c r="H279" s="11" t="s">
        <v>531</v>
      </c>
      <c r="K279" s="166">
        <v>38950</v>
      </c>
      <c r="L279" s="166">
        <f>97631-32000</f>
        <v>65631</v>
      </c>
      <c r="M279" s="170"/>
      <c r="N279" s="201">
        <f>(22294*2+32000)*0</f>
        <v>0</v>
      </c>
      <c r="O279" s="115">
        <f>19731*5</f>
        <v>98655</v>
      </c>
      <c r="P279" s="115">
        <f>20859*2</f>
        <v>41718</v>
      </c>
      <c r="Q279" s="115">
        <f>21802*2</f>
        <v>43604</v>
      </c>
      <c r="R279" s="115">
        <f>21084+22217</f>
        <v>43301</v>
      </c>
      <c r="S279" s="115">
        <f>22991*2</f>
        <v>45982</v>
      </c>
      <c r="T279" s="115">
        <v>21084</v>
      </c>
      <c r="U279" s="115">
        <f>22991+25513</f>
        <v>48504</v>
      </c>
      <c r="V279" s="115">
        <f>25513*2+22835*2</f>
        <v>96696</v>
      </c>
      <c r="W279" s="115"/>
    </row>
    <row r="280" spans="1:24" x14ac:dyDescent="0.25">
      <c r="A280" s="114" t="str">
        <f t="shared" si="66"/>
        <v>SchoolsSchoolsService Vehicles (2031) - capitalGF</v>
      </c>
      <c r="B280" s="11" t="s">
        <v>1</v>
      </c>
      <c r="C280" s="123">
        <v>61</v>
      </c>
      <c r="D280" s="11" t="s">
        <v>1</v>
      </c>
      <c r="F280" s="181" t="s">
        <v>515</v>
      </c>
      <c r="G280" s="11" t="s">
        <v>16</v>
      </c>
      <c r="H280" s="11" t="s">
        <v>540</v>
      </c>
      <c r="K280" s="166"/>
      <c r="L280" s="166"/>
      <c r="M280" s="170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</row>
    <row r="281" spans="1:24" ht="30" x14ac:dyDescent="0.25">
      <c r="A281" s="114" t="str">
        <f t="shared" si="65"/>
        <v>SchoolsSchoolsBHS Track - Resurfacing (incl resurfacing, engineering ($6k) and surveying ($3k))LoCIP</v>
      </c>
      <c r="B281" s="11" t="s">
        <v>1</v>
      </c>
      <c r="C281" s="11">
        <v>61</v>
      </c>
      <c r="D281" s="11" t="s">
        <v>1</v>
      </c>
      <c r="F281" s="181" t="s">
        <v>695</v>
      </c>
      <c r="G281" s="11" t="s">
        <v>37</v>
      </c>
      <c r="H281" s="11" t="s">
        <v>540</v>
      </c>
      <c r="I281" s="11" t="s">
        <v>571</v>
      </c>
      <c r="K281" s="166"/>
      <c r="L281" s="166">
        <v>200000</v>
      </c>
      <c r="M281" s="170"/>
      <c r="N281" s="115"/>
      <c r="O281" s="115"/>
      <c r="P281" s="115"/>
      <c r="Q281" s="115"/>
      <c r="R281" s="115"/>
      <c r="S281" s="115"/>
      <c r="T281" s="115"/>
      <c r="U281" s="115">
        <v>250000</v>
      </c>
      <c r="V281" s="115"/>
      <c r="W281" s="115"/>
    </row>
    <row r="282" spans="1:24" x14ac:dyDescent="0.25">
      <c r="A282" s="114" t="str">
        <f>B282&amp;D282&amp;F282&amp;G282</f>
        <v>SchoolsSchoolsBHS Rebuild Soccer FieldGF</v>
      </c>
      <c r="B282" s="11" t="s">
        <v>1</v>
      </c>
      <c r="C282" s="11">
        <v>61</v>
      </c>
      <c r="D282" s="11" t="s">
        <v>1</v>
      </c>
      <c r="F282" s="181" t="s">
        <v>364</v>
      </c>
      <c r="G282" s="11" t="s">
        <v>16</v>
      </c>
      <c r="H282" s="11" t="s">
        <v>540</v>
      </c>
      <c r="K282" s="166"/>
      <c r="L282" s="166"/>
      <c r="M282" s="170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</row>
    <row r="283" spans="1:24" x14ac:dyDescent="0.25">
      <c r="A283" s="114" t="str">
        <f>B283&amp;D283&amp;F283&amp;G283</f>
        <v>SchoolsSchoolsWillard Softball Field ImprovementsGF</v>
      </c>
      <c r="B283" s="11" t="s">
        <v>1</v>
      </c>
      <c r="C283" s="11">
        <v>61</v>
      </c>
      <c r="D283" s="11" t="s">
        <v>1</v>
      </c>
      <c r="F283" s="181" t="s">
        <v>362</v>
      </c>
      <c r="G283" s="11" t="s">
        <v>16</v>
      </c>
      <c r="H283" s="11" t="s">
        <v>540</v>
      </c>
      <c r="K283" s="166"/>
      <c r="L283" s="166"/>
      <c r="M283" s="170"/>
      <c r="N283" s="201">
        <f>15000*0</f>
        <v>0</v>
      </c>
      <c r="O283" s="115"/>
      <c r="P283" s="115"/>
      <c r="Q283" s="115"/>
      <c r="R283" s="201">
        <f>15000</f>
        <v>15000</v>
      </c>
      <c r="S283" s="115"/>
      <c r="T283" s="115"/>
      <c r="U283" s="115"/>
    </row>
    <row r="284" spans="1:24" x14ac:dyDescent="0.25">
      <c r="A284" s="114" t="str">
        <f>B284&amp;D284&amp;F284&amp;G284</f>
        <v>SchoolsSchoolsGriswold Pulcini/Garrity Baseball Field ImprovementsGF</v>
      </c>
      <c r="B284" s="11" t="s">
        <v>1</v>
      </c>
      <c r="C284" s="11">
        <v>45</v>
      </c>
      <c r="D284" s="11" t="s">
        <v>1</v>
      </c>
      <c r="F284" s="181" t="s">
        <v>490</v>
      </c>
      <c r="G284" s="11" t="s">
        <v>16</v>
      </c>
      <c r="H284" s="11" t="s">
        <v>540</v>
      </c>
      <c r="K284" s="166"/>
      <c r="L284" s="166"/>
      <c r="M284" s="170"/>
      <c r="N284" s="201">
        <f>25000*0</f>
        <v>0</v>
      </c>
      <c r="O284" s="115"/>
      <c r="P284" s="115"/>
      <c r="Q284" s="115"/>
      <c r="R284" s="201">
        <f>25000</f>
        <v>25000</v>
      </c>
      <c r="S284" s="115"/>
      <c r="T284" s="115"/>
      <c r="U284" s="115"/>
    </row>
    <row r="285" spans="1:24" x14ac:dyDescent="0.25">
      <c r="A285" s="114" t="str">
        <f>B285&amp;D285&amp;F285&amp;G285</f>
        <v>SchoolsSchoolsResurface Basketball/Tennis Courts (assume yr 7)GF</v>
      </c>
      <c r="B285" s="11" t="s">
        <v>1</v>
      </c>
      <c r="C285" s="11">
        <v>61</v>
      </c>
      <c r="D285" s="11" t="s">
        <v>1</v>
      </c>
      <c r="F285" s="181" t="s">
        <v>568</v>
      </c>
      <c r="G285" s="11" t="s">
        <v>16</v>
      </c>
      <c r="H285" s="11" t="s">
        <v>540</v>
      </c>
      <c r="I285" s="11" t="s">
        <v>569</v>
      </c>
      <c r="K285" s="166"/>
      <c r="L285" s="166"/>
      <c r="M285" s="170"/>
      <c r="N285" s="115"/>
      <c r="O285" s="115"/>
      <c r="P285" s="115"/>
      <c r="Q285" s="115"/>
      <c r="R285" s="115"/>
      <c r="S285" s="115">
        <f>38000*1.1</f>
        <v>41800</v>
      </c>
      <c r="T285" s="115"/>
      <c r="U285" s="115"/>
      <c r="V285" s="115"/>
      <c r="W285" s="115"/>
      <c r="X285" s="207"/>
    </row>
    <row r="286" spans="1:24" ht="30" x14ac:dyDescent="0.25">
      <c r="A286" s="114" t="str">
        <f t="shared" si="65"/>
        <v>SchoolsSchoolsPhones for all four schools (ex BHS, but integrated with BHS) - capitalGF</v>
      </c>
      <c r="B286" s="11" t="s">
        <v>1</v>
      </c>
      <c r="C286" s="11">
        <v>61</v>
      </c>
      <c r="D286" s="11" t="s">
        <v>1</v>
      </c>
      <c r="F286" s="185" t="s">
        <v>516</v>
      </c>
      <c r="G286" s="123" t="s">
        <v>16</v>
      </c>
      <c r="H286" s="11" t="s">
        <v>540</v>
      </c>
      <c r="K286" s="166"/>
      <c r="L286" s="166">
        <v>0</v>
      </c>
      <c r="M286" s="170"/>
      <c r="N286" s="201">
        <f>(85000+10000)*0</f>
        <v>0</v>
      </c>
      <c r="O286" s="201">
        <f>(85000+10000)</f>
        <v>95000</v>
      </c>
      <c r="P286" s="166"/>
      <c r="Q286" s="166"/>
      <c r="R286" s="166"/>
      <c r="S286" s="166"/>
      <c r="T286" s="115"/>
      <c r="U286" s="115"/>
      <c r="V286" s="115"/>
      <c r="W286" s="115"/>
    </row>
    <row r="287" spans="1:24" x14ac:dyDescent="0.25">
      <c r="A287" s="114" t="str">
        <f t="shared" si="65"/>
        <v>SchoolsSchoolsSwitches ($160k total cost; 75% BOE/25% Town) - capitalGF</v>
      </c>
      <c r="B287" s="11" t="s">
        <v>1</v>
      </c>
      <c r="C287" s="145">
        <v>61</v>
      </c>
      <c r="D287" s="11" t="s">
        <v>1</v>
      </c>
      <c r="F287" s="181" t="s">
        <v>567</v>
      </c>
      <c r="G287" s="11" t="s">
        <v>16</v>
      </c>
      <c r="H287" s="11" t="s">
        <v>540</v>
      </c>
      <c r="I287" s="11" t="s">
        <v>546</v>
      </c>
      <c r="K287" s="166"/>
      <c r="L287" s="166">
        <f>160000*0.75</f>
        <v>120000</v>
      </c>
      <c r="M287" s="170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>
        <v>130000</v>
      </c>
    </row>
    <row r="288" spans="1:24" x14ac:dyDescent="0.25">
      <c r="A288" s="114" t="str">
        <f t="shared" si="65"/>
        <v>SchoolsSchoolsWillard Renovations - site &amp; buildingGF</v>
      </c>
      <c r="B288" s="11" t="s">
        <v>1</v>
      </c>
      <c r="C288" s="11">
        <v>61</v>
      </c>
      <c r="D288" s="11" t="s">
        <v>1</v>
      </c>
      <c r="F288" s="185" t="s">
        <v>517</v>
      </c>
      <c r="G288" s="123" t="s">
        <v>16</v>
      </c>
      <c r="H288" s="11" t="s">
        <v>540</v>
      </c>
      <c r="K288" s="166"/>
      <c r="L288" s="166"/>
      <c r="M288" s="170"/>
      <c r="N288" s="166"/>
      <c r="O288" s="201">
        <f>110000*0</f>
        <v>0</v>
      </c>
      <c r="P288" s="166"/>
      <c r="Q288" s="201">
        <f>110000</f>
        <v>110000</v>
      </c>
      <c r="R288" s="166"/>
      <c r="S288" s="166"/>
      <c r="T288" s="115"/>
      <c r="U288" s="115"/>
      <c r="V288" s="115"/>
      <c r="W288" s="115"/>
    </row>
    <row r="289" spans="1:24" x14ac:dyDescent="0.25">
      <c r="A289" s="114" t="str">
        <f>B289&amp;D289&amp;F289&amp;G289</f>
        <v>SchoolsSchoolsMcGee Locker Replacement - site &amp; buildingGF</v>
      </c>
      <c r="B289" s="11" t="s">
        <v>1</v>
      </c>
      <c r="C289" s="11">
        <v>61</v>
      </c>
      <c r="D289" s="11" t="s">
        <v>1</v>
      </c>
      <c r="F289" s="185" t="s">
        <v>566</v>
      </c>
      <c r="G289" s="123" t="s">
        <v>16</v>
      </c>
      <c r="H289" s="11" t="s">
        <v>540</v>
      </c>
      <c r="K289" s="166"/>
      <c r="L289" s="166"/>
      <c r="M289" s="170"/>
      <c r="N289" s="166"/>
      <c r="O289" s="166"/>
      <c r="P289" s="166">
        <v>100000</v>
      </c>
      <c r="Q289" s="166"/>
      <c r="R289" s="166"/>
      <c r="S289" s="166"/>
      <c r="T289" s="166"/>
      <c r="U289" s="166"/>
      <c r="V289" s="166"/>
      <c r="W289" s="166"/>
      <c r="X289" s="124"/>
    </row>
    <row r="290" spans="1:24" x14ac:dyDescent="0.25">
      <c r="A290" s="114" t="str">
        <f>B290&amp;D290&amp;F290&amp;G290</f>
        <v>SchoolsSchoolsCarpeting in McGee auditorium - site &amp; buildingGF</v>
      </c>
      <c r="B290" s="11" t="s">
        <v>1</v>
      </c>
      <c r="C290" s="11">
        <v>61</v>
      </c>
      <c r="D290" s="11" t="s">
        <v>1</v>
      </c>
      <c r="F290" s="181" t="s">
        <v>519</v>
      </c>
      <c r="G290" s="11" t="s">
        <v>16</v>
      </c>
      <c r="H290" s="11" t="s">
        <v>540</v>
      </c>
      <c r="K290" s="166"/>
      <c r="L290" s="166">
        <v>25000</v>
      </c>
      <c r="M290" s="170"/>
      <c r="N290" s="166"/>
      <c r="O290" s="115"/>
      <c r="P290" s="115"/>
      <c r="Q290" s="115"/>
      <c r="R290" s="115"/>
      <c r="S290" s="115"/>
      <c r="T290" s="115"/>
      <c r="U290" s="115"/>
      <c r="V290" s="115"/>
      <c r="W290" s="115"/>
    </row>
    <row r="291" spans="1:24" x14ac:dyDescent="0.25">
      <c r="A291" s="114" t="str">
        <f>B291&amp;D291&amp;F291&amp;G291</f>
        <v>SchoolsSchoolsSand &amp; refinish gym flooring - all schools (ex BHS)GF</v>
      </c>
      <c r="B291" s="11" t="s">
        <v>1</v>
      </c>
      <c r="C291" s="11">
        <v>61</v>
      </c>
      <c r="D291" s="11" t="s">
        <v>1</v>
      </c>
      <c r="F291" s="181" t="s">
        <v>701</v>
      </c>
      <c r="G291" s="11" t="s">
        <v>16</v>
      </c>
      <c r="H291" s="11" t="s">
        <v>540</v>
      </c>
      <c r="K291" s="166"/>
      <c r="L291" s="166"/>
      <c r="M291" s="170"/>
      <c r="N291" s="201">
        <f>125000*0</f>
        <v>0</v>
      </c>
      <c r="O291" s="201">
        <f>125000</f>
        <v>125000</v>
      </c>
      <c r="P291" s="115"/>
      <c r="Q291" s="115"/>
      <c r="R291" s="115"/>
      <c r="S291" s="115"/>
      <c r="T291" s="115"/>
      <c r="U291" s="115"/>
      <c r="V291" s="115"/>
      <c r="W291" s="115"/>
    </row>
    <row r="292" spans="1:24" x14ac:dyDescent="0.25">
      <c r="A292" s="114" t="str">
        <f>B292&amp;D292&amp;F292&amp;G292</f>
        <v>SchoolsSchoolsHubbard School PlaygroundGF</v>
      </c>
      <c r="B292" s="11" t="s">
        <v>1</v>
      </c>
      <c r="C292" s="11">
        <v>61</v>
      </c>
      <c r="D292" s="11" t="s">
        <v>1</v>
      </c>
      <c r="F292" s="181" t="s">
        <v>87</v>
      </c>
      <c r="G292" s="11" t="s">
        <v>16</v>
      </c>
      <c r="H292" s="11" t="s">
        <v>540</v>
      </c>
      <c r="K292" s="166"/>
      <c r="L292" s="166"/>
      <c r="M292" s="170"/>
      <c r="N292" s="115"/>
      <c r="O292" s="115"/>
      <c r="P292" s="115"/>
      <c r="Q292" s="115"/>
      <c r="R292" s="115"/>
      <c r="S292" s="115"/>
      <c r="T292" s="115"/>
      <c r="U292" s="115"/>
      <c r="V292" s="115"/>
      <c r="W292" s="115"/>
      <c r="X292" s="207" t="s">
        <v>501</v>
      </c>
    </row>
    <row r="293" spans="1:24" x14ac:dyDescent="0.25">
      <c r="A293" s="114" t="str">
        <f t="shared" si="65"/>
        <v>SchoolsSchoolsWindow Replacement - McGeeBond</v>
      </c>
      <c r="B293" s="11" t="s">
        <v>1</v>
      </c>
      <c r="C293" s="11">
        <v>61</v>
      </c>
      <c r="D293" s="11" t="s">
        <v>1</v>
      </c>
      <c r="F293" s="185" t="s">
        <v>713</v>
      </c>
      <c r="G293" s="123" t="s">
        <v>19</v>
      </c>
      <c r="H293" s="11" t="s">
        <v>540</v>
      </c>
      <c r="K293" s="166"/>
      <c r="L293" s="166"/>
      <c r="M293" s="170"/>
      <c r="N293" s="166"/>
      <c r="O293" s="166"/>
      <c r="P293" s="166"/>
      <c r="Q293" s="166"/>
      <c r="R293" s="166"/>
      <c r="S293" s="166"/>
      <c r="T293" s="115">
        <v>2100000</v>
      </c>
      <c r="U293" s="115"/>
      <c r="V293" s="115"/>
      <c r="W293" s="115"/>
    </row>
    <row r="294" spans="1:24" x14ac:dyDescent="0.25">
      <c r="A294" s="114" t="str">
        <f t="shared" ref="A294" si="79">B294&amp;D294&amp;F294&amp;G294</f>
        <v>SchoolsSchoolsWindow Replacement - WillardBond</v>
      </c>
      <c r="B294" s="11" t="s">
        <v>1</v>
      </c>
      <c r="C294" s="11">
        <v>61</v>
      </c>
      <c r="D294" s="11" t="s">
        <v>1</v>
      </c>
      <c r="F294" s="185" t="s">
        <v>714</v>
      </c>
      <c r="G294" s="123" t="s">
        <v>19</v>
      </c>
      <c r="H294" s="11" t="s">
        <v>540</v>
      </c>
      <c r="K294" s="166"/>
      <c r="L294" s="166"/>
      <c r="M294" s="170"/>
      <c r="N294" s="166"/>
      <c r="O294" s="166"/>
      <c r="P294" s="166"/>
      <c r="Q294" s="166"/>
      <c r="R294" s="166"/>
      <c r="S294" s="166"/>
      <c r="T294" s="115"/>
      <c r="U294" s="115"/>
      <c r="V294" s="115">
        <v>1500000</v>
      </c>
      <c r="W294" s="115"/>
    </row>
    <row r="295" spans="1:24" x14ac:dyDescent="0.25">
      <c r="A295" s="114" t="str">
        <f t="shared" ref="A295" si="80">B295&amp;D295&amp;F295&amp;G295</f>
        <v>SchoolsSchoolsWindow Replacement - HubbardBond</v>
      </c>
      <c r="B295" s="11" t="s">
        <v>1</v>
      </c>
      <c r="C295" s="11">
        <v>61</v>
      </c>
      <c r="D295" s="11" t="s">
        <v>1</v>
      </c>
      <c r="F295" s="185" t="s">
        <v>718</v>
      </c>
      <c r="G295" s="123" t="s">
        <v>19</v>
      </c>
      <c r="H295" s="11" t="s">
        <v>540</v>
      </c>
      <c r="K295" s="166"/>
      <c r="L295" s="166"/>
      <c r="M295" s="170"/>
      <c r="N295" s="166"/>
      <c r="O295" s="166"/>
      <c r="P295" s="166"/>
      <c r="Q295" s="166"/>
      <c r="R295" s="166"/>
      <c r="S295" s="166"/>
      <c r="T295" s="115"/>
      <c r="U295" s="115"/>
      <c r="V295" s="115">
        <v>1200000</v>
      </c>
      <c r="W295" s="115"/>
    </row>
    <row r="296" spans="1:24" x14ac:dyDescent="0.25">
      <c r="A296" s="114" t="str">
        <f t="shared" ref="A296" si="81">B296&amp;D296&amp;F296&amp;G296</f>
        <v>SchoolsSchoolsWindow Replacement - GriswoldBond</v>
      </c>
      <c r="B296" s="11" t="s">
        <v>1</v>
      </c>
      <c r="C296" s="11">
        <v>61</v>
      </c>
      <c r="D296" s="11" t="s">
        <v>1</v>
      </c>
      <c r="F296" s="185" t="s">
        <v>722</v>
      </c>
      <c r="G296" s="123" t="s">
        <v>19</v>
      </c>
      <c r="H296" s="11" t="s">
        <v>540</v>
      </c>
      <c r="K296" s="166"/>
      <c r="L296" s="166"/>
      <c r="M296" s="170"/>
      <c r="N296" s="166"/>
      <c r="O296" s="166"/>
      <c r="P296" s="166"/>
      <c r="Q296" s="166"/>
      <c r="R296" s="166"/>
      <c r="S296" s="166"/>
      <c r="T296" s="115"/>
      <c r="U296" s="115"/>
      <c r="V296" s="115"/>
      <c r="W296" s="115">
        <v>1300000</v>
      </c>
    </row>
    <row r="297" spans="1:24" x14ac:dyDescent="0.25">
      <c r="A297" s="114" t="str">
        <f t="shared" ref="A297" si="82">B297&amp;D297&amp;F297&amp;G297</f>
        <v>SchoolsSchoolsLighting control upgrades - BHSGF</v>
      </c>
      <c r="B297" s="11" t="s">
        <v>1</v>
      </c>
      <c r="C297" s="11">
        <v>61</v>
      </c>
      <c r="D297" s="11" t="s">
        <v>1</v>
      </c>
      <c r="F297" s="185" t="s">
        <v>702</v>
      </c>
      <c r="G297" s="123" t="s">
        <v>16</v>
      </c>
      <c r="H297" s="11" t="s">
        <v>540</v>
      </c>
      <c r="K297" s="166"/>
      <c r="L297" s="166"/>
      <c r="M297" s="170"/>
      <c r="N297" s="201">
        <f>100000*0</f>
        <v>0</v>
      </c>
      <c r="O297" s="166"/>
      <c r="P297" s="201">
        <f>100000</f>
        <v>100000</v>
      </c>
      <c r="Q297" s="166"/>
      <c r="R297" s="166"/>
      <c r="S297" s="166"/>
      <c r="T297" s="115"/>
      <c r="U297" s="115"/>
      <c r="V297" s="115"/>
      <c r="W297" s="115"/>
    </row>
    <row r="298" spans="1:24" x14ac:dyDescent="0.25">
      <c r="A298" s="114" t="str">
        <f t="shared" si="65"/>
        <v>SchoolsSchoolsConversion to LED lighting - BHSGF</v>
      </c>
      <c r="B298" s="11" t="s">
        <v>1</v>
      </c>
      <c r="C298" s="11">
        <v>61</v>
      </c>
      <c r="D298" s="11" t="s">
        <v>1</v>
      </c>
      <c r="F298" s="185" t="s">
        <v>577</v>
      </c>
      <c r="G298" s="123" t="s">
        <v>16</v>
      </c>
      <c r="H298" s="11" t="s">
        <v>540</v>
      </c>
      <c r="I298" s="11" t="s">
        <v>575</v>
      </c>
      <c r="K298" s="166"/>
      <c r="L298" s="166"/>
      <c r="M298" s="170"/>
      <c r="N298" s="166"/>
      <c r="O298" s="166"/>
      <c r="P298" s="166"/>
      <c r="Q298" s="166">
        <v>400000</v>
      </c>
      <c r="R298" s="166"/>
      <c r="S298" s="166"/>
      <c r="T298" s="115"/>
      <c r="U298" s="115"/>
      <c r="V298" s="115"/>
      <c r="W298" s="115"/>
    </row>
    <row r="299" spans="1:24" x14ac:dyDescent="0.25">
      <c r="A299" s="114" t="str">
        <f t="shared" si="65"/>
        <v>SchoolsSchoolsConversion to LED lighting - McGeeGF</v>
      </c>
      <c r="B299" s="11" t="s">
        <v>1</v>
      </c>
      <c r="C299" s="11">
        <v>61</v>
      </c>
      <c r="D299" s="11" t="s">
        <v>1</v>
      </c>
      <c r="F299" s="185" t="s">
        <v>578</v>
      </c>
      <c r="G299" s="123" t="s">
        <v>16</v>
      </c>
      <c r="H299" s="11" t="s">
        <v>540</v>
      </c>
      <c r="I299" s="11" t="s">
        <v>575</v>
      </c>
      <c r="K299" s="166"/>
      <c r="L299" s="166"/>
      <c r="M299" s="170"/>
      <c r="N299" s="166"/>
      <c r="O299" s="166"/>
      <c r="P299" s="166"/>
      <c r="Q299" s="166">
        <v>300000</v>
      </c>
      <c r="R299" s="166"/>
      <c r="S299" s="166"/>
      <c r="T299" s="115"/>
      <c r="U299" s="115"/>
      <c r="V299" s="115"/>
      <c r="W299" s="115"/>
    </row>
    <row r="300" spans="1:24" x14ac:dyDescent="0.25">
      <c r="A300" s="114" t="str">
        <f t="shared" si="65"/>
        <v>SchoolsSchoolsConversion to LED lighting - WillardGF</v>
      </c>
      <c r="B300" s="11" t="s">
        <v>1</v>
      </c>
      <c r="C300" s="11">
        <v>61</v>
      </c>
      <c r="D300" s="11" t="s">
        <v>1</v>
      </c>
      <c r="F300" s="185" t="s">
        <v>579</v>
      </c>
      <c r="G300" s="123" t="s">
        <v>16</v>
      </c>
      <c r="H300" s="11" t="s">
        <v>540</v>
      </c>
      <c r="I300" s="11" t="s">
        <v>575</v>
      </c>
      <c r="K300" s="166"/>
      <c r="L300" s="166"/>
      <c r="M300" s="170"/>
      <c r="N300" s="166"/>
      <c r="O300" s="166"/>
      <c r="P300" s="166"/>
      <c r="Q300" s="166">
        <v>275000</v>
      </c>
      <c r="R300" s="166"/>
      <c r="S300" s="166"/>
      <c r="T300" s="115"/>
      <c r="U300" s="115"/>
      <c r="V300" s="115"/>
      <c r="W300" s="115"/>
    </row>
    <row r="301" spans="1:24" x14ac:dyDescent="0.25">
      <c r="A301" s="114" t="str">
        <f t="shared" si="65"/>
        <v>SchoolsSchoolsConversion to LED lighting - GriswoldGF</v>
      </c>
      <c r="B301" s="11" t="s">
        <v>1</v>
      </c>
      <c r="C301" s="11">
        <v>61</v>
      </c>
      <c r="D301" s="11" t="s">
        <v>1</v>
      </c>
      <c r="F301" s="185" t="s">
        <v>580</v>
      </c>
      <c r="G301" s="123" t="s">
        <v>16</v>
      </c>
      <c r="H301" s="11" t="s">
        <v>540</v>
      </c>
      <c r="I301" s="11" t="s">
        <v>575</v>
      </c>
      <c r="K301" s="166"/>
      <c r="L301" s="166"/>
      <c r="M301" s="170"/>
      <c r="N301" s="166"/>
      <c r="O301" s="166"/>
      <c r="P301" s="166"/>
      <c r="Q301" s="166"/>
      <c r="R301" s="166">
        <v>275000</v>
      </c>
      <c r="S301" s="166"/>
      <c r="T301" s="115"/>
      <c r="U301" s="115"/>
      <c r="V301" s="115"/>
      <c r="W301" s="115"/>
    </row>
    <row r="302" spans="1:24" x14ac:dyDescent="0.25">
      <c r="A302" s="114" t="str">
        <f t="shared" si="65"/>
        <v>SchoolsSchoolsConversion to LED lighting - HubbardGF</v>
      </c>
      <c r="B302" s="11" t="s">
        <v>1</v>
      </c>
      <c r="C302" s="11">
        <v>61</v>
      </c>
      <c r="D302" s="11" t="s">
        <v>1</v>
      </c>
      <c r="F302" s="185" t="s">
        <v>581</v>
      </c>
      <c r="G302" s="123" t="s">
        <v>16</v>
      </c>
      <c r="H302" s="11" t="s">
        <v>540</v>
      </c>
      <c r="I302" s="11" t="s">
        <v>575</v>
      </c>
      <c r="K302" s="166"/>
      <c r="L302" s="166"/>
      <c r="M302" s="170"/>
      <c r="N302" s="166"/>
      <c r="O302" s="166"/>
      <c r="P302" s="166"/>
      <c r="Q302" s="166">
        <v>250000</v>
      </c>
      <c r="R302" s="166"/>
      <c r="S302" s="166"/>
      <c r="T302" s="115"/>
      <c r="U302" s="115"/>
      <c r="V302" s="115"/>
      <c r="W302" s="115"/>
    </row>
    <row r="303" spans="1:24" x14ac:dyDescent="0.25">
      <c r="A303" s="114" t="str">
        <f t="shared" ref="A303:A318" si="83">B303&amp;D303&amp;F303&amp;G303</f>
        <v>SchoolsSchoolsElevator Modifications - McGeeGF</v>
      </c>
      <c r="B303" s="11" t="s">
        <v>1</v>
      </c>
      <c r="C303" s="11">
        <v>61</v>
      </c>
      <c r="D303" s="11" t="s">
        <v>1</v>
      </c>
      <c r="F303" s="185" t="s">
        <v>706</v>
      </c>
      <c r="G303" s="123" t="s">
        <v>16</v>
      </c>
      <c r="H303" s="11" t="s">
        <v>540</v>
      </c>
      <c r="K303" s="166"/>
      <c r="L303" s="166"/>
      <c r="M303" s="170"/>
      <c r="N303" s="166"/>
      <c r="O303" s="166"/>
      <c r="P303" s="166"/>
      <c r="Q303" s="166"/>
      <c r="R303" s="166">
        <v>250000</v>
      </c>
      <c r="S303" s="166"/>
      <c r="T303" s="115"/>
      <c r="U303" s="115"/>
      <c r="V303" s="115"/>
      <c r="W303" s="115"/>
    </row>
    <row r="304" spans="1:24" x14ac:dyDescent="0.25">
      <c r="A304" s="114" t="str">
        <f t="shared" si="83"/>
        <v>SchoolsSchoolsElevator Modifications - GriswoldGF</v>
      </c>
      <c r="B304" s="11" t="s">
        <v>1</v>
      </c>
      <c r="C304" s="11">
        <v>61</v>
      </c>
      <c r="D304" s="11" t="s">
        <v>1</v>
      </c>
      <c r="F304" s="185" t="s">
        <v>707</v>
      </c>
      <c r="G304" s="123" t="s">
        <v>16</v>
      </c>
      <c r="H304" s="11" t="s">
        <v>540</v>
      </c>
      <c r="K304" s="166"/>
      <c r="L304" s="166"/>
      <c r="M304" s="170"/>
      <c r="N304" s="166"/>
      <c r="O304" s="166"/>
      <c r="P304" s="166"/>
      <c r="Q304" s="166"/>
      <c r="R304" s="166"/>
      <c r="S304" s="166"/>
      <c r="T304" s="115"/>
      <c r="U304" s="115"/>
      <c r="V304" s="115"/>
      <c r="W304" s="115"/>
    </row>
    <row r="305" spans="1:23" x14ac:dyDescent="0.25">
      <c r="A305" s="114" t="str">
        <f t="shared" si="83"/>
        <v>SchoolsSchoolsElevator Modifications - WillardGF</v>
      </c>
      <c r="B305" s="11" t="s">
        <v>1</v>
      </c>
      <c r="C305" s="11">
        <v>61</v>
      </c>
      <c r="D305" s="11" t="s">
        <v>1</v>
      </c>
      <c r="F305" s="185" t="s">
        <v>708</v>
      </c>
      <c r="G305" s="123" t="s">
        <v>16</v>
      </c>
      <c r="H305" s="11" t="s">
        <v>540</v>
      </c>
      <c r="K305" s="166"/>
      <c r="L305" s="166"/>
      <c r="M305" s="170"/>
      <c r="N305" s="166"/>
      <c r="O305" s="166"/>
      <c r="P305" s="166"/>
      <c r="Q305" s="166"/>
      <c r="R305" s="166">
        <v>150000</v>
      </c>
      <c r="S305" s="166"/>
      <c r="T305" s="115"/>
      <c r="U305" s="115"/>
      <c r="V305" s="115"/>
      <c r="W305" s="115"/>
    </row>
    <row r="306" spans="1:23" x14ac:dyDescent="0.25">
      <c r="A306" s="114" t="str">
        <f t="shared" si="83"/>
        <v>SchoolsSchoolsElevator Modifications - HubbardGF</v>
      </c>
      <c r="B306" s="11" t="s">
        <v>1</v>
      </c>
      <c r="C306" s="11">
        <v>61</v>
      </c>
      <c r="D306" s="11" t="s">
        <v>1</v>
      </c>
      <c r="F306" s="185" t="s">
        <v>709</v>
      </c>
      <c r="G306" s="123" t="s">
        <v>16</v>
      </c>
      <c r="H306" s="11" t="s">
        <v>540</v>
      </c>
      <c r="K306" s="166"/>
      <c r="L306" s="166"/>
      <c r="M306" s="170"/>
      <c r="N306" s="166"/>
      <c r="O306" s="166"/>
      <c r="P306" s="166"/>
      <c r="Q306" s="166"/>
      <c r="R306" s="166"/>
      <c r="S306" s="166"/>
      <c r="T306" s="115"/>
      <c r="U306" s="115"/>
      <c r="V306" s="115"/>
      <c r="W306" s="115"/>
    </row>
    <row r="307" spans="1:23" x14ac:dyDescent="0.25">
      <c r="A307" s="114" t="str">
        <f t="shared" si="83"/>
        <v>SchoolsSchoolsElevator Modifications - BHSGF</v>
      </c>
      <c r="B307" s="11" t="s">
        <v>1</v>
      </c>
      <c r="C307" s="11">
        <v>61</v>
      </c>
      <c r="D307" s="11" t="s">
        <v>1</v>
      </c>
      <c r="F307" s="185" t="s">
        <v>710</v>
      </c>
      <c r="G307" s="123" t="s">
        <v>16</v>
      </c>
      <c r="H307" s="11" t="s">
        <v>540</v>
      </c>
      <c r="K307" s="166"/>
      <c r="L307" s="166"/>
      <c r="M307" s="170"/>
      <c r="N307" s="166"/>
      <c r="O307" s="166"/>
      <c r="P307" s="166"/>
      <c r="Q307" s="166"/>
      <c r="R307" s="166"/>
      <c r="S307" s="166"/>
      <c r="T307" s="115"/>
      <c r="U307" s="115"/>
      <c r="V307" s="115"/>
      <c r="W307" s="115"/>
    </row>
    <row r="308" spans="1:23" x14ac:dyDescent="0.25">
      <c r="A308" s="114" t="str">
        <f t="shared" si="83"/>
        <v>SchoolsSchoolsMcGee GeneratorGF</v>
      </c>
      <c r="B308" s="11" t="s">
        <v>1</v>
      </c>
      <c r="C308" s="11">
        <v>61</v>
      </c>
      <c r="D308" s="11" t="s">
        <v>1</v>
      </c>
      <c r="F308" s="185" t="s">
        <v>711</v>
      </c>
      <c r="G308" s="123" t="s">
        <v>16</v>
      </c>
      <c r="H308" s="11" t="s">
        <v>540</v>
      </c>
      <c r="K308" s="166"/>
      <c r="L308" s="166"/>
      <c r="M308" s="170"/>
      <c r="N308" s="166"/>
      <c r="O308" s="201">
        <f>500000*0</f>
        <v>0</v>
      </c>
      <c r="P308" s="166"/>
      <c r="Q308" s="201">
        <f>500000</f>
        <v>500000</v>
      </c>
      <c r="R308" s="166"/>
      <c r="S308" s="166"/>
      <c r="T308" s="115"/>
      <c r="U308" s="115"/>
      <c r="V308" s="115"/>
      <c r="W308" s="115"/>
    </row>
    <row r="309" spans="1:23" x14ac:dyDescent="0.25">
      <c r="A309" s="114" t="str">
        <f t="shared" si="83"/>
        <v>SchoolsSchoolsCooling tower upgradesGF</v>
      </c>
      <c r="B309" s="11" t="s">
        <v>1</v>
      </c>
      <c r="C309" s="11">
        <v>61</v>
      </c>
      <c r="D309" s="11" t="s">
        <v>1</v>
      </c>
      <c r="F309" s="185" t="s">
        <v>696</v>
      </c>
      <c r="G309" s="123" t="s">
        <v>16</v>
      </c>
      <c r="H309" s="11" t="s">
        <v>540</v>
      </c>
      <c r="K309" s="166"/>
      <c r="L309" s="166"/>
      <c r="M309" s="170"/>
      <c r="N309" s="201">
        <f>250000*0</f>
        <v>0</v>
      </c>
      <c r="O309" s="166"/>
      <c r="P309" s="166"/>
      <c r="Q309" s="166"/>
      <c r="R309" s="166"/>
      <c r="S309" s="166"/>
      <c r="T309" s="115"/>
      <c r="U309" s="115"/>
      <c r="V309" s="115"/>
      <c r="W309" s="115"/>
    </row>
    <row r="310" spans="1:23" x14ac:dyDescent="0.25">
      <c r="A310" s="114" t="str">
        <f t="shared" si="83"/>
        <v>SchoolsSchoolsWater Heaters - all schoolsGF</v>
      </c>
      <c r="B310" s="11" t="s">
        <v>1</v>
      </c>
      <c r="C310" s="11">
        <v>61</v>
      </c>
      <c r="D310" s="11" t="s">
        <v>1</v>
      </c>
      <c r="F310" s="185" t="s">
        <v>733</v>
      </c>
      <c r="G310" s="123" t="s">
        <v>16</v>
      </c>
      <c r="H310" s="11" t="s">
        <v>540</v>
      </c>
      <c r="K310" s="166"/>
      <c r="L310" s="166"/>
      <c r="M310" s="170"/>
      <c r="N310" s="166"/>
      <c r="O310" s="166"/>
      <c r="P310" s="166"/>
      <c r="Q310" s="166"/>
      <c r="R310" s="166"/>
      <c r="S310" s="166"/>
      <c r="T310" s="115"/>
      <c r="U310" s="115">
        <v>200000</v>
      </c>
      <c r="V310" s="115"/>
      <c r="W310" s="115"/>
    </row>
    <row r="311" spans="1:23" x14ac:dyDescent="0.25">
      <c r="A311" s="114" t="str">
        <f t="shared" si="83"/>
        <v>SchoolsSchoolsExhaust Fans - all schoolsGF</v>
      </c>
      <c r="B311" s="11" t="s">
        <v>1</v>
      </c>
      <c r="C311" s="11">
        <v>61</v>
      </c>
      <c r="D311" s="11" t="s">
        <v>1</v>
      </c>
      <c r="F311" s="185" t="s">
        <v>734</v>
      </c>
      <c r="G311" s="123" t="s">
        <v>16</v>
      </c>
      <c r="H311" s="11" t="s">
        <v>540</v>
      </c>
      <c r="K311" s="166"/>
      <c r="L311" s="166"/>
      <c r="M311" s="170"/>
      <c r="N311" s="166"/>
      <c r="O311" s="166"/>
      <c r="P311" s="166"/>
      <c r="Q311" s="166"/>
      <c r="R311" s="166"/>
      <c r="S311" s="166"/>
      <c r="T311" s="115"/>
      <c r="U311" s="115">
        <v>150000</v>
      </c>
      <c r="V311" s="115"/>
      <c r="W311" s="115"/>
    </row>
    <row r="312" spans="1:23" x14ac:dyDescent="0.25">
      <c r="A312" s="114" t="str">
        <f t="shared" si="83"/>
        <v>SchoolsSchoolsWater Pipe - GriswoldGF</v>
      </c>
      <c r="B312" s="11" t="s">
        <v>1</v>
      </c>
      <c r="C312" s="11">
        <v>61</v>
      </c>
      <c r="D312" s="11" t="s">
        <v>1</v>
      </c>
      <c r="F312" s="185" t="s">
        <v>735</v>
      </c>
      <c r="G312" s="123" t="s">
        <v>16</v>
      </c>
      <c r="H312" s="11" t="s">
        <v>540</v>
      </c>
      <c r="K312" s="166"/>
      <c r="L312" s="166"/>
      <c r="M312" s="170"/>
      <c r="N312" s="166"/>
      <c r="O312" s="166"/>
      <c r="P312" s="166"/>
      <c r="Q312" s="166"/>
      <c r="R312" s="166"/>
      <c r="S312" s="166"/>
      <c r="T312" s="115"/>
      <c r="U312" s="115">
        <v>150000</v>
      </c>
      <c r="V312" s="115"/>
      <c r="W312" s="115"/>
    </row>
    <row r="313" spans="1:23" x14ac:dyDescent="0.25">
      <c r="A313" s="114" t="str">
        <f t="shared" si="83"/>
        <v>SchoolsSchoolsBoiler Replacement - Hubbard (2)GF</v>
      </c>
      <c r="B313" s="11" t="s">
        <v>1</v>
      </c>
      <c r="C313" s="11">
        <v>61</v>
      </c>
      <c r="D313" s="11" t="s">
        <v>1</v>
      </c>
      <c r="F313" s="185" t="s">
        <v>194</v>
      </c>
      <c r="G313" s="123" t="s">
        <v>16</v>
      </c>
      <c r="H313" s="11" t="s">
        <v>540</v>
      </c>
      <c r="K313" s="166"/>
      <c r="L313" s="166"/>
      <c r="M313" s="170"/>
      <c r="N313" s="166"/>
      <c r="O313" s="166"/>
      <c r="P313" s="166"/>
      <c r="Q313" s="166"/>
      <c r="R313" s="166"/>
      <c r="S313" s="166"/>
      <c r="T313" s="115">
        <v>1200000</v>
      </c>
      <c r="U313" s="115"/>
      <c r="V313" s="115"/>
      <c r="W313" s="115"/>
    </row>
    <row r="314" spans="1:23" x14ac:dyDescent="0.25">
      <c r="A314" s="114" t="str">
        <f t="shared" si="83"/>
        <v>SchoolsSchoolsBoiler Replacement - Willard (2)GF</v>
      </c>
      <c r="B314" s="11" t="s">
        <v>1</v>
      </c>
      <c r="C314" s="11">
        <v>61</v>
      </c>
      <c r="D314" s="11" t="s">
        <v>1</v>
      </c>
      <c r="F314" s="185" t="s">
        <v>195</v>
      </c>
      <c r="G314" s="123" t="s">
        <v>16</v>
      </c>
      <c r="H314" s="11" t="s">
        <v>540</v>
      </c>
      <c r="K314" s="166"/>
      <c r="L314" s="166"/>
      <c r="M314" s="170"/>
      <c r="N314" s="166"/>
      <c r="O314" s="166"/>
      <c r="P314" s="166"/>
      <c r="Q314" s="166"/>
      <c r="R314" s="166">
        <v>1200000</v>
      </c>
      <c r="S314" s="166"/>
      <c r="T314" s="115"/>
      <c r="U314" s="115"/>
      <c r="V314" s="115"/>
      <c r="W314" s="115"/>
    </row>
    <row r="315" spans="1:23" x14ac:dyDescent="0.25">
      <c r="A315" s="114" t="str">
        <f t="shared" si="83"/>
        <v>SchoolsSchoolsBoiler Replacement - GriswoldGF</v>
      </c>
      <c r="B315" s="11" t="s">
        <v>1</v>
      </c>
      <c r="C315" s="11">
        <v>61</v>
      </c>
      <c r="D315" s="11" t="s">
        <v>1</v>
      </c>
      <c r="F315" s="185" t="s">
        <v>724</v>
      </c>
      <c r="G315" s="123" t="s">
        <v>16</v>
      </c>
      <c r="H315" s="11" t="s">
        <v>540</v>
      </c>
      <c r="K315" s="166"/>
      <c r="L315" s="166"/>
      <c r="M315" s="170"/>
      <c r="N315" s="166"/>
      <c r="O315" s="166"/>
      <c r="P315" s="166"/>
      <c r="Q315" s="166"/>
      <c r="R315" s="166"/>
      <c r="S315" s="166">
        <v>1200000</v>
      </c>
      <c r="T315" s="115"/>
      <c r="U315" s="115"/>
      <c r="V315" s="115"/>
      <c r="W315" s="115"/>
    </row>
    <row r="316" spans="1:23" x14ac:dyDescent="0.25">
      <c r="A316" s="114" t="str">
        <f t="shared" si="83"/>
        <v>SchoolsSchoolsChiller &amp; Pumps - McGeeGF</v>
      </c>
      <c r="B316" s="11" t="s">
        <v>1</v>
      </c>
      <c r="C316" s="11">
        <v>61</v>
      </c>
      <c r="D316" s="11" t="s">
        <v>1</v>
      </c>
      <c r="F316" s="185" t="s">
        <v>705</v>
      </c>
      <c r="G316" s="123" t="s">
        <v>16</v>
      </c>
      <c r="H316" s="11" t="s">
        <v>540</v>
      </c>
      <c r="K316" s="166"/>
      <c r="L316" s="166"/>
      <c r="M316" s="170"/>
      <c r="N316" s="166"/>
      <c r="O316" s="166"/>
      <c r="P316" s="166"/>
      <c r="Q316" s="166"/>
      <c r="R316" s="166"/>
      <c r="S316" s="166"/>
      <c r="T316" s="115"/>
      <c r="U316" s="115"/>
      <c r="V316" s="115"/>
      <c r="W316" s="115">
        <v>1200000</v>
      </c>
    </row>
    <row r="317" spans="1:23" x14ac:dyDescent="0.25">
      <c r="A317" s="114" t="str">
        <f t="shared" si="83"/>
        <v>SchoolsSchoolsMcGee Rooftop Unit 1GF</v>
      </c>
      <c r="B317" s="11" t="s">
        <v>1</v>
      </c>
      <c r="C317" s="11">
        <v>61</v>
      </c>
      <c r="D317" s="11" t="s">
        <v>1</v>
      </c>
      <c r="F317" s="185" t="s">
        <v>720</v>
      </c>
      <c r="G317" s="123" t="s">
        <v>16</v>
      </c>
      <c r="H317" s="11" t="s">
        <v>540</v>
      </c>
      <c r="K317" s="166"/>
      <c r="L317" s="166"/>
      <c r="M317" s="170"/>
      <c r="N317" s="166"/>
      <c r="O317" s="166">
        <v>225000</v>
      </c>
      <c r="P317" s="166"/>
      <c r="Q317" s="166"/>
      <c r="R317" s="166"/>
      <c r="S317" s="166"/>
      <c r="T317" s="115"/>
      <c r="U317" s="115"/>
      <c r="V317" s="115"/>
      <c r="W317" s="115"/>
    </row>
    <row r="318" spans="1:23" x14ac:dyDescent="0.25">
      <c r="A318" s="114" t="str">
        <f t="shared" si="83"/>
        <v>SchoolsSchoolsMcGee Rooftop Unit 2GF</v>
      </c>
      <c r="B318" s="11" t="s">
        <v>1</v>
      </c>
      <c r="C318" s="11">
        <v>61</v>
      </c>
      <c r="D318" s="11" t="s">
        <v>1</v>
      </c>
      <c r="F318" s="185" t="s">
        <v>721</v>
      </c>
      <c r="G318" s="123" t="s">
        <v>16</v>
      </c>
      <c r="H318" s="11" t="s">
        <v>540</v>
      </c>
      <c r="K318" s="166"/>
      <c r="L318" s="166"/>
      <c r="M318" s="170"/>
      <c r="N318" s="166"/>
      <c r="O318" s="166"/>
      <c r="P318" s="166">
        <v>250000</v>
      </c>
      <c r="Q318" s="166"/>
      <c r="R318" s="166"/>
      <c r="S318" s="166"/>
      <c r="T318" s="115"/>
      <c r="U318" s="115"/>
      <c r="V318" s="115"/>
      <c r="W318" s="115"/>
    </row>
    <row r="319" spans="1:23" x14ac:dyDescent="0.25">
      <c r="A319" s="114" t="str">
        <f t="shared" si="65"/>
        <v>SchoolsSchoolsMcGee Lockers (boy's locker room)Grants</v>
      </c>
      <c r="B319" s="11" t="s">
        <v>1</v>
      </c>
      <c r="C319" s="11">
        <v>61</v>
      </c>
      <c r="D319" s="11" t="s">
        <v>1</v>
      </c>
      <c r="F319" s="181" t="s">
        <v>549</v>
      </c>
      <c r="G319" s="11" t="s">
        <v>38</v>
      </c>
      <c r="H319" s="11" t="s">
        <v>540</v>
      </c>
      <c r="K319" s="166">
        <v>46000</v>
      </c>
      <c r="L319" s="166"/>
      <c r="M319" s="170"/>
      <c r="N319" s="115"/>
      <c r="O319" s="115"/>
      <c r="P319" s="115"/>
      <c r="Q319" s="115"/>
      <c r="R319" s="115"/>
      <c r="S319" s="115"/>
      <c r="T319" s="115"/>
      <c r="U319" s="115"/>
      <c r="V319" s="115"/>
      <c r="W319" s="115"/>
    </row>
    <row r="320" spans="1:23" x14ac:dyDescent="0.25">
      <c r="A320" s="114" t="str">
        <f t="shared" si="65"/>
        <v>SchoolsSchoolsSecurity Cameras (various schools)Grants</v>
      </c>
      <c r="B320" s="11" t="s">
        <v>1</v>
      </c>
      <c r="C320" s="11">
        <v>61</v>
      </c>
      <c r="D320" s="11" t="s">
        <v>1</v>
      </c>
      <c r="F320" s="181" t="s">
        <v>109</v>
      </c>
      <c r="G320" s="11" t="s">
        <v>38</v>
      </c>
      <c r="H320" s="11" t="s">
        <v>540</v>
      </c>
      <c r="K320" s="166">
        <v>45000</v>
      </c>
      <c r="L320" s="166"/>
      <c r="M320" s="170"/>
      <c r="N320" s="115"/>
      <c r="O320" s="115"/>
      <c r="P320" s="115"/>
      <c r="Q320" s="115"/>
      <c r="R320" s="115"/>
      <c r="S320" s="115"/>
      <c r="T320" s="115"/>
      <c r="U320" s="115"/>
      <c r="V320" s="115"/>
      <c r="W320" s="115"/>
    </row>
    <row r="321" spans="1:23" x14ac:dyDescent="0.25">
      <c r="A321" s="114" t="str">
        <f t="shared" si="65"/>
        <v>SchoolsSchoolsHubbard School RoofBond</v>
      </c>
      <c r="B321" s="11" t="s">
        <v>1</v>
      </c>
      <c r="C321" s="11">
        <v>61</v>
      </c>
      <c r="D321" s="11" t="s">
        <v>1</v>
      </c>
      <c r="F321" s="181" t="s">
        <v>104</v>
      </c>
      <c r="G321" s="11" t="s">
        <v>19</v>
      </c>
      <c r="H321" s="11" t="s">
        <v>540</v>
      </c>
      <c r="K321" s="166">
        <v>515000</v>
      </c>
      <c r="L321" s="166"/>
      <c r="M321" s="170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</row>
    <row r="322" spans="1:23" ht="30" x14ac:dyDescent="0.25">
      <c r="A322" s="114" t="str">
        <f t="shared" si="65"/>
        <v>SchoolsSchoolsSecurity Vestibules - all schools except BHS; BHS completed as part of projectGrants</v>
      </c>
      <c r="B322" s="11" t="s">
        <v>1</v>
      </c>
      <c r="C322" s="11">
        <v>61</v>
      </c>
      <c r="D322" s="11" t="s">
        <v>1</v>
      </c>
      <c r="F322" s="185" t="s">
        <v>512</v>
      </c>
      <c r="G322" s="11" t="s">
        <v>38</v>
      </c>
      <c r="H322" s="11" t="s">
        <v>540</v>
      </c>
      <c r="K322" s="166"/>
      <c r="L322" s="166"/>
      <c r="M322" s="170"/>
      <c r="N322" s="115">
        <v>270088</v>
      </c>
      <c r="O322" s="115"/>
      <c r="P322" s="115"/>
      <c r="Q322" s="115"/>
      <c r="R322" s="115"/>
      <c r="S322" s="115"/>
      <c r="T322" s="115"/>
      <c r="U322" s="115"/>
      <c r="V322" s="115"/>
      <c r="W322" s="115"/>
    </row>
    <row r="323" spans="1:23" ht="30" x14ac:dyDescent="0.25">
      <c r="A323" s="114" t="str">
        <f t="shared" ref="A323" si="84">B323&amp;D323&amp;F323&amp;G323</f>
        <v>SchoolsSchoolsSecurity Vestibules - all schools except BHS; BHS completed as part of projectCapital</v>
      </c>
      <c r="B323" s="11" t="s">
        <v>1</v>
      </c>
      <c r="C323" s="11">
        <v>61</v>
      </c>
      <c r="D323" s="11" t="s">
        <v>1</v>
      </c>
      <c r="F323" s="185" t="s">
        <v>512</v>
      </c>
      <c r="G323" s="11" t="s">
        <v>542</v>
      </c>
      <c r="H323" s="11" t="s">
        <v>540</v>
      </c>
      <c r="K323" s="166"/>
      <c r="L323" s="166">
        <v>231542</v>
      </c>
      <c r="M323" s="170"/>
      <c r="N323" s="115">
        <v>237000</v>
      </c>
      <c r="O323" s="115"/>
      <c r="P323" s="115"/>
      <c r="Q323" s="115"/>
      <c r="R323" s="115"/>
      <c r="S323" s="115"/>
      <c r="T323" s="115"/>
      <c r="U323" s="115"/>
      <c r="V323" s="115"/>
      <c r="W323" s="115"/>
    </row>
    <row r="324" spans="1:23" ht="30" x14ac:dyDescent="0.25">
      <c r="A324" s="114" t="str">
        <f t="shared" si="65"/>
        <v>SchoolsSchoolsSecurity Vestibules - all schools except BHS; BHS completed as part of projectBond - E</v>
      </c>
      <c r="B324" s="11" t="s">
        <v>1</v>
      </c>
      <c r="C324" s="11">
        <v>61</v>
      </c>
      <c r="D324" s="11" t="s">
        <v>1</v>
      </c>
      <c r="F324" s="185" t="s">
        <v>512</v>
      </c>
      <c r="G324" s="123" t="s">
        <v>243</v>
      </c>
      <c r="H324" s="11" t="s">
        <v>540</v>
      </c>
      <c r="K324" s="166">
        <v>185000</v>
      </c>
      <c r="L324" s="166"/>
      <c r="M324" s="170"/>
      <c r="N324" s="166"/>
      <c r="O324" s="166"/>
      <c r="P324" s="166"/>
      <c r="Q324" s="166"/>
      <c r="R324" s="166"/>
      <c r="S324" s="166"/>
      <c r="T324" s="115"/>
      <c r="U324" s="115"/>
      <c r="V324" s="115"/>
      <c r="W324" s="115"/>
    </row>
    <row r="325" spans="1:23" ht="15.75" thickBot="1" x14ac:dyDescent="0.3">
      <c r="K325" s="165">
        <f>SUM(K252:K324)</f>
        <v>829950</v>
      </c>
      <c r="L325" s="165">
        <f>SUM(L252:L324)</f>
        <v>942173</v>
      </c>
      <c r="M325" s="169"/>
      <c r="N325" s="116">
        <f t="shared" ref="N325:W325" si="85">SUM(N252:N324)</f>
        <v>707088</v>
      </c>
      <c r="O325" s="116">
        <f t="shared" si="85"/>
        <v>743655</v>
      </c>
      <c r="P325" s="116">
        <f t="shared" si="85"/>
        <v>891718</v>
      </c>
      <c r="Q325" s="116">
        <f t="shared" si="85"/>
        <v>2528604</v>
      </c>
      <c r="R325" s="116">
        <f t="shared" si="85"/>
        <v>2608301</v>
      </c>
      <c r="S325" s="116">
        <f t="shared" si="85"/>
        <v>1587782</v>
      </c>
      <c r="T325" s="116">
        <f t="shared" si="85"/>
        <v>3921084</v>
      </c>
      <c r="U325" s="116">
        <f t="shared" si="85"/>
        <v>973504</v>
      </c>
      <c r="V325" s="116">
        <f t="shared" si="85"/>
        <v>2846696</v>
      </c>
      <c r="W325" s="116">
        <f t="shared" si="85"/>
        <v>3830000</v>
      </c>
    </row>
    <row r="326" spans="1:23" ht="15.75" thickTop="1" x14ac:dyDescent="0.25">
      <c r="K326" s="124"/>
      <c r="L326" s="166"/>
      <c r="M326" s="170"/>
      <c r="N326" s="115"/>
      <c r="O326" s="115"/>
      <c r="P326" s="115"/>
      <c r="Q326" s="115"/>
      <c r="R326" s="115"/>
      <c r="S326" s="115"/>
      <c r="T326" s="115"/>
      <c r="U326" s="115"/>
      <c r="V326" s="115"/>
      <c r="W326" s="115"/>
    </row>
    <row r="327" spans="1:23" x14ac:dyDescent="0.25">
      <c r="C327" s="209"/>
      <c r="D327" s="209"/>
      <c r="E327" s="210"/>
      <c r="F327" s="188"/>
      <c r="G327" s="209"/>
      <c r="H327" s="209"/>
      <c r="I327" s="209"/>
      <c r="J327" s="210"/>
      <c r="K327" s="211"/>
      <c r="L327" s="211"/>
      <c r="M327" s="212"/>
      <c r="N327" s="209"/>
      <c r="O327" s="209"/>
      <c r="P327" s="209"/>
      <c r="Q327" s="209"/>
      <c r="R327" s="209"/>
      <c r="S327" s="209"/>
      <c r="T327" s="209"/>
      <c r="U327" s="209"/>
      <c r="V327" s="209"/>
      <c r="W327" s="209"/>
    </row>
    <row r="328" spans="1:23" ht="15.75" thickBot="1" x14ac:dyDescent="0.3">
      <c r="E328" s="121"/>
      <c r="G328" s="117" t="s">
        <v>485</v>
      </c>
      <c r="H328" s="117"/>
      <c r="I328" s="117"/>
      <c r="J328" s="121"/>
      <c r="K328" s="167">
        <f>SUM(K9:K326)/2</f>
        <v>5371586</v>
      </c>
      <c r="L328" s="167">
        <f>SUM(L9:L326)/2</f>
        <v>6284730</v>
      </c>
      <c r="M328" s="171"/>
      <c r="N328" s="122">
        <f t="shared" ref="N328:W328" si="86">SUM(N9:N326)/2</f>
        <v>12495474</v>
      </c>
      <c r="O328" s="122">
        <f t="shared" si="86"/>
        <v>7742982</v>
      </c>
      <c r="P328" s="122">
        <f t="shared" si="86"/>
        <v>6990767</v>
      </c>
      <c r="Q328" s="122">
        <f t="shared" si="86"/>
        <v>11117989.100000001</v>
      </c>
      <c r="R328" s="122">
        <f t="shared" si="86"/>
        <v>8545678</v>
      </c>
      <c r="S328" s="122">
        <f t="shared" si="86"/>
        <v>6736246</v>
      </c>
      <c r="T328" s="122">
        <f t="shared" si="86"/>
        <v>8526084</v>
      </c>
      <c r="U328" s="122">
        <f t="shared" si="86"/>
        <v>4044504</v>
      </c>
      <c r="V328" s="122">
        <f t="shared" si="86"/>
        <v>8537043</v>
      </c>
      <c r="W328" s="122">
        <f t="shared" si="86"/>
        <v>11711000</v>
      </c>
    </row>
    <row r="329" spans="1:23" ht="15.75" thickTop="1" x14ac:dyDescent="0.25">
      <c r="K329" s="115"/>
      <c r="L329" s="115"/>
      <c r="M329" s="170"/>
      <c r="N329" s="115"/>
      <c r="O329" s="115"/>
      <c r="P329" s="115"/>
      <c r="Q329" s="115"/>
      <c r="R329" s="115"/>
      <c r="S329" s="115"/>
      <c r="T329" s="115"/>
      <c r="U329" s="115"/>
      <c r="V329" s="115"/>
      <c r="W329" s="115"/>
    </row>
    <row r="330" spans="1:23" x14ac:dyDescent="0.25">
      <c r="D330" s="123"/>
      <c r="E330" s="124"/>
      <c r="G330" s="123"/>
      <c r="H330" s="128"/>
      <c r="I330" s="85"/>
      <c r="J330" s="128"/>
      <c r="K330" s="213" t="str">
        <f>K8</f>
        <v>FY18</v>
      </c>
      <c r="L330" s="213" t="str">
        <f>L8</f>
        <v>FY19</v>
      </c>
      <c r="M330" s="214"/>
      <c r="N330" s="213" t="str">
        <f t="shared" ref="N330:W330" si="87">N8</f>
        <v>FY20</v>
      </c>
      <c r="O330" s="213" t="str">
        <f t="shared" si="87"/>
        <v>FY21</v>
      </c>
      <c r="P330" s="213" t="str">
        <f t="shared" si="87"/>
        <v>FY22</v>
      </c>
      <c r="Q330" s="213" t="str">
        <f t="shared" si="87"/>
        <v>FY23</v>
      </c>
      <c r="R330" s="213" t="str">
        <f t="shared" si="87"/>
        <v>FY24</v>
      </c>
      <c r="S330" s="213" t="str">
        <f t="shared" si="87"/>
        <v>FY25</v>
      </c>
      <c r="T330" s="213" t="str">
        <f t="shared" si="87"/>
        <v>FY26</v>
      </c>
      <c r="U330" s="213" t="str">
        <f t="shared" si="87"/>
        <v>FY27</v>
      </c>
      <c r="V330" s="213" t="str">
        <f t="shared" si="87"/>
        <v>FY28</v>
      </c>
      <c r="W330" s="213" t="str">
        <f t="shared" si="87"/>
        <v>FY29</v>
      </c>
    </row>
    <row r="331" spans="1:23" x14ac:dyDescent="0.25">
      <c r="D331" s="123"/>
      <c r="E331" s="124"/>
      <c r="G331" s="123"/>
      <c r="H331" s="128" t="s">
        <v>16</v>
      </c>
      <c r="I331" s="85"/>
      <c r="J331" s="128"/>
      <c r="K331" s="215">
        <f t="shared" ref="K331:L337" si="88">SUMIF($G$9:$G$326,$H331,K$9:K$326)</f>
        <v>142086</v>
      </c>
      <c r="L331" s="215">
        <f t="shared" si="88"/>
        <v>1111793</v>
      </c>
      <c r="M331" s="170"/>
      <c r="N331" s="215">
        <f t="shared" ref="N331:W337" si="89">SUMIF($G$9:$G$326,$H331,N$9:N$326)</f>
        <v>274419</v>
      </c>
      <c r="O331" s="215">
        <f t="shared" si="89"/>
        <v>2647182</v>
      </c>
      <c r="P331" s="215">
        <f t="shared" si="89"/>
        <v>5010217</v>
      </c>
      <c r="Q331" s="215">
        <f t="shared" si="89"/>
        <v>5754589.0999999996</v>
      </c>
      <c r="R331" s="215">
        <f t="shared" si="89"/>
        <v>5227678</v>
      </c>
      <c r="S331" s="215">
        <f t="shared" si="89"/>
        <v>5618246</v>
      </c>
      <c r="T331" s="215">
        <f t="shared" si="89"/>
        <v>4558084</v>
      </c>
      <c r="U331" s="215">
        <f t="shared" si="89"/>
        <v>2676504</v>
      </c>
      <c r="V331" s="215">
        <f t="shared" si="89"/>
        <v>2919043</v>
      </c>
      <c r="W331" s="215">
        <f t="shared" si="89"/>
        <v>4293000</v>
      </c>
    </row>
    <row r="332" spans="1:23" x14ac:dyDescent="0.25">
      <c r="D332" s="123"/>
      <c r="E332" s="124"/>
      <c r="G332" s="123"/>
      <c r="H332" s="128" t="s">
        <v>37</v>
      </c>
      <c r="I332" s="85"/>
      <c r="J332" s="128"/>
      <c r="K332" s="215">
        <f t="shared" si="88"/>
        <v>0</v>
      </c>
      <c r="L332" s="215">
        <f t="shared" si="88"/>
        <v>575000</v>
      </c>
      <c r="M332" s="170"/>
      <c r="N332" s="215">
        <f t="shared" si="89"/>
        <v>120000</v>
      </c>
      <c r="O332" s="215">
        <f t="shared" si="89"/>
        <v>0</v>
      </c>
      <c r="P332" s="215">
        <f t="shared" si="89"/>
        <v>75000</v>
      </c>
      <c r="Q332" s="215">
        <f t="shared" si="89"/>
        <v>75000</v>
      </c>
      <c r="R332" s="215">
        <f t="shared" si="89"/>
        <v>0</v>
      </c>
      <c r="S332" s="215">
        <f t="shared" si="89"/>
        <v>0</v>
      </c>
      <c r="T332" s="215">
        <f t="shared" si="89"/>
        <v>0</v>
      </c>
      <c r="U332" s="215">
        <f t="shared" si="89"/>
        <v>250000</v>
      </c>
      <c r="V332" s="215">
        <f t="shared" si="89"/>
        <v>0</v>
      </c>
      <c r="W332" s="215">
        <f t="shared" si="89"/>
        <v>0</v>
      </c>
    </row>
    <row r="333" spans="1:23" x14ac:dyDescent="0.25">
      <c r="D333" s="123"/>
      <c r="E333" s="124"/>
      <c r="G333" s="123"/>
      <c r="H333" s="128" t="s">
        <v>38</v>
      </c>
      <c r="I333" s="85"/>
      <c r="J333" s="128"/>
      <c r="K333" s="215">
        <f t="shared" si="88"/>
        <v>294500</v>
      </c>
      <c r="L333" s="215">
        <f t="shared" si="88"/>
        <v>749000</v>
      </c>
      <c r="M333" s="170"/>
      <c r="N333" s="215">
        <f t="shared" si="89"/>
        <v>6991055</v>
      </c>
      <c r="O333" s="215">
        <f t="shared" si="89"/>
        <v>1118000</v>
      </c>
      <c r="P333" s="215">
        <f t="shared" si="89"/>
        <v>1865550</v>
      </c>
      <c r="Q333" s="215">
        <f t="shared" si="89"/>
        <v>1558400</v>
      </c>
      <c r="R333" s="215">
        <f t="shared" si="89"/>
        <v>1118000</v>
      </c>
      <c r="S333" s="215">
        <f t="shared" si="89"/>
        <v>1118000</v>
      </c>
      <c r="T333" s="215">
        <f t="shared" si="89"/>
        <v>1118000</v>
      </c>
      <c r="U333" s="215">
        <f t="shared" si="89"/>
        <v>1118000</v>
      </c>
      <c r="V333" s="215">
        <f t="shared" si="89"/>
        <v>1118000</v>
      </c>
      <c r="W333" s="215">
        <f t="shared" si="89"/>
        <v>4318000</v>
      </c>
    </row>
    <row r="334" spans="1:23" x14ac:dyDescent="0.25">
      <c r="D334" s="123"/>
      <c r="E334" s="124"/>
      <c r="G334" s="123"/>
      <c r="H334" s="128" t="s">
        <v>19</v>
      </c>
      <c r="I334" s="85"/>
      <c r="J334" s="128"/>
      <c r="K334" s="215">
        <f t="shared" si="88"/>
        <v>4665000</v>
      </c>
      <c r="L334" s="215">
        <f t="shared" si="88"/>
        <v>0</v>
      </c>
      <c r="M334" s="170"/>
      <c r="N334" s="215">
        <f t="shared" si="89"/>
        <v>3700000</v>
      </c>
      <c r="O334" s="215">
        <f t="shared" si="89"/>
        <v>3925000</v>
      </c>
      <c r="P334" s="215">
        <f t="shared" si="89"/>
        <v>0</v>
      </c>
      <c r="Q334" s="215">
        <f t="shared" si="89"/>
        <v>3700000</v>
      </c>
      <c r="R334" s="215">
        <f t="shared" si="89"/>
        <v>2200000</v>
      </c>
      <c r="S334" s="215">
        <f t="shared" si="89"/>
        <v>0</v>
      </c>
      <c r="T334" s="215">
        <f t="shared" si="89"/>
        <v>2850000</v>
      </c>
      <c r="U334" s="215">
        <f t="shared" si="89"/>
        <v>0</v>
      </c>
      <c r="V334" s="215">
        <f t="shared" si="89"/>
        <v>4500000</v>
      </c>
      <c r="W334" s="215">
        <f t="shared" si="89"/>
        <v>3100000</v>
      </c>
    </row>
    <row r="335" spans="1:23" x14ac:dyDescent="0.25">
      <c r="D335" s="123"/>
      <c r="E335" s="124"/>
      <c r="G335" s="123"/>
      <c r="H335" s="128" t="s">
        <v>243</v>
      </c>
      <c r="I335" s="85"/>
      <c r="J335" s="128"/>
      <c r="K335" s="215">
        <f t="shared" si="88"/>
        <v>270000</v>
      </c>
      <c r="L335" s="215">
        <f t="shared" si="88"/>
        <v>76000</v>
      </c>
      <c r="M335" s="170"/>
      <c r="N335" s="215">
        <f t="shared" si="89"/>
        <v>0</v>
      </c>
      <c r="O335" s="215">
        <f t="shared" si="89"/>
        <v>0</v>
      </c>
      <c r="P335" s="215">
        <f t="shared" si="89"/>
        <v>0</v>
      </c>
      <c r="Q335" s="215">
        <f t="shared" si="89"/>
        <v>0</v>
      </c>
      <c r="R335" s="215">
        <f t="shared" si="89"/>
        <v>0</v>
      </c>
      <c r="S335" s="215">
        <f t="shared" si="89"/>
        <v>0</v>
      </c>
      <c r="T335" s="215">
        <f t="shared" si="89"/>
        <v>0</v>
      </c>
      <c r="U335" s="215">
        <f t="shared" si="89"/>
        <v>0</v>
      </c>
      <c r="V335" s="215">
        <f t="shared" si="89"/>
        <v>0</v>
      </c>
      <c r="W335" s="215">
        <f t="shared" si="89"/>
        <v>0</v>
      </c>
    </row>
    <row r="336" spans="1:23" x14ac:dyDescent="0.25">
      <c r="D336" s="123"/>
      <c r="E336" s="124"/>
      <c r="G336" s="123"/>
      <c r="H336" s="128" t="s">
        <v>13</v>
      </c>
      <c r="I336" s="85"/>
      <c r="J336" s="128"/>
      <c r="K336" s="215">
        <f t="shared" si="88"/>
        <v>0</v>
      </c>
      <c r="L336" s="215">
        <f t="shared" si="88"/>
        <v>3110000</v>
      </c>
      <c r="M336" s="170"/>
      <c r="N336" s="215">
        <f t="shared" si="89"/>
        <v>0</v>
      </c>
      <c r="O336" s="215">
        <f t="shared" si="89"/>
        <v>0</v>
      </c>
      <c r="P336" s="215">
        <f t="shared" si="89"/>
        <v>0</v>
      </c>
      <c r="Q336" s="215">
        <f t="shared" si="89"/>
        <v>0</v>
      </c>
      <c r="R336" s="215">
        <f t="shared" si="89"/>
        <v>0</v>
      </c>
      <c r="S336" s="215">
        <f t="shared" si="89"/>
        <v>0</v>
      </c>
      <c r="T336" s="215">
        <f t="shared" si="89"/>
        <v>0</v>
      </c>
      <c r="U336" s="215">
        <f t="shared" si="89"/>
        <v>0</v>
      </c>
      <c r="V336" s="215">
        <f t="shared" si="89"/>
        <v>0</v>
      </c>
      <c r="W336" s="215">
        <f t="shared" si="89"/>
        <v>0</v>
      </c>
    </row>
    <row r="337" spans="4:23" x14ac:dyDescent="0.25">
      <c r="D337" s="123"/>
      <c r="E337" s="124"/>
      <c r="G337" s="123"/>
      <c r="H337" s="128" t="s">
        <v>542</v>
      </c>
      <c r="I337" s="85"/>
      <c r="J337" s="128"/>
      <c r="K337" s="215">
        <f t="shared" si="88"/>
        <v>0</v>
      </c>
      <c r="L337" s="215">
        <f t="shared" si="88"/>
        <v>662937</v>
      </c>
      <c r="M337" s="170"/>
      <c r="N337" s="215">
        <f t="shared" si="89"/>
        <v>1410000</v>
      </c>
      <c r="O337" s="215">
        <f t="shared" si="89"/>
        <v>52800</v>
      </c>
      <c r="P337" s="215">
        <f t="shared" si="89"/>
        <v>40000</v>
      </c>
      <c r="Q337" s="215">
        <f t="shared" si="89"/>
        <v>30000</v>
      </c>
      <c r="R337" s="215">
        <f t="shared" si="89"/>
        <v>0</v>
      </c>
      <c r="S337" s="215">
        <f t="shared" si="89"/>
        <v>0</v>
      </c>
      <c r="T337" s="215">
        <f t="shared" si="89"/>
        <v>0</v>
      </c>
      <c r="U337" s="215">
        <f t="shared" si="89"/>
        <v>0</v>
      </c>
      <c r="V337" s="215">
        <f t="shared" si="89"/>
        <v>0</v>
      </c>
      <c r="W337" s="215">
        <f t="shared" si="89"/>
        <v>0</v>
      </c>
    </row>
    <row r="338" spans="4:23" ht="15.75" thickBot="1" x14ac:dyDescent="0.3">
      <c r="D338" s="123"/>
      <c r="E338" s="124"/>
      <c r="G338" s="123"/>
      <c r="H338" s="128"/>
      <c r="I338" s="85"/>
      <c r="J338" s="128"/>
      <c r="K338" s="216">
        <f>SUM(K331:K337)</f>
        <v>5371586</v>
      </c>
      <c r="L338" s="216">
        <f>SUM(L331:L337)</f>
        <v>6284730</v>
      </c>
      <c r="M338" s="169"/>
      <c r="N338" s="216">
        <f t="shared" ref="N338:V338" si="90">SUM(N331:N337)</f>
        <v>12495474</v>
      </c>
      <c r="O338" s="216">
        <f t="shared" si="90"/>
        <v>7742982</v>
      </c>
      <c r="P338" s="216">
        <f t="shared" si="90"/>
        <v>6990767</v>
      </c>
      <c r="Q338" s="216">
        <f t="shared" si="90"/>
        <v>11117989.1</v>
      </c>
      <c r="R338" s="216">
        <f t="shared" si="90"/>
        <v>8545678</v>
      </c>
      <c r="S338" s="216">
        <f t="shared" si="90"/>
        <v>6736246</v>
      </c>
      <c r="T338" s="216">
        <f t="shared" si="90"/>
        <v>8526084</v>
      </c>
      <c r="U338" s="216">
        <f t="shared" si="90"/>
        <v>4044504</v>
      </c>
      <c r="V338" s="216">
        <f t="shared" si="90"/>
        <v>8537043</v>
      </c>
      <c r="W338" s="216">
        <f t="shared" ref="W338" si="91">SUM(W331:W337)</f>
        <v>11711000</v>
      </c>
    </row>
    <row r="339" spans="4:23" ht="15.75" thickTop="1" x14ac:dyDescent="0.25">
      <c r="D339" s="123"/>
      <c r="E339" s="124"/>
      <c r="G339" s="123"/>
      <c r="H339" s="114"/>
      <c r="K339" s="117" t="str">
        <f>IF(K338=K328,"","ERROR")</f>
        <v/>
      </c>
      <c r="L339" s="117" t="str">
        <f>IF(L338=L328,"","ERROR")</f>
        <v/>
      </c>
      <c r="M339" s="172"/>
      <c r="N339" s="117" t="str">
        <f t="shared" ref="N339:W339" si="92">IF(N338=N328,"","ERROR")</f>
        <v/>
      </c>
      <c r="O339" s="117" t="str">
        <f t="shared" si="92"/>
        <v/>
      </c>
      <c r="P339" s="117" t="str">
        <f t="shared" si="92"/>
        <v/>
      </c>
      <c r="Q339" s="117" t="str">
        <f t="shared" si="92"/>
        <v/>
      </c>
      <c r="R339" s="117" t="str">
        <f t="shared" si="92"/>
        <v/>
      </c>
      <c r="S339" s="117" t="str">
        <f t="shared" si="92"/>
        <v/>
      </c>
      <c r="T339" s="117" t="str">
        <f t="shared" si="92"/>
        <v/>
      </c>
      <c r="U339" s="117" t="str">
        <f t="shared" si="92"/>
        <v/>
      </c>
      <c r="V339" s="117" t="str">
        <f t="shared" si="92"/>
        <v/>
      </c>
      <c r="W339" s="117" t="str">
        <f t="shared" si="92"/>
        <v/>
      </c>
    </row>
    <row r="340" spans="4:23" x14ac:dyDescent="0.25">
      <c r="D340" s="123"/>
      <c r="E340" s="124"/>
      <c r="G340" s="123"/>
      <c r="H340" s="137" t="s">
        <v>551</v>
      </c>
      <c r="I340" s="138"/>
      <c r="J340" s="137"/>
      <c r="K340" s="136">
        <f>K331/K338</f>
        <v>2.6451405599761411E-2</v>
      </c>
      <c r="L340" s="136">
        <f t="shared" ref="L340:V340" si="93">L331/L338</f>
        <v>0.1769038606272664</v>
      </c>
      <c r="M340" s="173"/>
      <c r="N340" s="136">
        <f t="shared" si="93"/>
        <v>2.1961471809712863E-2</v>
      </c>
      <c r="O340" s="136">
        <f t="shared" si="93"/>
        <v>0.34188146117348589</v>
      </c>
      <c r="P340" s="136">
        <f t="shared" si="93"/>
        <v>0.71669060061649892</v>
      </c>
      <c r="Q340" s="136">
        <f t="shared" si="93"/>
        <v>0.51759261933437228</v>
      </c>
      <c r="R340" s="136">
        <f t="shared" si="93"/>
        <v>0.61173355700975396</v>
      </c>
      <c r="S340" s="136">
        <f t="shared" si="93"/>
        <v>0.83403218944201263</v>
      </c>
      <c r="T340" s="136">
        <f t="shared" si="93"/>
        <v>0.53460463209135634</v>
      </c>
      <c r="U340" s="136">
        <f t="shared" si="93"/>
        <v>0.66176322238771434</v>
      </c>
      <c r="V340" s="136">
        <f t="shared" si="93"/>
        <v>0.34192670694056476</v>
      </c>
      <c r="W340" s="136">
        <f t="shared" ref="W340" si="94">W331/W338</f>
        <v>0.36657843053539407</v>
      </c>
    </row>
    <row r="341" spans="4:23" x14ac:dyDescent="0.25">
      <c r="D341" s="123"/>
      <c r="E341" s="124"/>
      <c r="G341" s="123"/>
      <c r="H341" s="114"/>
      <c r="L341" s="115"/>
      <c r="M341" s="170"/>
    </row>
    <row r="342" spans="4:23" x14ac:dyDescent="0.25">
      <c r="D342" s="123"/>
      <c r="E342" s="124"/>
      <c r="G342" s="123"/>
      <c r="H342" s="119"/>
      <c r="I342" s="118"/>
      <c r="J342" s="119"/>
      <c r="K342" s="217" t="str">
        <f>K330</f>
        <v>FY18</v>
      </c>
      <c r="L342" s="217" t="str">
        <f t="shared" ref="L342:V342" si="95">L330</f>
        <v>FY19</v>
      </c>
      <c r="M342" s="214"/>
      <c r="N342" s="217" t="str">
        <f t="shared" si="95"/>
        <v>FY20</v>
      </c>
      <c r="O342" s="217" t="str">
        <f t="shared" si="95"/>
        <v>FY21</v>
      </c>
      <c r="P342" s="217" t="str">
        <f t="shared" si="95"/>
        <v>FY22</v>
      </c>
      <c r="Q342" s="217" t="str">
        <f t="shared" si="95"/>
        <v>FY23</v>
      </c>
      <c r="R342" s="217" t="str">
        <f t="shared" si="95"/>
        <v>FY24</v>
      </c>
      <c r="S342" s="217" t="str">
        <f t="shared" si="95"/>
        <v>FY25</v>
      </c>
      <c r="T342" s="217" t="str">
        <f t="shared" si="95"/>
        <v>FY26</v>
      </c>
      <c r="U342" s="217" t="str">
        <f t="shared" si="95"/>
        <v>FY27</v>
      </c>
      <c r="V342" s="217" t="str">
        <f t="shared" si="95"/>
        <v>FY28</v>
      </c>
      <c r="W342" s="217" t="str">
        <f t="shared" ref="W342" si="96">W330</f>
        <v>FY29</v>
      </c>
    </row>
    <row r="343" spans="4:23" x14ac:dyDescent="0.25">
      <c r="D343" s="123"/>
      <c r="E343" s="124"/>
      <c r="G343" s="218"/>
      <c r="H343" s="219" t="s">
        <v>315</v>
      </c>
      <c r="I343" s="219"/>
      <c r="J343" s="119"/>
      <c r="K343" s="220">
        <f t="shared" ref="K343:L349" si="97">SUMIF($B$9:$B$326,$H343,K$9:K$326)</f>
        <v>2000</v>
      </c>
      <c r="L343" s="220">
        <f t="shared" si="97"/>
        <v>2000</v>
      </c>
      <c r="M343" s="170"/>
      <c r="N343" s="220">
        <f t="shared" ref="N343:W349" si="98">SUMIF($B$9:$B$326,$H343,N$9:N$326)</f>
        <v>0</v>
      </c>
      <c r="O343" s="220">
        <f t="shared" si="98"/>
        <v>2000</v>
      </c>
      <c r="P343" s="220">
        <f t="shared" si="98"/>
        <v>2000</v>
      </c>
      <c r="Q343" s="220">
        <f t="shared" si="98"/>
        <v>2000</v>
      </c>
      <c r="R343" s="220">
        <f t="shared" si="98"/>
        <v>2000</v>
      </c>
      <c r="S343" s="220">
        <f t="shared" si="98"/>
        <v>2000</v>
      </c>
      <c r="T343" s="220">
        <f t="shared" si="98"/>
        <v>2000</v>
      </c>
      <c r="U343" s="220">
        <f t="shared" si="98"/>
        <v>2000</v>
      </c>
      <c r="V343" s="220">
        <f t="shared" si="98"/>
        <v>2000</v>
      </c>
      <c r="W343" s="220">
        <f t="shared" si="98"/>
        <v>2000</v>
      </c>
    </row>
    <row r="344" spans="4:23" x14ac:dyDescent="0.25">
      <c r="D344" s="123"/>
      <c r="E344" s="124"/>
      <c r="G344" s="218"/>
      <c r="H344" s="219" t="s">
        <v>317</v>
      </c>
      <c r="I344" s="219"/>
      <c r="J344" s="119"/>
      <c r="K344" s="220">
        <f t="shared" si="97"/>
        <v>0</v>
      </c>
      <c r="L344" s="220">
        <f t="shared" si="97"/>
        <v>693975</v>
      </c>
      <c r="M344" s="170"/>
      <c r="N344" s="220">
        <f t="shared" si="98"/>
        <v>1785967</v>
      </c>
      <c r="O344" s="220">
        <f t="shared" si="98"/>
        <v>0</v>
      </c>
      <c r="P344" s="220">
        <f t="shared" si="98"/>
        <v>0</v>
      </c>
      <c r="Q344" s="220">
        <f t="shared" si="98"/>
        <v>0</v>
      </c>
      <c r="R344" s="220">
        <f t="shared" si="98"/>
        <v>0</v>
      </c>
      <c r="S344" s="220">
        <f t="shared" si="98"/>
        <v>0</v>
      </c>
      <c r="T344" s="220">
        <f t="shared" si="98"/>
        <v>0</v>
      </c>
      <c r="U344" s="220">
        <f t="shared" si="98"/>
        <v>0</v>
      </c>
      <c r="V344" s="220">
        <f t="shared" si="98"/>
        <v>0</v>
      </c>
      <c r="W344" s="220">
        <f t="shared" si="98"/>
        <v>0</v>
      </c>
    </row>
    <row r="345" spans="4:23" x14ac:dyDescent="0.25">
      <c r="D345" s="123"/>
      <c r="E345" s="124"/>
      <c r="G345" s="218"/>
      <c r="H345" s="219" t="s">
        <v>316</v>
      </c>
      <c r="I345" s="219"/>
      <c r="J345" s="119"/>
      <c r="K345" s="220">
        <f t="shared" si="97"/>
        <v>2136000</v>
      </c>
      <c r="L345" s="220">
        <f t="shared" si="97"/>
        <v>702000</v>
      </c>
      <c r="M345" s="170"/>
      <c r="N345" s="220">
        <f t="shared" si="98"/>
        <v>1273000</v>
      </c>
      <c r="O345" s="220">
        <f t="shared" si="98"/>
        <v>1841500</v>
      </c>
      <c r="P345" s="220">
        <f t="shared" si="98"/>
        <v>564000</v>
      </c>
      <c r="Q345" s="220">
        <f t="shared" si="98"/>
        <v>1836500</v>
      </c>
      <c r="R345" s="220">
        <f t="shared" si="98"/>
        <v>536000</v>
      </c>
      <c r="S345" s="220">
        <f t="shared" si="98"/>
        <v>271000</v>
      </c>
      <c r="T345" s="220">
        <f t="shared" si="98"/>
        <v>264500</v>
      </c>
      <c r="U345" s="220">
        <f t="shared" si="98"/>
        <v>241500</v>
      </c>
      <c r="V345" s="220">
        <f t="shared" si="98"/>
        <v>2153000</v>
      </c>
      <c r="W345" s="220">
        <f t="shared" si="98"/>
        <v>1058000</v>
      </c>
    </row>
    <row r="346" spans="4:23" x14ac:dyDescent="0.25">
      <c r="D346" s="123"/>
      <c r="E346" s="124"/>
      <c r="G346" s="218"/>
      <c r="H346" s="219" t="s">
        <v>366</v>
      </c>
      <c r="I346" s="219"/>
      <c r="J346" s="119"/>
      <c r="K346" s="220">
        <f t="shared" si="97"/>
        <v>2304217</v>
      </c>
      <c r="L346" s="220">
        <f t="shared" si="97"/>
        <v>3792500</v>
      </c>
      <c r="M346" s="170"/>
      <c r="N346" s="220">
        <f t="shared" si="98"/>
        <v>7683000</v>
      </c>
      <c r="O346" s="220">
        <f t="shared" si="98"/>
        <v>4709000</v>
      </c>
      <c r="P346" s="220">
        <f t="shared" si="98"/>
        <v>4988222</v>
      </c>
      <c r="Q346" s="220">
        <f t="shared" si="98"/>
        <v>6424433</v>
      </c>
      <c r="R346" s="220">
        <f t="shared" si="98"/>
        <v>4900913</v>
      </c>
      <c r="S346" s="220">
        <f t="shared" si="98"/>
        <v>4770000</v>
      </c>
      <c r="T346" s="220">
        <f t="shared" si="98"/>
        <v>4163000</v>
      </c>
      <c r="U346" s="220">
        <f t="shared" si="98"/>
        <v>2645000</v>
      </c>
      <c r="V346" s="220">
        <f t="shared" si="98"/>
        <v>3484847</v>
      </c>
      <c r="W346" s="220">
        <f t="shared" si="98"/>
        <v>5580000</v>
      </c>
    </row>
    <row r="347" spans="4:23" x14ac:dyDescent="0.25">
      <c r="D347" s="123"/>
      <c r="E347" s="124"/>
      <c r="G347" s="218"/>
      <c r="H347" s="219" t="s">
        <v>367</v>
      </c>
      <c r="I347" s="219"/>
      <c r="J347" s="119"/>
      <c r="K347" s="220">
        <f t="shared" si="97"/>
        <v>99419</v>
      </c>
      <c r="L347" s="220">
        <f t="shared" si="97"/>
        <v>152082</v>
      </c>
      <c r="M347" s="170"/>
      <c r="N347" s="220">
        <f t="shared" si="98"/>
        <v>1046419</v>
      </c>
      <c r="O347" s="220">
        <f t="shared" si="98"/>
        <v>446827</v>
      </c>
      <c r="P347" s="220">
        <f t="shared" si="98"/>
        <v>544827</v>
      </c>
      <c r="Q347" s="220">
        <f t="shared" si="98"/>
        <v>326452.09999999998</v>
      </c>
      <c r="R347" s="220">
        <f t="shared" si="98"/>
        <v>498464</v>
      </c>
      <c r="S347" s="220">
        <f t="shared" si="98"/>
        <v>105464</v>
      </c>
      <c r="T347" s="220">
        <f t="shared" si="98"/>
        <v>175500</v>
      </c>
      <c r="U347" s="220">
        <f t="shared" si="98"/>
        <v>182500</v>
      </c>
      <c r="V347" s="220">
        <f t="shared" si="98"/>
        <v>50500</v>
      </c>
      <c r="W347" s="220">
        <f t="shared" si="98"/>
        <v>1241000</v>
      </c>
    </row>
    <row r="348" spans="4:23" x14ac:dyDescent="0.25">
      <c r="D348" s="123"/>
      <c r="E348" s="124"/>
      <c r="G348" s="218"/>
      <c r="H348" s="219" t="s">
        <v>368</v>
      </c>
      <c r="I348" s="219"/>
      <c r="J348" s="119"/>
      <c r="K348" s="220">
        <f t="shared" si="97"/>
        <v>0</v>
      </c>
      <c r="L348" s="220">
        <f t="shared" si="97"/>
        <v>0</v>
      </c>
      <c r="M348" s="170"/>
      <c r="N348" s="220">
        <f t="shared" si="98"/>
        <v>0</v>
      </c>
      <c r="O348" s="220">
        <f t="shared" si="98"/>
        <v>0</v>
      </c>
      <c r="P348" s="220">
        <f t="shared" si="98"/>
        <v>0</v>
      </c>
      <c r="Q348" s="220">
        <f t="shared" si="98"/>
        <v>0</v>
      </c>
      <c r="R348" s="220">
        <f t="shared" si="98"/>
        <v>0</v>
      </c>
      <c r="S348" s="220">
        <f t="shared" si="98"/>
        <v>0</v>
      </c>
      <c r="T348" s="220">
        <f t="shared" si="98"/>
        <v>0</v>
      </c>
      <c r="U348" s="220">
        <f t="shared" si="98"/>
        <v>0</v>
      </c>
      <c r="V348" s="220">
        <f t="shared" si="98"/>
        <v>0</v>
      </c>
      <c r="W348" s="220">
        <f t="shared" si="98"/>
        <v>0</v>
      </c>
    </row>
    <row r="349" spans="4:23" x14ac:dyDescent="0.25">
      <c r="D349" s="123"/>
      <c r="E349" s="124"/>
      <c r="G349" s="218"/>
      <c r="H349" s="219" t="s">
        <v>1</v>
      </c>
      <c r="I349" s="219"/>
      <c r="J349" s="119"/>
      <c r="K349" s="220">
        <f t="shared" si="97"/>
        <v>829950</v>
      </c>
      <c r="L349" s="220">
        <f t="shared" si="97"/>
        <v>942173</v>
      </c>
      <c r="M349" s="170"/>
      <c r="N349" s="220">
        <f t="shared" si="98"/>
        <v>707088</v>
      </c>
      <c r="O349" s="220">
        <f t="shared" si="98"/>
        <v>743655</v>
      </c>
      <c r="P349" s="220">
        <f t="shared" si="98"/>
        <v>891718</v>
      </c>
      <c r="Q349" s="220">
        <f t="shared" si="98"/>
        <v>2528604</v>
      </c>
      <c r="R349" s="220">
        <f t="shared" si="98"/>
        <v>2608301</v>
      </c>
      <c r="S349" s="220">
        <f t="shared" si="98"/>
        <v>1587782</v>
      </c>
      <c r="T349" s="220">
        <f t="shared" si="98"/>
        <v>3921084</v>
      </c>
      <c r="U349" s="220">
        <f t="shared" si="98"/>
        <v>973504</v>
      </c>
      <c r="V349" s="220">
        <f t="shared" si="98"/>
        <v>2846696</v>
      </c>
      <c r="W349" s="220">
        <f t="shared" si="98"/>
        <v>3830000</v>
      </c>
    </row>
    <row r="350" spans="4:23" ht="15.75" thickBot="1" x14ac:dyDescent="0.3">
      <c r="D350" s="123"/>
      <c r="E350" s="124"/>
      <c r="G350" s="123"/>
      <c r="H350" s="119"/>
      <c r="I350" s="118"/>
      <c r="J350" s="119"/>
      <c r="K350" s="120">
        <f>SUM(K343:K349)</f>
        <v>5371586</v>
      </c>
      <c r="L350" s="120">
        <f t="shared" ref="L350:V350" si="99">SUM(L343:L349)</f>
        <v>6284730</v>
      </c>
      <c r="M350" s="169"/>
      <c r="N350" s="120">
        <f t="shared" si="99"/>
        <v>12495474</v>
      </c>
      <c r="O350" s="120">
        <f t="shared" si="99"/>
        <v>7742982</v>
      </c>
      <c r="P350" s="120">
        <f t="shared" si="99"/>
        <v>6990767</v>
      </c>
      <c r="Q350" s="120">
        <f t="shared" si="99"/>
        <v>11117989.1</v>
      </c>
      <c r="R350" s="120">
        <f t="shared" si="99"/>
        <v>8545678</v>
      </c>
      <c r="S350" s="120">
        <f t="shared" si="99"/>
        <v>6736246</v>
      </c>
      <c r="T350" s="120">
        <f t="shared" si="99"/>
        <v>8526084</v>
      </c>
      <c r="U350" s="120">
        <f t="shared" si="99"/>
        <v>4044504</v>
      </c>
      <c r="V350" s="120">
        <f t="shared" si="99"/>
        <v>8537043</v>
      </c>
      <c r="W350" s="120">
        <f t="shared" ref="W350" si="100">SUM(W343:W349)</f>
        <v>11711000</v>
      </c>
    </row>
    <row r="351" spans="4:23" ht="15.75" thickTop="1" x14ac:dyDescent="0.25">
      <c r="L351" s="141"/>
      <c r="M351" s="141"/>
    </row>
    <row r="352" spans="4:23" ht="30" x14ac:dyDescent="0.25">
      <c r="F352" s="182" t="s">
        <v>520</v>
      </c>
      <c r="G352" s="129"/>
      <c r="H352" s="129"/>
      <c r="I352" s="129"/>
      <c r="J352" s="129"/>
      <c r="K352" s="129"/>
      <c r="L352" s="130"/>
      <c r="M352" s="130"/>
      <c r="N352" s="129"/>
      <c r="O352" s="129"/>
      <c r="P352" s="129"/>
      <c r="Q352" s="129"/>
      <c r="R352" s="129"/>
      <c r="S352" s="129"/>
      <c r="T352" s="129"/>
      <c r="U352" s="129"/>
      <c r="V352" s="129"/>
      <c r="W352" s="162"/>
    </row>
    <row r="353" spans="1:23" x14ac:dyDescent="0.25">
      <c r="F353" s="189" t="s">
        <v>111</v>
      </c>
      <c r="G353" s="163" t="s">
        <v>19</v>
      </c>
      <c r="H353" s="163"/>
      <c r="I353" s="163"/>
      <c r="J353" s="162"/>
      <c r="K353" s="170"/>
      <c r="L353" s="170"/>
      <c r="M353" s="170"/>
      <c r="N353" s="170"/>
      <c r="O353" s="170"/>
      <c r="P353" s="170"/>
      <c r="Q353" s="170"/>
      <c r="R353" s="170"/>
      <c r="S353" s="170"/>
      <c r="T353" s="170"/>
      <c r="U353" s="170"/>
      <c r="V353" s="170"/>
      <c r="W353" s="170">
        <v>20000000</v>
      </c>
    </row>
    <row r="354" spans="1:23" x14ac:dyDescent="0.25">
      <c r="F354" s="189" t="s">
        <v>761</v>
      </c>
      <c r="G354" s="163" t="s">
        <v>19</v>
      </c>
      <c r="H354" s="163"/>
      <c r="I354" s="163"/>
      <c r="J354" s="162"/>
      <c r="K354" s="170"/>
      <c r="L354" s="170"/>
      <c r="M354" s="170"/>
      <c r="N354" s="170"/>
      <c r="O354" s="170"/>
      <c r="P354" s="170"/>
      <c r="Q354" s="170"/>
      <c r="R354" s="170"/>
      <c r="S354" s="170"/>
      <c r="T354" s="170"/>
      <c r="U354" s="170"/>
      <c r="V354" s="170"/>
      <c r="W354" s="170">
        <v>18000000</v>
      </c>
    </row>
    <row r="355" spans="1:23" x14ac:dyDescent="0.25">
      <c r="F355" s="189" t="s">
        <v>753</v>
      </c>
      <c r="G355" s="163" t="s">
        <v>19</v>
      </c>
      <c r="H355" s="163"/>
      <c r="I355" s="163"/>
      <c r="J355" s="162"/>
      <c r="K355" s="170"/>
      <c r="L355" s="170"/>
      <c r="M355" s="170"/>
      <c r="N355" s="170"/>
      <c r="O355" s="170"/>
      <c r="P355" s="170"/>
      <c r="Q355" s="170"/>
      <c r="R355" s="170"/>
      <c r="S355" s="170"/>
      <c r="T355" s="170"/>
      <c r="U355" s="170"/>
      <c r="V355" s="170"/>
      <c r="W355" s="170">
        <f>SUM(K356:V358)</f>
        <v>6400000</v>
      </c>
    </row>
    <row r="356" spans="1:23" x14ac:dyDescent="0.25">
      <c r="A356" s="114" t="str">
        <f t="shared" ref="A356:A358" si="101">B356&amp;D356&amp;F356&amp;G356</f>
        <v>Schools          HVAC - Willard</v>
      </c>
      <c r="B356" s="11" t="s">
        <v>1</v>
      </c>
      <c r="C356" s="123"/>
      <c r="D356" s="123"/>
      <c r="E356" s="124"/>
      <c r="F356" s="189" t="s">
        <v>754</v>
      </c>
      <c r="G356" s="163"/>
      <c r="H356" s="163"/>
      <c r="I356" s="163"/>
      <c r="J356" s="162"/>
      <c r="K356" s="170"/>
      <c r="L356" s="170"/>
      <c r="M356" s="170"/>
      <c r="N356" s="170">
        <v>2500000</v>
      </c>
      <c r="O356" s="170"/>
      <c r="P356" s="170"/>
      <c r="Q356" s="170"/>
      <c r="R356" s="170"/>
      <c r="S356" s="170"/>
      <c r="T356" s="170"/>
      <c r="U356" s="170"/>
      <c r="V356" s="170"/>
      <c r="W356" s="162"/>
    </row>
    <row r="357" spans="1:23" x14ac:dyDescent="0.25">
      <c r="A357" s="114" t="str">
        <f>B357&amp;D357&amp;F357&amp;G357</f>
        <v>Schools          HVAC - Griswold</v>
      </c>
      <c r="B357" s="11" t="s">
        <v>1</v>
      </c>
      <c r="C357" s="123"/>
      <c r="D357" s="123"/>
      <c r="E357" s="124"/>
      <c r="F357" s="189" t="s">
        <v>755</v>
      </c>
      <c r="G357" s="163"/>
      <c r="H357" s="163"/>
      <c r="I357" s="163"/>
      <c r="J357" s="162"/>
      <c r="K357" s="170"/>
      <c r="L357" s="170"/>
      <c r="M357" s="170"/>
      <c r="N357" s="170"/>
      <c r="O357" s="170"/>
      <c r="P357" s="170">
        <v>2000000</v>
      </c>
      <c r="Q357" s="170"/>
      <c r="R357" s="170"/>
      <c r="S357" s="170"/>
      <c r="T357" s="170"/>
      <c r="U357" s="170"/>
      <c r="V357" s="170"/>
      <c r="W357" s="162"/>
    </row>
    <row r="358" spans="1:23" x14ac:dyDescent="0.25">
      <c r="A358" s="114" t="str">
        <f t="shared" si="101"/>
        <v>Schools          HVAC - Hubbard</v>
      </c>
      <c r="B358" s="11" t="s">
        <v>1</v>
      </c>
      <c r="C358" s="123"/>
      <c r="D358" s="123"/>
      <c r="E358" s="124"/>
      <c r="F358" s="189" t="s">
        <v>756</v>
      </c>
      <c r="G358" s="163"/>
      <c r="H358" s="163"/>
      <c r="I358" s="163"/>
      <c r="J358" s="162"/>
      <c r="K358" s="170"/>
      <c r="L358" s="170"/>
      <c r="M358" s="170"/>
      <c r="N358" s="170"/>
      <c r="O358" s="170">
        <v>1900000</v>
      </c>
      <c r="P358" s="170"/>
      <c r="Q358" s="170"/>
      <c r="R358" s="170"/>
      <c r="S358" s="170"/>
      <c r="T358" s="170"/>
      <c r="U358" s="170"/>
      <c r="V358" s="170"/>
      <c r="W358" s="162"/>
    </row>
    <row r="359" spans="1:23" x14ac:dyDescent="0.25">
      <c r="F359" s="189" t="s">
        <v>760</v>
      </c>
      <c r="G359" s="163" t="s">
        <v>19</v>
      </c>
      <c r="H359" s="163"/>
      <c r="I359" s="163"/>
      <c r="J359" s="162"/>
      <c r="K359" s="170"/>
      <c r="L359" s="170"/>
      <c r="M359" s="170"/>
      <c r="N359" s="170"/>
      <c r="O359" s="170"/>
      <c r="P359" s="170"/>
      <c r="Q359" s="170"/>
      <c r="R359" s="170"/>
      <c r="S359" s="170"/>
      <c r="T359" s="170"/>
      <c r="U359" s="170"/>
      <c r="V359" s="170"/>
      <c r="W359" s="170">
        <v>5000000</v>
      </c>
    </row>
    <row r="360" spans="1:23" x14ac:dyDescent="0.25">
      <c r="F360" s="189" t="s">
        <v>511</v>
      </c>
      <c r="G360" s="163" t="s">
        <v>19</v>
      </c>
      <c r="H360" s="163"/>
      <c r="I360" s="163"/>
      <c r="J360" s="162"/>
      <c r="K360" s="170"/>
      <c r="L360" s="170"/>
      <c r="M360" s="170"/>
      <c r="N360" s="170"/>
      <c r="O360" s="170"/>
      <c r="P360" s="170"/>
      <c r="Q360" s="170"/>
      <c r="R360" s="170"/>
      <c r="S360" s="170"/>
      <c r="T360" s="170"/>
      <c r="U360" s="170"/>
      <c r="V360" s="170"/>
      <c r="W360" s="170">
        <v>2500000</v>
      </c>
    </row>
    <row r="361" spans="1:23" x14ac:dyDescent="0.25">
      <c r="F361" s="189" t="s">
        <v>33</v>
      </c>
      <c r="G361" s="163" t="s">
        <v>19</v>
      </c>
      <c r="H361" s="163"/>
      <c r="I361" s="163"/>
      <c r="J361" s="162"/>
      <c r="K361" s="170"/>
      <c r="L361" s="170"/>
      <c r="M361" s="170"/>
      <c r="N361" s="170"/>
      <c r="O361" s="170"/>
      <c r="P361" s="170"/>
      <c r="Q361" s="170"/>
      <c r="R361" s="170"/>
      <c r="S361" s="170"/>
      <c r="T361" s="170"/>
      <c r="U361" s="170"/>
      <c r="V361" s="170"/>
      <c r="W361" s="170">
        <v>2500000</v>
      </c>
    </row>
    <row r="362" spans="1:23" x14ac:dyDescent="0.25">
      <c r="F362" s="189" t="s">
        <v>759</v>
      </c>
      <c r="G362" s="163" t="s">
        <v>19</v>
      </c>
      <c r="H362" s="163"/>
      <c r="I362" s="163"/>
      <c r="J362" s="162"/>
      <c r="K362" s="170"/>
      <c r="L362" s="170"/>
      <c r="M362" s="170"/>
      <c r="N362" s="170"/>
      <c r="O362" s="170"/>
      <c r="P362" s="170"/>
      <c r="Q362" s="170"/>
      <c r="R362" s="170"/>
      <c r="S362" s="170"/>
      <c r="T362" s="170"/>
      <c r="U362" s="170"/>
      <c r="V362" s="170"/>
      <c r="W362" s="170">
        <v>2000000</v>
      </c>
    </row>
    <row r="363" spans="1:23" x14ac:dyDescent="0.25">
      <c r="F363" s="189" t="s">
        <v>758</v>
      </c>
      <c r="G363" s="163" t="s">
        <v>19</v>
      </c>
      <c r="H363" s="163"/>
      <c r="I363" s="163"/>
      <c r="J363" s="162"/>
      <c r="K363" s="170"/>
      <c r="L363" s="170"/>
      <c r="M363" s="170"/>
      <c r="N363" s="170"/>
      <c r="O363" s="170"/>
      <c r="P363" s="170"/>
      <c r="Q363" s="170"/>
      <c r="R363" s="170"/>
      <c r="S363" s="170"/>
      <c r="T363" s="170"/>
      <c r="U363" s="170"/>
      <c r="V363" s="170"/>
      <c r="W363" s="170">
        <v>1500000</v>
      </c>
    </row>
    <row r="364" spans="1:23" x14ac:dyDescent="0.25">
      <c r="F364" s="189" t="s">
        <v>762</v>
      </c>
      <c r="G364" s="163" t="s">
        <v>19</v>
      </c>
      <c r="H364" s="163"/>
      <c r="I364" s="163"/>
      <c r="J364" s="162"/>
      <c r="K364" s="170"/>
      <c r="L364" s="170"/>
      <c r="M364" s="170"/>
      <c r="N364" s="170"/>
      <c r="O364" s="170"/>
      <c r="P364" s="170"/>
      <c r="Q364" s="170"/>
      <c r="R364" s="170"/>
      <c r="S364" s="170"/>
      <c r="T364" s="170"/>
      <c r="U364" s="170"/>
      <c r="V364" s="170"/>
      <c r="W364" s="170">
        <v>1500000</v>
      </c>
    </row>
    <row r="365" spans="1:23" x14ac:dyDescent="0.25">
      <c r="F365" s="189" t="s">
        <v>763</v>
      </c>
      <c r="G365" s="163" t="s">
        <v>19</v>
      </c>
      <c r="H365" s="163"/>
      <c r="I365" s="163"/>
      <c r="J365" s="162"/>
      <c r="K365" s="170"/>
      <c r="L365" s="170"/>
      <c r="M365" s="170"/>
      <c r="N365" s="170"/>
      <c r="O365" s="170"/>
      <c r="P365" s="170"/>
      <c r="Q365" s="170"/>
      <c r="R365" s="170"/>
      <c r="S365" s="170"/>
      <c r="T365" s="170"/>
      <c r="U365" s="170"/>
      <c r="V365" s="170"/>
      <c r="W365" s="170">
        <v>1500000</v>
      </c>
    </row>
    <row r="366" spans="1:23" x14ac:dyDescent="0.25">
      <c r="F366" s="189" t="s">
        <v>375</v>
      </c>
      <c r="G366" s="163" t="s">
        <v>19</v>
      </c>
      <c r="H366" s="163"/>
      <c r="I366" s="163"/>
      <c r="J366" s="162"/>
      <c r="K366" s="170"/>
      <c r="L366" s="170"/>
      <c r="M366" s="170"/>
      <c r="N366" s="170"/>
      <c r="O366" s="170"/>
      <c r="P366" s="170"/>
      <c r="Q366" s="170"/>
      <c r="R366" s="170"/>
      <c r="S366" s="170"/>
      <c r="T366" s="170"/>
      <c r="U366" s="170"/>
      <c r="V366" s="170"/>
      <c r="W366" s="170">
        <v>500000</v>
      </c>
    </row>
    <row r="367" spans="1:23" x14ac:dyDescent="0.25">
      <c r="F367" s="189" t="s">
        <v>351</v>
      </c>
      <c r="G367" s="163" t="s">
        <v>19</v>
      </c>
      <c r="H367" s="163"/>
      <c r="I367" s="163"/>
      <c r="J367" s="162"/>
      <c r="K367" s="170"/>
      <c r="L367" s="170"/>
      <c r="M367" s="170"/>
      <c r="N367" s="170"/>
      <c r="O367" s="170"/>
      <c r="P367" s="170"/>
      <c r="Q367" s="170"/>
      <c r="R367" s="170"/>
      <c r="S367" s="170"/>
      <c r="T367" s="170"/>
      <c r="U367" s="170"/>
      <c r="V367" s="170"/>
      <c r="W367" s="170">
        <v>875000</v>
      </c>
    </row>
    <row r="368" spans="1:23" x14ac:dyDescent="0.25">
      <c r="F368" s="189" t="s">
        <v>41</v>
      </c>
      <c r="G368" s="163" t="s">
        <v>16</v>
      </c>
      <c r="H368" s="163"/>
      <c r="I368" s="163"/>
      <c r="J368" s="162"/>
      <c r="K368" s="170"/>
      <c r="L368" s="170"/>
      <c r="M368" s="170"/>
      <c r="N368" s="170"/>
      <c r="O368" s="170"/>
      <c r="P368" s="170"/>
      <c r="Q368" s="170"/>
      <c r="R368" s="170"/>
      <c r="S368" s="170"/>
      <c r="T368" s="170"/>
      <c r="U368" s="170"/>
      <c r="V368" s="170"/>
      <c r="W368" s="170">
        <v>500000</v>
      </c>
    </row>
    <row r="369" spans="6:23" x14ac:dyDescent="0.25">
      <c r="F369" s="189" t="s">
        <v>43</v>
      </c>
      <c r="G369" s="163" t="s">
        <v>16</v>
      </c>
      <c r="H369" s="163"/>
      <c r="I369" s="163"/>
      <c r="J369" s="162"/>
      <c r="K369" s="170"/>
      <c r="L369" s="170"/>
      <c r="M369" s="170"/>
      <c r="N369" s="170"/>
      <c r="O369" s="170"/>
      <c r="P369" s="170"/>
      <c r="Q369" s="170"/>
      <c r="R369" s="170"/>
      <c r="S369" s="170"/>
      <c r="T369" s="170"/>
      <c r="U369" s="170"/>
      <c r="V369" s="170"/>
      <c r="W369" s="170">
        <v>300000</v>
      </c>
    </row>
    <row r="370" spans="6:23" x14ac:dyDescent="0.25">
      <c r="F370" s="189" t="s">
        <v>751</v>
      </c>
      <c r="G370" s="163" t="s">
        <v>16</v>
      </c>
      <c r="H370" s="163"/>
      <c r="I370" s="163"/>
      <c r="J370" s="162"/>
      <c r="K370" s="170"/>
      <c r="L370" s="170"/>
      <c r="M370" s="170"/>
      <c r="N370" s="170"/>
      <c r="O370" s="170"/>
      <c r="P370" s="170"/>
      <c r="Q370" s="170"/>
      <c r="R370" s="170"/>
      <c r="S370" s="170"/>
      <c r="T370" s="170"/>
      <c r="U370" s="170"/>
      <c r="V370" s="170"/>
      <c r="W370" s="170">
        <v>100000</v>
      </c>
    </row>
    <row r="371" spans="6:23" ht="15.75" thickBot="1" x14ac:dyDescent="0.3">
      <c r="F371" s="189" t="s">
        <v>51</v>
      </c>
      <c r="G371" s="163"/>
      <c r="H371" s="163"/>
      <c r="I371" s="163"/>
      <c r="J371" s="162"/>
      <c r="K371" s="170"/>
      <c r="L371" s="170"/>
      <c r="M371" s="170"/>
      <c r="N371" s="170"/>
      <c r="O371" s="170"/>
      <c r="P371" s="170"/>
      <c r="Q371" s="170"/>
      <c r="R371" s="170"/>
      <c r="S371" s="170"/>
      <c r="T371" s="170"/>
      <c r="U371" s="170"/>
      <c r="V371" s="170"/>
      <c r="W371" s="169">
        <f>SUM(W353:W370)</f>
        <v>63175000</v>
      </c>
    </row>
    <row r="372" spans="6:23" ht="15.75" thickTop="1" x14ac:dyDescent="0.25">
      <c r="L372" s="114"/>
      <c r="M372" s="114"/>
    </row>
    <row r="373" spans="6:23" x14ac:dyDescent="0.25">
      <c r="F373" s="225" t="s">
        <v>532</v>
      </c>
      <c r="G373" s="225"/>
      <c r="H373" s="225"/>
      <c r="I373" s="225"/>
      <c r="J373" s="225"/>
      <c r="K373" s="225"/>
      <c r="L373" s="225"/>
      <c r="M373" s="114"/>
    </row>
    <row r="374" spans="6:23" x14ac:dyDescent="0.25">
      <c r="F374" s="225" t="s">
        <v>533</v>
      </c>
      <c r="G374" s="225"/>
      <c r="H374" s="225"/>
      <c r="I374" s="225"/>
      <c r="J374" s="225"/>
      <c r="K374" s="225"/>
      <c r="L374" s="225"/>
      <c r="M374" s="114"/>
    </row>
    <row r="375" spans="6:23" x14ac:dyDescent="0.25">
      <c r="F375" s="225" t="s">
        <v>534</v>
      </c>
      <c r="G375" s="225"/>
      <c r="H375" s="225"/>
      <c r="I375" s="225"/>
      <c r="J375" s="225"/>
      <c r="K375" s="225"/>
      <c r="L375" s="225"/>
      <c r="M375" s="114"/>
    </row>
    <row r="376" spans="6:23" x14ac:dyDescent="0.25">
      <c r="F376" s="225" t="s">
        <v>535</v>
      </c>
      <c r="G376" s="225"/>
      <c r="H376" s="225"/>
      <c r="I376" s="225"/>
      <c r="J376" s="225"/>
      <c r="K376" s="225"/>
      <c r="L376" s="225"/>
      <c r="M376" s="114"/>
    </row>
    <row r="377" spans="6:23" x14ac:dyDescent="0.25">
      <c r="F377" s="225" t="s">
        <v>536</v>
      </c>
      <c r="G377" s="225"/>
      <c r="H377" s="225"/>
      <c r="I377" s="225"/>
      <c r="J377" s="225"/>
      <c r="K377" s="225"/>
      <c r="L377" s="225"/>
      <c r="M377" s="225"/>
      <c r="N377" s="225"/>
      <c r="O377" s="225"/>
      <c r="P377" s="225"/>
      <c r="Q377" s="225"/>
      <c r="R377" s="225"/>
      <c r="S377" s="225"/>
      <c r="T377" s="225"/>
      <c r="U377" s="225"/>
    </row>
    <row r="378" spans="6:23" x14ac:dyDescent="0.25">
      <c r="F378" s="225" t="s">
        <v>537</v>
      </c>
      <c r="G378" s="225"/>
      <c r="H378" s="225"/>
      <c r="I378" s="225"/>
      <c r="J378" s="225"/>
      <c r="K378" s="225"/>
      <c r="L378" s="114"/>
      <c r="M378" s="114"/>
    </row>
    <row r="379" spans="6:23" x14ac:dyDescent="0.25">
      <c r="F379" s="225" t="s">
        <v>538</v>
      </c>
      <c r="G379" s="225"/>
      <c r="H379" s="225"/>
      <c r="I379" s="225"/>
      <c r="J379" s="225"/>
      <c r="K379" s="225"/>
      <c r="L379" s="225"/>
      <c r="M379" s="114"/>
    </row>
    <row r="380" spans="6:23" x14ac:dyDescent="0.25">
      <c r="L380" s="114"/>
      <c r="M380" s="114"/>
    </row>
    <row r="381" spans="6:23" x14ac:dyDescent="0.25">
      <c r="F381" s="225" t="s">
        <v>565</v>
      </c>
      <c r="G381" s="225"/>
      <c r="H381" s="225"/>
      <c r="I381" s="225"/>
      <c r="J381" s="225"/>
      <c r="K381" s="225"/>
      <c r="L381" s="225"/>
      <c r="M381" s="114"/>
    </row>
  </sheetData>
  <sortState ref="B240:X316">
    <sortCondition ref="C240:C316"/>
    <sortCondition descending="1" ref="L240:L316"/>
    <sortCondition descending="1" ref="N240:N316"/>
    <sortCondition descending="1" ref="O240:O316"/>
    <sortCondition descending="1" ref="P240:P316"/>
    <sortCondition descending="1" ref="Q240:Q316"/>
    <sortCondition descending="1" ref="R240:R316"/>
    <sortCondition descending="1" ref="S240:S316"/>
    <sortCondition descending="1" ref="T240:T316"/>
    <sortCondition descending="1" ref="U240:U316"/>
    <sortCondition descending="1" ref="V240:V316"/>
  </sortState>
  <mergeCells count="8">
    <mergeCell ref="F378:K378"/>
    <mergeCell ref="F379:L379"/>
    <mergeCell ref="F381:L381"/>
    <mergeCell ref="F377:U377"/>
    <mergeCell ref="F373:L373"/>
    <mergeCell ref="F374:L374"/>
    <mergeCell ref="F375:L375"/>
    <mergeCell ref="F376:L376"/>
  </mergeCells>
  <pageMargins left="0.3" right="0.3" top="0.4" bottom="0.4" header="0" footer="0"/>
  <pageSetup scale="45" fitToHeight="0" orientation="landscape" r:id="rId1"/>
  <headerFooter>
    <oddFooter>&amp;R&amp;D</oddFooter>
  </headerFooter>
  <rowBreaks count="1" manualBreakCount="1">
    <brk id="328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P103"/>
  <sheetViews>
    <sheetView topLeftCell="B1" zoomScale="120" zoomScaleNormal="120" workbookViewId="0">
      <selection activeCell="B1" sqref="B1"/>
    </sheetView>
  </sheetViews>
  <sheetFormatPr defaultRowHeight="15" outlineLevelCol="1" x14ac:dyDescent="0.25"/>
  <cols>
    <col min="1" max="1" width="26.7109375" hidden="1" customWidth="1" outlineLevel="1"/>
    <col min="2" max="2" width="19.42578125" customWidth="1" collapsed="1"/>
    <col min="3" max="3" width="88.42578125" bestFit="1" customWidth="1"/>
    <col min="4" max="4" width="13.7109375" style="1" customWidth="1"/>
    <col min="5" max="5" width="11.85546875" bestFit="1" customWidth="1"/>
    <col min="6" max="6" width="14.7109375" customWidth="1"/>
    <col min="7" max="9" width="11.28515625" bestFit="1" customWidth="1"/>
    <col min="10" max="10" width="10.5703125" bestFit="1" customWidth="1"/>
    <col min="11" max="13" width="10.85546875" bestFit="1" customWidth="1"/>
    <col min="14" max="14" width="12" bestFit="1" customWidth="1"/>
    <col min="15" max="16" width="11.28515625" bestFit="1" customWidth="1"/>
  </cols>
  <sheetData>
    <row r="1" spans="1:16" ht="21" x14ac:dyDescent="0.35">
      <c r="B1" s="17" t="s">
        <v>62</v>
      </c>
    </row>
    <row r="2" spans="1:16" ht="21" x14ac:dyDescent="0.35">
      <c r="B2" s="17" t="s">
        <v>251</v>
      </c>
    </row>
    <row r="3" spans="1:16" ht="21" x14ac:dyDescent="0.35">
      <c r="B3" s="17" t="str">
        <f>'CIP Details'!C3</f>
        <v>Fiscal Year 2019 - 2029</v>
      </c>
      <c r="I3" s="6"/>
    </row>
    <row r="4" spans="1:16" x14ac:dyDescent="0.25">
      <c r="B4" s="16" t="str">
        <f>'CIP Details'!C4</f>
        <v>(Excludes Berlin Water Control - budgeted separately)</v>
      </c>
      <c r="C4" s="52"/>
    </row>
    <row r="6" spans="1:16" x14ac:dyDescent="0.25">
      <c r="B6" s="3" t="s">
        <v>246</v>
      </c>
      <c r="C6" s="3" t="s">
        <v>247</v>
      </c>
      <c r="D6" s="3"/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10</v>
      </c>
      <c r="N6" s="3" t="s">
        <v>11</v>
      </c>
      <c r="O6" s="3" t="s">
        <v>45</v>
      </c>
      <c r="P6" s="3" t="s">
        <v>614</v>
      </c>
    </row>
    <row r="7" spans="1:16" x14ac:dyDescent="0.25">
      <c r="E7" s="1" t="s">
        <v>386</v>
      </c>
      <c r="F7" s="1" t="s">
        <v>622</v>
      </c>
      <c r="G7" s="1" t="s">
        <v>604</v>
      </c>
      <c r="H7" s="1" t="s">
        <v>605</v>
      </c>
      <c r="I7" s="1" t="s">
        <v>606</v>
      </c>
      <c r="J7" s="1" t="s">
        <v>607</v>
      </c>
      <c r="K7" s="1" t="s">
        <v>608</v>
      </c>
      <c r="L7" s="1" t="s">
        <v>609</v>
      </c>
      <c r="M7" s="1" t="s">
        <v>610</v>
      </c>
      <c r="N7" s="1" t="s">
        <v>611</v>
      </c>
      <c r="O7" s="1" t="s">
        <v>612</v>
      </c>
      <c r="P7" s="1" t="s">
        <v>737</v>
      </c>
    </row>
    <row r="8" spans="1:16" x14ac:dyDescent="0.25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t="s">
        <v>366</v>
      </c>
      <c r="B9" t="s">
        <v>464</v>
      </c>
      <c r="C9" t="s">
        <v>52</v>
      </c>
      <c r="D9" s="1" t="s">
        <v>13</v>
      </c>
      <c r="E9" s="6">
        <f>SUMIF('CIP Details'!$A$9:$A$326,'Bond Details'!$A9&amp;'Bond Details'!$B9&amp;'Bond Details'!$C9&amp;$D9,'CIP Details'!K$9:K$326)</f>
        <v>0</v>
      </c>
      <c r="F9" s="6">
        <f>SUMIF('CIP Details'!$A$9:$A$326,'Bond Details'!$A9&amp;'Bond Details'!$B9&amp;'Bond Details'!$C9&amp;$D9,'CIP Details'!L$9:L$326)</f>
        <v>1800000</v>
      </c>
      <c r="G9" s="6">
        <f>SUMIF('CIP Details'!$A$9:$A$326,'Bond Details'!$A9&amp;'Bond Details'!$B9&amp;'Bond Details'!$C9&amp;$D9,'CIP Details'!N$9:N$326)</f>
        <v>0</v>
      </c>
      <c r="H9" s="6">
        <f>SUMIF('CIP Details'!$A$9:$A$326,'Bond Details'!$A9&amp;'Bond Details'!$B9&amp;'Bond Details'!$C9&amp;$D9,'CIP Details'!O$9:O$326)</f>
        <v>0</v>
      </c>
      <c r="I9" s="6">
        <f>SUMIF('CIP Details'!$A$9:$A$326,'Bond Details'!$A9&amp;'Bond Details'!$B9&amp;'Bond Details'!$C9&amp;$D9,'CIP Details'!P$9:P$326)</f>
        <v>0</v>
      </c>
      <c r="J9" s="6">
        <f>SUMIF('CIP Details'!$A$9:$A$326,'Bond Details'!$A9&amp;'Bond Details'!$B9&amp;'Bond Details'!$C9&amp;$D9,'CIP Details'!Q$9:Q$326)</f>
        <v>0</v>
      </c>
      <c r="K9" s="6">
        <f>SUMIF('CIP Details'!$A$9:$A$326,'Bond Details'!$A9&amp;'Bond Details'!$B9&amp;'Bond Details'!$C9&amp;$D9,'CIP Details'!R$9:R$326)</f>
        <v>0</v>
      </c>
      <c r="L9" s="6">
        <f>SUMIF('CIP Details'!$A$9:$A$326,'Bond Details'!$A9&amp;'Bond Details'!$B9&amp;'Bond Details'!$C9&amp;$D9,'CIP Details'!S$9:S$326)</f>
        <v>0</v>
      </c>
      <c r="M9" s="6">
        <f>SUMIF('CIP Details'!$A$9:$A$326,'Bond Details'!$A9&amp;'Bond Details'!$B9&amp;'Bond Details'!$C9&amp;$D9,'CIP Details'!T$9:T$326)</f>
        <v>0</v>
      </c>
      <c r="N9" s="6">
        <f>SUMIF('CIP Details'!$A$9:$A$326,'Bond Details'!$A9&amp;'Bond Details'!$B9&amp;'Bond Details'!$C9&amp;$D9,'CIP Details'!U$9:U$326)</f>
        <v>0</v>
      </c>
      <c r="O9" s="6">
        <f>SUMIF('CIP Details'!$A$9:$A$326,'Bond Details'!$A9&amp;'Bond Details'!$B9&amp;'Bond Details'!$C9&amp;$D9,'CIP Details'!V$9:V$326)</f>
        <v>0</v>
      </c>
      <c r="P9" s="6">
        <f>SUMIF('CIP Details'!$A$9:$A$326,'Bond Details'!$A9&amp;'Bond Details'!$B9&amp;'Bond Details'!$C9&amp;$D9,'CIP Details'!W$9:W$326)</f>
        <v>0</v>
      </c>
    </row>
    <row r="10" spans="1:16" x14ac:dyDescent="0.25">
      <c r="A10" t="s">
        <v>366</v>
      </c>
      <c r="B10" t="s">
        <v>464</v>
      </c>
      <c r="C10" t="s">
        <v>52</v>
      </c>
      <c r="D10" s="1" t="s">
        <v>19</v>
      </c>
      <c r="E10" s="6">
        <f>SUMIF('CIP Details'!$A$9:$A$326,'Bond Details'!$A10&amp;'Bond Details'!$B10&amp;'Bond Details'!$C10&amp;$D10,'CIP Details'!K$9:K$326)</f>
        <v>1050000</v>
      </c>
      <c r="F10" s="6">
        <f>SUMIF('CIP Details'!$A$9:$A$326,'Bond Details'!$A10&amp;'Bond Details'!$B10&amp;'Bond Details'!$C10&amp;$D10,'CIP Details'!L$9:L$326)</f>
        <v>0</v>
      </c>
      <c r="G10" s="6">
        <f>SUMIF('CIP Details'!$A$9:$A$326,'Bond Details'!$A10&amp;'Bond Details'!$B10&amp;'Bond Details'!$C10&amp;$D10,'CIP Details'!N$9:N$326)</f>
        <v>0</v>
      </c>
      <c r="H10" s="6">
        <f>SUMIF('CIP Details'!$A$9:$A$326,'Bond Details'!$A10&amp;'Bond Details'!$B10&amp;'Bond Details'!$C10&amp;$D10,'CIP Details'!O$9:O$326)</f>
        <v>0</v>
      </c>
      <c r="I10" s="6">
        <f>SUMIF('CIP Details'!$A$9:$A$326,'Bond Details'!$A10&amp;'Bond Details'!$B10&amp;'Bond Details'!$C10&amp;$D10,'CIP Details'!P$9:P$326)</f>
        <v>0</v>
      </c>
      <c r="J10" s="6">
        <f>SUMIF('CIP Details'!$A$9:$A$326,'Bond Details'!$A10&amp;'Bond Details'!$B10&amp;'Bond Details'!$C10&amp;$D10,'CIP Details'!Q$9:Q$326)</f>
        <v>0</v>
      </c>
      <c r="K10" s="6">
        <f>SUMIF('CIP Details'!$A$9:$A$326,'Bond Details'!$A10&amp;'Bond Details'!$B10&amp;'Bond Details'!$C10&amp;$D10,'CIP Details'!R$9:R$326)</f>
        <v>0</v>
      </c>
      <c r="L10" s="6">
        <f>SUMIF('CIP Details'!$A$9:$A$326,'Bond Details'!$A10&amp;'Bond Details'!$B10&amp;'Bond Details'!$C10&amp;$D10,'CIP Details'!S$9:S$326)</f>
        <v>0</v>
      </c>
      <c r="M10" s="6">
        <f>SUMIF('CIP Details'!$A$9:$A$326,'Bond Details'!$A10&amp;'Bond Details'!$B10&amp;'Bond Details'!$C10&amp;$D10,'CIP Details'!T$9:T$326)</f>
        <v>0</v>
      </c>
      <c r="N10" s="6">
        <f>SUMIF('CIP Details'!$A$9:$A$326,'Bond Details'!$A10&amp;'Bond Details'!$B10&amp;'Bond Details'!$C10&amp;$D10,'CIP Details'!U$9:U$326)</f>
        <v>0</v>
      </c>
      <c r="O10" s="6">
        <f>SUMIF('CIP Details'!$A$9:$A$326,'Bond Details'!$A10&amp;'Bond Details'!$B10&amp;'Bond Details'!$C10&amp;$D10,'CIP Details'!V$9:V$326)</f>
        <v>0</v>
      </c>
      <c r="P10" s="6">
        <f>SUMIF('CIP Details'!$A$9:$A$326,'Bond Details'!$A10&amp;'Bond Details'!$B10&amp;'Bond Details'!$C10&amp;$D10,'CIP Details'!W$9:W$326)</f>
        <v>0</v>
      </c>
    </row>
    <row r="11" spans="1:16" x14ac:dyDescent="0.25">
      <c r="A11" t="s">
        <v>366</v>
      </c>
      <c r="B11" t="s">
        <v>250</v>
      </c>
      <c r="C11" t="s">
        <v>621</v>
      </c>
      <c r="D11" s="1" t="s">
        <v>19</v>
      </c>
      <c r="E11" s="6">
        <f>SUMIF('CIP Details'!$A$9:$A$326,'Bond Details'!$A11&amp;'Bond Details'!$B11&amp;'Bond Details'!$C11&amp;$D11,'CIP Details'!K$9:K$326)</f>
        <v>0</v>
      </c>
      <c r="F11" s="6">
        <f>SUMIF('CIP Details'!$A$9:$A$326,'Bond Details'!$A11&amp;'Bond Details'!$B11&amp;'Bond Details'!$C11&amp;$D11,'CIP Details'!L$9:L$326)</f>
        <v>0</v>
      </c>
      <c r="G11" s="6">
        <f>SUMIF('CIP Details'!$A$9:$A$326,'Bond Details'!$A11&amp;'Bond Details'!$B11&amp;'Bond Details'!$C11&amp;$D11,'CIP Details'!N$9:N$326)</f>
        <v>500000</v>
      </c>
      <c r="H11" s="6">
        <f>SUMIF('CIP Details'!$A$9:$A$326,'Bond Details'!$A11&amp;'Bond Details'!$B11&amp;'Bond Details'!$C11&amp;$D11,'CIP Details'!O$9:O$326)</f>
        <v>0</v>
      </c>
      <c r="I11" s="6">
        <f>SUMIF('CIP Details'!$A$9:$A$326,'Bond Details'!$A11&amp;'Bond Details'!$B11&amp;'Bond Details'!$C11&amp;$D11,'CIP Details'!P$9:P$326)</f>
        <v>0</v>
      </c>
      <c r="J11" s="6">
        <f>SUMIF('CIP Details'!$A$9:$A$326,'Bond Details'!$A11&amp;'Bond Details'!$B11&amp;'Bond Details'!$C11&amp;$D11,'CIP Details'!Q$9:Q$326)</f>
        <v>0</v>
      </c>
      <c r="K11" s="6">
        <f>SUMIF('CIP Details'!$A$9:$A$326,'Bond Details'!$A11&amp;'Bond Details'!$B11&amp;'Bond Details'!$C11&amp;$D11,'CIP Details'!R$9:R$326)</f>
        <v>0</v>
      </c>
      <c r="L11" s="6">
        <f>SUMIF('CIP Details'!$A$9:$A$326,'Bond Details'!$A11&amp;'Bond Details'!$B11&amp;'Bond Details'!$C11&amp;$D11,'CIP Details'!S$9:S$326)</f>
        <v>0</v>
      </c>
      <c r="M11" s="6">
        <f>SUMIF('CIP Details'!$A$9:$A$326,'Bond Details'!$A11&amp;'Bond Details'!$B11&amp;'Bond Details'!$C11&amp;$D11,'CIP Details'!T$9:T$326)</f>
        <v>0</v>
      </c>
      <c r="N11" s="6">
        <f>SUMIF('CIP Details'!$A$9:$A$326,'Bond Details'!$A11&amp;'Bond Details'!$B11&amp;'Bond Details'!$C11&amp;$D11,'CIP Details'!U$9:U$326)</f>
        <v>0</v>
      </c>
      <c r="O11" s="6">
        <f>SUMIF('CIP Details'!$A$9:$A$326,'Bond Details'!$A11&amp;'Bond Details'!$B11&amp;'Bond Details'!$C11&amp;$D11,'CIP Details'!V$9:V$326)</f>
        <v>0</v>
      </c>
      <c r="P11" s="6">
        <f>SUMIF('CIP Details'!$A$9:$A$326,'Bond Details'!$A11&amp;'Bond Details'!$B11&amp;'Bond Details'!$C11&amp;$D11,'CIP Details'!W$9:W$326)</f>
        <v>0</v>
      </c>
    </row>
    <row r="12" spans="1:16" x14ac:dyDescent="0.25">
      <c r="A12" t="s">
        <v>366</v>
      </c>
      <c r="B12" t="s">
        <v>250</v>
      </c>
      <c r="C12" t="s">
        <v>621</v>
      </c>
      <c r="D12" s="1" t="s">
        <v>13</v>
      </c>
      <c r="E12" s="6">
        <f>SUMIF('CIP Details'!$A$9:$A$326,'Bond Details'!$A12&amp;'Bond Details'!$B12&amp;'Bond Details'!$C12&amp;$D12,'CIP Details'!K$9:K$326)</f>
        <v>0</v>
      </c>
      <c r="F12" s="6">
        <f>SUMIF('CIP Details'!$A$9:$A$326,'Bond Details'!$A12&amp;'Bond Details'!$B12&amp;'Bond Details'!$C12&amp;$D12,'CIP Details'!L$9:L$326)</f>
        <v>1000000</v>
      </c>
      <c r="G12" s="6">
        <f>SUMIF('CIP Details'!$A$9:$A$326,'Bond Details'!$A12&amp;'Bond Details'!$B12&amp;'Bond Details'!$C12&amp;$D12,'CIP Details'!N$9:N$326)</f>
        <v>0</v>
      </c>
      <c r="H12" s="6">
        <f>SUMIF('CIP Details'!$A$9:$A$326,'Bond Details'!$A12&amp;'Bond Details'!$B12&amp;'Bond Details'!$C12&amp;$D12,'CIP Details'!O$9:O$326)</f>
        <v>0</v>
      </c>
      <c r="I12" s="6">
        <f>SUMIF('CIP Details'!$A$9:$A$326,'Bond Details'!$A12&amp;'Bond Details'!$B12&amp;'Bond Details'!$C12&amp;$D12,'CIP Details'!P$9:P$326)</f>
        <v>0</v>
      </c>
      <c r="J12" s="6">
        <f>SUMIF('CIP Details'!$A$9:$A$326,'Bond Details'!$A12&amp;'Bond Details'!$B12&amp;'Bond Details'!$C12&amp;$D12,'CIP Details'!Q$9:Q$326)</f>
        <v>0</v>
      </c>
      <c r="K12" s="6">
        <f>SUMIF('CIP Details'!$A$9:$A$326,'Bond Details'!$A12&amp;'Bond Details'!$B12&amp;'Bond Details'!$C12&amp;$D12,'CIP Details'!R$9:R$326)</f>
        <v>0</v>
      </c>
      <c r="L12" s="6">
        <f>SUMIF('CIP Details'!$A$9:$A$326,'Bond Details'!$A12&amp;'Bond Details'!$B12&amp;'Bond Details'!$C12&amp;$D12,'CIP Details'!S$9:S$326)</f>
        <v>0</v>
      </c>
      <c r="M12" s="6">
        <f>SUMIF('CIP Details'!$A$9:$A$326,'Bond Details'!$A12&amp;'Bond Details'!$B12&amp;'Bond Details'!$C12&amp;$D12,'CIP Details'!T$9:T$326)</f>
        <v>0</v>
      </c>
      <c r="N12" s="6">
        <f>SUMIF('CIP Details'!$A$9:$A$326,'Bond Details'!$A12&amp;'Bond Details'!$B12&amp;'Bond Details'!$C12&amp;$D12,'CIP Details'!U$9:U$326)</f>
        <v>0</v>
      </c>
      <c r="O12" s="6">
        <f>SUMIF('CIP Details'!$A$9:$A$326,'Bond Details'!$A12&amp;'Bond Details'!$B12&amp;'Bond Details'!$C12&amp;$D12,'CIP Details'!V$9:V$326)</f>
        <v>0</v>
      </c>
      <c r="P12" s="6">
        <f>SUMIF('CIP Details'!$A$9:$A$326,'Bond Details'!$A12&amp;'Bond Details'!$B12&amp;'Bond Details'!$C12&amp;$D12,'CIP Details'!W$9:W$326)</f>
        <v>0</v>
      </c>
    </row>
    <row r="13" spans="1:16" x14ac:dyDescent="0.25">
      <c r="A13" t="s">
        <v>366</v>
      </c>
      <c r="B13" t="s">
        <v>250</v>
      </c>
      <c r="C13" t="s">
        <v>505</v>
      </c>
      <c r="D13" s="1" t="s">
        <v>19</v>
      </c>
      <c r="E13" s="6">
        <f>SUMIF('CIP Details'!$A$9:$A$326,'Bond Details'!$A13&amp;'Bond Details'!$B13&amp;'Bond Details'!$C13&amp;$D13,'CIP Details'!K$9:K$326)</f>
        <v>1000000</v>
      </c>
      <c r="F13" s="6">
        <f>SUMIF('CIP Details'!$A$9:$A$326,'Bond Details'!$A13&amp;'Bond Details'!$B13&amp;'Bond Details'!$C13&amp;$D13,'CIP Details'!L$9:L$326)</f>
        <v>0</v>
      </c>
      <c r="G13" s="6">
        <f>SUMIF('CIP Details'!$A$9:$A$326,'Bond Details'!$A13&amp;'Bond Details'!$B13&amp;'Bond Details'!$C13&amp;$D13,'CIP Details'!N$9:N$326)</f>
        <v>0</v>
      </c>
      <c r="H13" s="6">
        <f>SUMIF('CIP Details'!$A$9:$A$326,'Bond Details'!$A13&amp;'Bond Details'!$B13&amp;'Bond Details'!$C13&amp;$D13,'CIP Details'!O$9:O$326)</f>
        <v>0</v>
      </c>
      <c r="I13" s="6">
        <f>SUMIF('CIP Details'!$A$9:$A$326,'Bond Details'!$A13&amp;'Bond Details'!$B13&amp;'Bond Details'!$C13&amp;$D13,'CIP Details'!P$9:P$326)</f>
        <v>0</v>
      </c>
      <c r="J13" s="6">
        <f>SUMIF('CIP Details'!$A$9:$A$326,'Bond Details'!$A13&amp;'Bond Details'!$B13&amp;'Bond Details'!$C13&amp;$D13,'CIP Details'!Q$9:Q$326)</f>
        <v>0</v>
      </c>
      <c r="K13" s="6">
        <f>SUMIF('CIP Details'!$A$9:$A$326,'Bond Details'!$A13&amp;'Bond Details'!$B13&amp;'Bond Details'!$C13&amp;$D13,'CIP Details'!R$9:R$326)</f>
        <v>0</v>
      </c>
      <c r="L13" s="6">
        <f>SUMIF('CIP Details'!$A$9:$A$326,'Bond Details'!$A13&amp;'Bond Details'!$B13&amp;'Bond Details'!$C13&amp;$D13,'CIP Details'!S$9:S$326)</f>
        <v>0</v>
      </c>
      <c r="M13" s="6">
        <f>SUMIF('CIP Details'!$A$9:$A$326,'Bond Details'!$A13&amp;'Bond Details'!$B13&amp;'Bond Details'!$C13&amp;$D13,'CIP Details'!T$9:T$326)</f>
        <v>0</v>
      </c>
      <c r="N13" s="6">
        <f>SUMIF('CIP Details'!$A$9:$A$326,'Bond Details'!$A13&amp;'Bond Details'!$B13&amp;'Bond Details'!$C13&amp;$D13,'CIP Details'!U$9:U$326)</f>
        <v>0</v>
      </c>
      <c r="O13" s="6">
        <f>SUMIF('CIP Details'!$A$9:$A$326,'Bond Details'!$A13&amp;'Bond Details'!$B13&amp;'Bond Details'!$C13&amp;$D13,'CIP Details'!V$9:V$326)</f>
        <v>0</v>
      </c>
      <c r="P13" s="6">
        <f>SUMIF('CIP Details'!$A$9:$A$326,'Bond Details'!$A13&amp;'Bond Details'!$B13&amp;'Bond Details'!$C13&amp;$D13,'CIP Details'!W$9:W$326)</f>
        <v>0</v>
      </c>
    </row>
    <row r="14" spans="1:16" x14ac:dyDescent="0.25">
      <c r="A14" t="s">
        <v>366</v>
      </c>
      <c r="B14" t="s">
        <v>250</v>
      </c>
      <c r="C14" t="s">
        <v>623</v>
      </c>
      <c r="D14" s="1" t="s">
        <v>19</v>
      </c>
      <c r="E14" s="6">
        <f>SUMIF('CIP Details'!$A$9:$A$326,'Bond Details'!$A14&amp;'Bond Details'!$B14&amp;'Bond Details'!$C14&amp;$D14,'CIP Details'!K$9:K$326)</f>
        <v>0</v>
      </c>
      <c r="F14" s="6">
        <f>SUMIF('CIP Details'!$A$9:$A$326,'Bond Details'!$A14&amp;'Bond Details'!$B14&amp;'Bond Details'!$C14&amp;$D14,'CIP Details'!L$9:L$326)</f>
        <v>0</v>
      </c>
      <c r="G14" s="6">
        <f>SUMIF('CIP Details'!$A$9:$A$326,'Bond Details'!$A14&amp;'Bond Details'!$B14&amp;'Bond Details'!$C14&amp;$D14,'CIP Details'!N$9:N$326)</f>
        <v>1000000</v>
      </c>
      <c r="H14" s="6">
        <f>SUMIF('CIP Details'!$A$9:$A$326,'Bond Details'!$A14&amp;'Bond Details'!$B14&amp;'Bond Details'!$C14&amp;$D14,'CIP Details'!O$9:O$326)</f>
        <v>0</v>
      </c>
      <c r="I14" s="6">
        <f>SUMIF('CIP Details'!$A$9:$A$326,'Bond Details'!$A14&amp;'Bond Details'!$B14&amp;'Bond Details'!$C14&amp;$D14,'CIP Details'!P$9:P$326)</f>
        <v>0</v>
      </c>
      <c r="J14" s="6">
        <f>SUMIF('CIP Details'!$A$9:$A$326,'Bond Details'!$A14&amp;'Bond Details'!$B14&amp;'Bond Details'!$C14&amp;$D14,'CIP Details'!Q$9:Q$326)</f>
        <v>0</v>
      </c>
      <c r="K14" s="6">
        <f>SUMIF('CIP Details'!$A$9:$A$326,'Bond Details'!$A14&amp;'Bond Details'!$B14&amp;'Bond Details'!$C14&amp;$D14,'CIP Details'!R$9:R$326)</f>
        <v>0</v>
      </c>
      <c r="L14" s="6">
        <f>SUMIF('CIP Details'!$A$9:$A$326,'Bond Details'!$A14&amp;'Bond Details'!$B14&amp;'Bond Details'!$C14&amp;$D14,'CIP Details'!S$9:S$326)</f>
        <v>0</v>
      </c>
      <c r="M14" s="6">
        <f>SUMIF('CIP Details'!$A$9:$A$326,'Bond Details'!$A14&amp;'Bond Details'!$B14&amp;'Bond Details'!$C14&amp;$D14,'CIP Details'!T$9:T$326)</f>
        <v>0</v>
      </c>
      <c r="N14" s="6">
        <f>SUMIF('CIP Details'!$A$9:$A$326,'Bond Details'!$A14&amp;'Bond Details'!$B14&amp;'Bond Details'!$C14&amp;$D14,'CIP Details'!U$9:U$326)</f>
        <v>0</v>
      </c>
      <c r="O14" s="6">
        <f>SUMIF('CIP Details'!$A$9:$A$326,'Bond Details'!$A14&amp;'Bond Details'!$B14&amp;'Bond Details'!$C14&amp;$D14,'CIP Details'!V$9:V$326)</f>
        <v>0</v>
      </c>
      <c r="P14" s="6">
        <f>SUMIF('CIP Details'!$A$9:$A$326,'Bond Details'!$A14&amp;'Bond Details'!$B14&amp;'Bond Details'!$C14&amp;$D14,'CIP Details'!W$9:W$326)</f>
        <v>0</v>
      </c>
    </row>
    <row r="15" spans="1:16" x14ac:dyDescent="0.25">
      <c r="A15" t="s">
        <v>366</v>
      </c>
      <c r="B15" t="s">
        <v>250</v>
      </c>
      <c r="C15" t="s">
        <v>624</v>
      </c>
      <c r="D15" s="1" t="s">
        <v>19</v>
      </c>
      <c r="E15" s="6">
        <f>SUMIF('CIP Details'!$A$9:$A$326,'Bond Details'!$A15&amp;'Bond Details'!$B15&amp;'Bond Details'!$C15&amp;$D15,'CIP Details'!K$9:K$326)</f>
        <v>0</v>
      </c>
      <c r="F15" s="6">
        <f>SUMIF('CIP Details'!$A$9:$A$326,'Bond Details'!$A15&amp;'Bond Details'!$B15&amp;'Bond Details'!$C15&amp;$D15,'CIP Details'!L$9:L$326)</f>
        <v>0</v>
      </c>
      <c r="G15" s="6">
        <f>SUMIF('CIP Details'!$A$9:$A$326,'Bond Details'!$A15&amp;'Bond Details'!$B15&amp;'Bond Details'!$C15&amp;$D15,'CIP Details'!N$9:N$326)</f>
        <v>0</v>
      </c>
      <c r="H15" s="6">
        <f>SUMIF('CIP Details'!$A$9:$A$326,'Bond Details'!$A15&amp;'Bond Details'!$B15&amp;'Bond Details'!$C15&amp;$D15,'CIP Details'!O$9:O$326)</f>
        <v>1225000</v>
      </c>
      <c r="I15" s="6">
        <f>SUMIF('CIP Details'!$A$9:$A$326,'Bond Details'!$A15&amp;'Bond Details'!$B15&amp;'Bond Details'!$C15&amp;$D15,'CIP Details'!P$9:P$326)</f>
        <v>0</v>
      </c>
      <c r="J15" s="6">
        <f>SUMIF('CIP Details'!$A$9:$A$326,'Bond Details'!$A15&amp;'Bond Details'!$B15&amp;'Bond Details'!$C15&amp;$D15,'CIP Details'!Q$9:Q$326)</f>
        <v>0</v>
      </c>
      <c r="K15" s="6">
        <f>SUMIF('CIP Details'!$A$9:$A$326,'Bond Details'!$A15&amp;'Bond Details'!$B15&amp;'Bond Details'!$C15&amp;$D15,'CIP Details'!R$9:R$326)</f>
        <v>0</v>
      </c>
      <c r="L15" s="6">
        <f>SUMIF('CIP Details'!$A$9:$A$326,'Bond Details'!$A15&amp;'Bond Details'!$B15&amp;'Bond Details'!$C15&amp;$D15,'CIP Details'!S$9:S$326)</f>
        <v>0</v>
      </c>
      <c r="M15" s="6">
        <f>SUMIF('CIP Details'!$A$9:$A$326,'Bond Details'!$A15&amp;'Bond Details'!$B15&amp;'Bond Details'!$C15&amp;$D15,'CIP Details'!T$9:T$326)</f>
        <v>0</v>
      </c>
      <c r="N15" s="6">
        <f>SUMIF('CIP Details'!$A$9:$A$326,'Bond Details'!$A15&amp;'Bond Details'!$B15&amp;'Bond Details'!$C15&amp;$D15,'CIP Details'!U$9:U$326)</f>
        <v>0</v>
      </c>
      <c r="O15" s="6">
        <f>SUMIF('CIP Details'!$A$9:$A$326,'Bond Details'!$A15&amp;'Bond Details'!$B15&amp;'Bond Details'!$C15&amp;$D15,'CIP Details'!V$9:V$326)</f>
        <v>0</v>
      </c>
      <c r="P15" s="6">
        <f>SUMIF('CIP Details'!$A$9:$A$326,'Bond Details'!$A15&amp;'Bond Details'!$B15&amp;'Bond Details'!$C15&amp;$D15,'CIP Details'!W$9:W$326)</f>
        <v>0</v>
      </c>
    </row>
    <row r="16" spans="1:16" x14ac:dyDescent="0.25">
      <c r="A16" t="s">
        <v>366</v>
      </c>
      <c r="B16" t="s">
        <v>464</v>
      </c>
      <c r="C16" t="s">
        <v>601</v>
      </c>
      <c r="D16" s="1" t="s">
        <v>13</v>
      </c>
      <c r="E16" s="6">
        <f>SUMIF('CIP Details'!$A$9:$A$326,'Bond Details'!$A16&amp;'Bond Details'!$B16&amp;'Bond Details'!$C16&amp;$D16,'CIP Details'!K$9:K$326)</f>
        <v>0</v>
      </c>
      <c r="F16" s="6">
        <f>SUMIF('CIP Details'!$A$9:$A$326,'Bond Details'!$A16&amp;'Bond Details'!$B16&amp;'Bond Details'!$C16&amp;$D16,'CIP Details'!L$9:L$326)</f>
        <v>310000</v>
      </c>
      <c r="G16" s="6">
        <f>SUMIF('CIP Details'!$A$9:$A$326,'Bond Details'!$A16&amp;'Bond Details'!$B16&amp;'Bond Details'!$C16&amp;$D16,'CIP Details'!N$9:N$326)</f>
        <v>0</v>
      </c>
      <c r="H16" s="6">
        <f>SUMIF('CIP Details'!$A$9:$A$326,'Bond Details'!$A16&amp;'Bond Details'!$B16&amp;'Bond Details'!$C16&amp;$D16,'CIP Details'!O$9:O$326)</f>
        <v>0</v>
      </c>
      <c r="I16" s="6">
        <f>SUMIF('CIP Details'!$A$9:$A$326,'Bond Details'!$A16&amp;'Bond Details'!$B16&amp;'Bond Details'!$C16&amp;$D16,'CIP Details'!P$9:P$326)</f>
        <v>0</v>
      </c>
      <c r="J16" s="6">
        <f>SUMIF('CIP Details'!$A$9:$A$326,'Bond Details'!$A16&amp;'Bond Details'!$B16&amp;'Bond Details'!$C16&amp;$D16,'CIP Details'!Q$9:Q$326)</f>
        <v>0</v>
      </c>
      <c r="K16" s="6">
        <f>SUMIF('CIP Details'!$A$9:$A$326,'Bond Details'!$A16&amp;'Bond Details'!$B16&amp;'Bond Details'!$C16&amp;$D16,'CIP Details'!R$9:R$326)</f>
        <v>0</v>
      </c>
      <c r="L16" s="6">
        <f>SUMIF('CIP Details'!$A$9:$A$326,'Bond Details'!$A16&amp;'Bond Details'!$B16&amp;'Bond Details'!$C16&amp;$D16,'CIP Details'!S$9:S$326)</f>
        <v>0</v>
      </c>
      <c r="M16" s="6">
        <f>SUMIF('CIP Details'!$A$9:$A$326,'Bond Details'!$A16&amp;'Bond Details'!$B16&amp;'Bond Details'!$C16&amp;$D16,'CIP Details'!T$9:T$326)</f>
        <v>0</v>
      </c>
      <c r="N16" s="6">
        <f>SUMIF('CIP Details'!$A$9:$A$326,'Bond Details'!$A16&amp;'Bond Details'!$B16&amp;'Bond Details'!$C16&amp;$D16,'CIP Details'!U$9:U$326)</f>
        <v>0</v>
      </c>
      <c r="O16" s="6">
        <f>SUMIF('CIP Details'!$A$9:$A$326,'Bond Details'!$A16&amp;'Bond Details'!$B16&amp;'Bond Details'!$C16&amp;$D16,'CIP Details'!V$9:V$326)</f>
        <v>0</v>
      </c>
      <c r="P16" s="6">
        <f>SUMIF('CIP Details'!$A$9:$A$326,'Bond Details'!$A16&amp;'Bond Details'!$B16&amp;'Bond Details'!$C16&amp;$D16,'CIP Details'!W$9:W$326)</f>
        <v>0</v>
      </c>
    </row>
    <row r="17" spans="1:16" x14ac:dyDescent="0.25">
      <c r="A17" t="s">
        <v>366</v>
      </c>
      <c r="B17" t="s">
        <v>47</v>
      </c>
      <c r="C17" s="24" t="s">
        <v>502</v>
      </c>
      <c r="D17" s="1" t="s">
        <v>19</v>
      </c>
      <c r="E17" s="6">
        <f>SUMIF('CIP Details'!$A$9:$A$326,'Bond Details'!$A17&amp;'Bond Details'!$B17&amp;'Bond Details'!$C17&amp;$D17,'CIP Details'!K$9:K$326)</f>
        <v>0</v>
      </c>
      <c r="F17" s="6">
        <f>SUMIF('CIP Details'!$A$9:$A$326,'Bond Details'!$A17&amp;'Bond Details'!$B17&amp;'Bond Details'!$C17&amp;$D17,'CIP Details'!L$9:L$326)</f>
        <v>0</v>
      </c>
      <c r="G17" s="6">
        <f>SUMIF('CIP Details'!$A$9:$A$326,'Bond Details'!$A17&amp;'Bond Details'!$B17&amp;'Bond Details'!$C17&amp;$D17,'CIP Details'!N$9:N$326)</f>
        <v>0</v>
      </c>
      <c r="H17" s="6">
        <f>SUMIF('CIP Details'!$A$9:$A$326,'Bond Details'!$A17&amp;'Bond Details'!$B17&amp;'Bond Details'!$C17&amp;$D17,'CIP Details'!O$9:O$326)</f>
        <v>0</v>
      </c>
      <c r="I17" s="6">
        <f>SUMIF('CIP Details'!$A$9:$A$326,'Bond Details'!$A17&amp;'Bond Details'!$B17&amp;'Bond Details'!$C17&amp;$D17,'CIP Details'!P$9:P$326)</f>
        <v>0</v>
      </c>
      <c r="J17" s="6">
        <f>SUMIF('CIP Details'!$A$9:$A$326,'Bond Details'!$A17&amp;'Bond Details'!$B17&amp;'Bond Details'!$C17&amp;$D17,'CIP Details'!Q$9:Q$326)</f>
        <v>2100000</v>
      </c>
      <c r="K17" s="6">
        <f>SUMIF('CIP Details'!$A$9:$A$326,'Bond Details'!$A17&amp;'Bond Details'!$B17&amp;'Bond Details'!$C17&amp;$D17,'CIP Details'!R$9:R$326)</f>
        <v>0</v>
      </c>
      <c r="L17" s="6">
        <f>SUMIF('CIP Details'!$A$9:$A$326,'Bond Details'!$A17&amp;'Bond Details'!$B17&amp;'Bond Details'!$C17&amp;$D17,'CIP Details'!S$9:S$326)</f>
        <v>0</v>
      </c>
      <c r="M17" s="6">
        <f>SUMIF('CIP Details'!$A$9:$A$326,'Bond Details'!$A17&amp;'Bond Details'!$B17&amp;'Bond Details'!$C17&amp;$D17,'CIP Details'!T$9:T$326)</f>
        <v>0</v>
      </c>
      <c r="N17" s="6">
        <f>SUMIF('CIP Details'!$A$9:$A$326,'Bond Details'!$A17&amp;'Bond Details'!$B17&amp;'Bond Details'!$C17&amp;$D17,'CIP Details'!U$9:U$326)</f>
        <v>0</v>
      </c>
      <c r="O17" s="6">
        <f>SUMIF('CIP Details'!$A$9:$A$326,'Bond Details'!$A17&amp;'Bond Details'!$B17&amp;'Bond Details'!$C17&amp;$D17,'CIP Details'!V$9:V$326)</f>
        <v>0</v>
      </c>
      <c r="P17" s="6">
        <f>SUMIF('CIP Details'!$A$9:$A$326,'Bond Details'!$A17&amp;'Bond Details'!$B17&amp;'Bond Details'!$C17&amp;$D17,'CIP Details'!W$9:W$326)</f>
        <v>0</v>
      </c>
    </row>
    <row r="18" spans="1:16" x14ac:dyDescent="0.25">
      <c r="A18" t="s">
        <v>366</v>
      </c>
      <c r="B18" t="s">
        <v>47</v>
      </c>
      <c r="C18" t="s">
        <v>453</v>
      </c>
      <c r="D18" s="1" t="s">
        <v>19</v>
      </c>
      <c r="E18" s="6">
        <f>SUMIF('CIP Details'!$A$9:$A$326,'Bond Details'!$A18&amp;'Bond Details'!$B18&amp;'Bond Details'!$C18&amp;$D18,'CIP Details'!K$9:K$326)</f>
        <v>0</v>
      </c>
      <c r="F18" s="6">
        <f>SUMIF('CIP Details'!$A$9:$A$326,'Bond Details'!$A18&amp;'Bond Details'!$B18&amp;'Bond Details'!$C18&amp;$D18,'CIP Details'!L$9:L$326)</f>
        <v>0</v>
      </c>
      <c r="G18" s="6">
        <f>SUMIF('CIP Details'!$A$9:$A$326,'Bond Details'!$A18&amp;'Bond Details'!$B18&amp;'Bond Details'!$C18&amp;$D18,'CIP Details'!N$9:N$326)</f>
        <v>0</v>
      </c>
      <c r="H18" s="6">
        <f>SUMIF('CIP Details'!$A$9:$A$326,'Bond Details'!$A18&amp;'Bond Details'!$B18&amp;'Bond Details'!$C18&amp;$D18,'CIP Details'!O$9:O$326)</f>
        <v>0</v>
      </c>
      <c r="I18" s="6">
        <f>SUMIF('CIP Details'!$A$9:$A$326,'Bond Details'!$A18&amp;'Bond Details'!$B18&amp;'Bond Details'!$C18&amp;$D18,'CIP Details'!P$9:P$326)</f>
        <v>0</v>
      </c>
      <c r="J18" s="6">
        <f>SUMIF('CIP Details'!$A$9:$A$326,'Bond Details'!$A18&amp;'Bond Details'!$B18&amp;'Bond Details'!$C18&amp;$D18,'CIP Details'!Q$9:Q$326)</f>
        <v>0</v>
      </c>
      <c r="K18" s="6">
        <f>SUMIF('CIP Details'!$A$9:$A$326,'Bond Details'!$A18&amp;'Bond Details'!$B18&amp;'Bond Details'!$C18&amp;$D18,'CIP Details'!R$9:R$326)</f>
        <v>1200000</v>
      </c>
      <c r="L18" s="6">
        <f>SUMIF('CIP Details'!$A$9:$A$326,'Bond Details'!$A18&amp;'Bond Details'!$B18&amp;'Bond Details'!$C18&amp;$D18,'CIP Details'!S$9:S$326)</f>
        <v>0</v>
      </c>
      <c r="M18" s="6">
        <f>SUMIF('CIP Details'!$A$9:$A$326,'Bond Details'!$A18&amp;'Bond Details'!$B18&amp;'Bond Details'!$C18&amp;$D18,'CIP Details'!T$9:T$326)</f>
        <v>0</v>
      </c>
      <c r="N18" s="6">
        <f>SUMIF('CIP Details'!$A$9:$A$326,'Bond Details'!$A18&amp;'Bond Details'!$B18&amp;'Bond Details'!$C18&amp;$D18,'CIP Details'!U$9:U$326)</f>
        <v>0</v>
      </c>
      <c r="O18" s="6">
        <f>SUMIF('CIP Details'!$A$9:$A$326,'Bond Details'!$A18&amp;'Bond Details'!$B18&amp;'Bond Details'!$C18&amp;$D18,'CIP Details'!V$9:V$326)</f>
        <v>0</v>
      </c>
      <c r="P18" s="6">
        <f>SUMIF('CIP Details'!$A$9:$A$326,'Bond Details'!$A18&amp;'Bond Details'!$B18&amp;'Bond Details'!$C18&amp;$D18,'CIP Details'!W$9:W$326)</f>
        <v>0</v>
      </c>
    </row>
    <row r="19" spans="1:16" x14ac:dyDescent="0.25">
      <c r="A19" t="s">
        <v>366</v>
      </c>
      <c r="B19" t="s">
        <v>47</v>
      </c>
      <c r="C19" s="24" t="s">
        <v>458</v>
      </c>
      <c r="D19" s="1" t="s">
        <v>19</v>
      </c>
      <c r="E19" s="6">
        <f>SUMIF('CIP Details'!$A$9:$A$326,'Bond Details'!$A19&amp;'Bond Details'!$B19&amp;'Bond Details'!$C19&amp;$D19,'CIP Details'!K$9:K$326)</f>
        <v>0</v>
      </c>
      <c r="F19" s="6">
        <f>SUMIF('CIP Details'!$A$9:$A$326,'Bond Details'!$A19&amp;'Bond Details'!$B19&amp;'Bond Details'!$C19&amp;$D19,'CIP Details'!L$9:L$326)</f>
        <v>0</v>
      </c>
      <c r="G19" s="6">
        <f>SUMIF('CIP Details'!$A$9:$A$326,'Bond Details'!$A19&amp;'Bond Details'!$B19&amp;'Bond Details'!$C19&amp;$D19,'CIP Details'!N$9:N$326)</f>
        <v>0</v>
      </c>
      <c r="H19" s="6">
        <f>SUMIF('CIP Details'!$A$9:$A$326,'Bond Details'!$A19&amp;'Bond Details'!$B19&amp;'Bond Details'!$C19&amp;$D19,'CIP Details'!O$9:O$326)</f>
        <v>1200000</v>
      </c>
      <c r="I19" s="6">
        <f>SUMIF('CIP Details'!$A$9:$A$326,'Bond Details'!$A19&amp;'Bond Details'!$B19&amp;'Bond Details'!$C19&amp;$D19,'CIP Details'!P$9:P$326)</f>
        <v>0</v>
      </c>
      <c r="J19" s="6">
        <f>SUMIF('CIP Details'!$A$9:$A$326,'Bond Details'!$A19&amp;'Bond Details'!$B19&amp;'Bond Details'!$C19&amp;$D19,'CIP Details'!Q$9:Q$326)</f>
        <v>0</v>
      </c>
      <c r="K19" s="6">
        <f>SUMIF('CIP Details'!$A$9:$A$326,'Bond Details'!$A19&amp;'Bond Details'!$B19&amp;'Bond Details'!$C19&amp;$D19,'CIP Details'!R$9:R$326)</f>
        <v>0</v>
      </c>
      <c r="L19" s="6">
        <f>SUMIF('CIP Details'!$A$9:$A$326,'Bond Details'!$A19&amp;'Bond Details'!$B19&amp;'Bond Details'!$C19&amp;$D19,'CIP Details'!S$9:S$326)</f>
        <v>0</v>
      </c>
      <c r="M19" s="6">
        <f>SUMIF('CIP Details'!$A$9:$A$326,'Bond Details'!$A19&amp;'Bond Details'!$B19&amp;'Bond Details'!$C19&amp;$D19,'CIP Details'!T$9:T$326)</f>
        <v>0</v>
      </c>
      <c r="N19" s="6">
        <f>SUMIF('CIP Details'!$A$9:$A$326,'Bond Details'!$A19&amp;'Bond Details'!$B19&amp;'Bond Details'!$C19&amp;$D19,'CIP Details'!U$9:U$326)</f>
        <v>0</v>
      </c>
      <c r="O19" s="6">
        <f>SUMIF('CIP Details'!$A$9:$A$326,'Bond Details'!$A19&amp;'Bond Details'!$B19&amp;'Bond Details'!$C19&amp;$D19,'CIP Details'!V$9:V$326)</f>
        <v>0</v>
      </c>
      <c r="P19" s="6">
        <f>SUMIF('CIP Details'!$A$9:$A$326,'Bond Details'!$A19&amp;'Bond Details'!$B19&amp;'Bond Details'!$C19&amp;$D19,'CIP Details'!W$9:W$326)</f>
        <v>0</v>
      </c>
    </row>
    <row r="20" spans="1:16" x14ac:dyDescent="0.25">
      <c r="A20" t="s">
        <v>366</v>
      </c>
      <c r="B20" t="s">
        <v>47</v>
      </c>
      <c r="C20" s="24" t="s">
        <v>459</v>
      </c>
      <c r="D20" s="1" t="s">
        <v>19</v>
      </c>
      <c r="E20" s="6">
        <f>SUMIF('CIP Details'!$A$9:$A$326,'Bond Details'!$A20&amp;'Bond Details'!$B20&amp;'Bond Details'!$C20&amp;$D20,'CIP Details'!K$9:K$326)</f>
        <v>0</v>
      </c>
      <c r="F20" s="6">
        <f>SUMIF('CIP Details'!$A$9:$A$326,'Bond Details'!$A20&amp;'Bond Details'!$B20&amp;'Bond Details'!$C20&amp;$D20,'CIP Details'!L$9:L$326)</f>
        <v>0</v>
      </c>
      <c r="G20" s="6">
        <f>SUMIF('CIP Details'!$A$9:$A$326,'Bond Details'!$A20&amp;'Bond Details'!$B20&amp;'Bond Details'!$C20&amp;$D20,'CIP Details'!N$9:N$326)</f>
        <v>0</v>
      </c>
      <c r="H20" s="6">
        <f>SUMIF('CIP Details'!$A$9:$A$326,'Bond Details'!$A20&amp;'Bond Details'!$B20&amp;'Bond Details'!$C20&amp;$D20,'CIP Details'!O$9:O$326)</f>
        <v>0</v>
      </c>
      <c r="I20" s="6">
        <f>SUMIF('CIP Details'!$A$9:$A$326,'Bond Details'!$A20&amp;'Bond Details'!$B20&amp;'Bond Details'!$C20&amp;$D20,'CIP Details'!P$9:P$326)</f>
        <v>0</v>
      </c>
      <c r="J20" s="6">
        <f>SUMIF('CIP Details'!$A$9:$A$326,'Bond Details'!$A20&amp;'Bond Details'!$B20&amp;'Bond Details'!$C20&amp;$D20,'CIP Details'!Q$9:Q$326)</f>
        <v>0</v>
      </c>
      <c r="K20" s="6">
        <f>SUMIF('CIP Details'!$A$9:$A$326,'Bond Details'!$A20&amp;'Bond Details'!$B20&amp;'Bond Details'!$C20&amp;$D20,'CIP Details'!R$9:R$326)</f>
        <v>0</v>
      </c>
      <c r="L20" s="6">
        <f>SUMIF('CIP Details'!$A$9:$A$326,'Bond Details'!$A20&amp;'Bond Details'!$B20&amp;'Bond Details'!$C20&amp;$D20,'CIP Details'!S$9:S$326)</f>
        <v>0</v>
      </c>
      <c r="M20" s="6">
        <f>SUMIF('CIP Details'!$A$9:$A$326,'Bond Details'!$A20&amp;'Bond Details'!$B20&amp;'Bond Details'!$C20&amp;$D20,'CIP Details'!T$9:T$326)</f>
        <v>750000</v>
      </c>
      <c r="N20" s="6">
        <f>SUMIF('CIP Details'!$A$9:$A$326,'Bond Details'!$A20&amp;'Bond Details'!$B20&amp;'Bond Details'!$C20&amp;$D20,'CIP Details'!U$9:U$326)</f>
        <v>0</v>
      </c>
      <c r="O20" s="6">
        <f>SUMIF('CIP Details'!$A$9:$A$326,'Bond Details'!$A20&amp;'Bond Details'!$B20&amp;'Bond Details'!$C20&amp;$D20,'CIP Details'!V$9:V$326)</f>
        <v>0</v>
      </c>
      <c r="P20" s="6">
        <f>SUMIF('CIP Details'!$A$9:$A$326,'Bond Details'!$A20&amp;'Bond Details'!$B20&amp;'Bond Details'!$C20&amp;$D20,'CIP Details'!W$9:W$326)</f>
        <v>0</v>
      </c>
    </row>
    <row r="21" spans="1:16" x14ac:dyDescent="0.25">
      <c r="A21" t="s">
        <v>366</v>
      </c>
      <c r="B21" t="s">
        <v>47</v>
      </c>
      <c r="C21" s="26" t="s">
        <v>264</v>
      </c>
      <c r="D21" s="1" t="s">
        <v>19</v>
      </c>
      <c r="E21" s="6">
        <f>SUMIF('CIP Details'!$A$9:$A$326,'Bond Details'!$A21&amp;'Bond Details'!$B21&amp;'Bond Details'!$C21&amp;$D21,'CIP Details'!K$9:K$326)</f>
        <v>0</v>
      </c>
      <c r="F21" s="6">
        <f>SUMIF('CIP Details'!$A$9:$A$326,'Bond Details'!$A21&amp;'Bond Details'!$B21&amp;'Bond Details'!$C21&amp;$D21,'CIP Details'!L$9:L$326)</f>
        <v>0</v>
      </c>
      <c r="G21" s="6">
        <f>SUMIF('CIP Details'!$A$9:$A$326,'Bond Details'!$A21&amp;'Bond Details'!$B21&amp;'Bond Details'!$C21&amp;$D21,'CIP Details'!N$9:N$326)</f>
        <v>0</v>
      </c>
      <c r="H21" s="6">
        <f>SUMIF('CIP Details'!$A$9:$A$326,'Bond Details'!$A21&amp;'Bond Details'!$B21&amp;'Bond Details'!$C21&amp;$D21,'CIP Details'!O$9:O$326)</f>
        <v>0</v>
      </c>
      <c r="I21" s="6">
        <f>SUMIF('CIP Details'!$A$9:$A$326,'Bond Details'!$A21&amp;'Bond Details'!$B21&amp;'Bond Details'!$C21&amp;$D21,'CIP Details'!P$9:P$326)</f>
        <v>0</v>
      </c>
      <c r="J21" s="6">
        <f>SUMIF('CIP Details'!$A$9:$A$326,'Bond Details'!$A21&amp;'Bond Details'!$B21&amp;'Bond Details'!$C21&amp;$D21,'CIP Details'!Q$9:Q$326)</f>
        <v>0</v>
      </c>
      <c r="K21" s="6">
        <f>SUMIF('CIP Details'!$A$9:$A$326,'Bond Details'!$A21&amp;'Bond Details'!$B21&amp;'Bond Details'!$C21&amp;$D21,'CIP Details'!R$9:R$326)</f>
        <v>600000</v>
      </c>
      <c r="L21" s="6">
        <f>SUMIF('CIP Details'!$A$9:$A$326,'Bond Details'!$A21&amp;'Bond Details'!$B21&amp;'Bond Details'!$C21&amp;$D21,'CIP Details'!S$9:S$326)</f>
        <v>0</v>
      </c>
      <c r="M21" s="6">
        <f>SUMIF('CIP Details'!$A$9:$A$326,'Bond Details'!$A21&amp;'Bond Details'!$B21&amp;'Bond Details'!$C21&amp;$D21,'CIP Details'!T$9:T$326)</f>
        <v>0</v>
      </c>
      <c r="N21" s="6">
        <f>SUMIF('CIP Details'!$A$9:$A$326,'Bond Details'!$A21&amp;'Bond Details'!$B21&amp;'Bond Details'!$C21&amp;$D21,'CIP Details'!U$9:U$326)</f>
        <v>0</v>
      </c>
      <c r="O21" s="6">
        <f>SUMIF('CIP Details'!$A$9:$A$326,'Bond Details'!$A21&amp;'Bond Details'!$B21&amp;'Bond Details'!$C21&amp;$D21,'CIP Details'!V$9:V$326)</f>
        <v>0</v>
      </c>
      <c r="P21" s="6">
        <f>SUMIF('CIP Details'!$A$9:$A$326,'Bond Details'!$A21&amp;'Bond Details'!$B21&amp;'Bond Details'!$C21&amp;$D21,'CIP Details'!W$9:W$326)</f>
        <v>0</v>
      </c>
    </row>
    <row r="22" spans="1:16" x14ac:dyDescent="0.25">
      <c r="A22" t="s">
        <v>366</v>
      </c>
      <c r="B22" t="s">
        <v>47</v>
      </c>
      <c r="C22" s="26" t="s">
        <v>265</v>
      </c>
      <c r="D22" s="1" t="s">
        <v>19</v>
      </c>
      <c r="E22" s="6">
        <f>SUMIF('CIP Details'!$A$9:$A$326,'Bond Details'!$A22&amp;'Bond Details'!$B22&amp;'Bond Details'!$C22&amp;$D22,'CIP Details'!K$9:K$326)</f>
        <v>0</v>
      </c>
      <c r="F22" s="6">
        <f>SUMIF('CIP Details'!$A$9:$A$326,'Bond Details'!$A22&amp;'Bond Details'!$B22&amp;'Bond Details'!$C22&amp;$D22,'CIP Details'!L$9:L$326)</f>
        <v>0</v>
      </c>
      <c r="G22" s="6">
        <f>SUMIF('CIP Details'!$A$9:$A$326,'Bond Details'!$A22&amp;'Bond Details'!$B22&amp;'Bond Details'!$C22&amp;$D22,'CIP Details'!N$9:N$326)</f>
        <v>0</v>
      </c>
      <c r="H22" s="6">
        <f>SUMIF('CIP Details'!$A$9:$A$326,'Bond Details'!$A22&amp;'Bond Details'!$B22&amp;'Bond Details'!$C22&amp;$D22,'CIP Details'!O$9:O$326)</f>
        <v>0</v>
      </c>
      <c r="I22" s="6">
        <f>SUMIF('CIP Details'!$A$9:$A$326,'Bond Details'!$A22&amp;'Bond Details'!$B22&amp;'Bond Details'!$C22&amp;$D22,'CIP Details'!P$9:P$326)</f>
        <v>0</v>
      </c>
      <c r="J22" s="6">
        <f>SUMIF('CIP Details'!$A$9:$A$326,'Bond Details'!$A22&amp;'Bond Details'!$B22&amp;'Bond Details'!$C22&amp;$D22,'CIP Details'!Q$9:Q$326)</f>
        <v>0</v>
      </c>
      <c r="K22" s="6">
        <f>SUMIF('CIP Details'!$A$9:$A$326,'Bond Details'!$A22&amp;'Bond Details'!$B22&amp;'Bond Details'!$C22&amp;$D22,'CIP Details'!R$9:R$326)</f>
        <v>400000</v>
      </c>
      <c r="L22" s="6">
        <f>SUMIF('CIP Details'!$A$9:$A$326,'Bond Details'!$A22&amp;'Bond Details'!$B22&amp;'Bond Details'!$C22&amp;$D22,'CIP Details'!S$9:S$326)</f>
        <v>0</v>
      </c>
      <c r="M22" s="6">
        <f>SUMIF('CIP Details'!$A$9:$A$326,'Bond Details'!$A22&amp;'Bond Details'!$B22&amp;'Bond Details'!$C22&amp;$D22,'CIP Details'!T$9:T$326)</f>
        <v>0</v>
      </c>
      <c r="N22" s="6">
        <f>SUMIF('CIP Details'!$A$9:$A$326,'Bond Details'!$A22&amp;'Bond Details'!$B22&amp;'Bond Details'!$C22&amp;$D22,'CIP Details'!U$9:U$326)</f>
        <v>0</v>
      </c>
      <c r="O22" s="6">
        <f>SUMIF('CIP Details'!$A$9:$A$326,'Bond Details'!$A22&amp;'Bond Details'!$B22&amp;'Bond Details'!$C22&amp;$D22,'CIP Details'!V$9:V$326)</f>
        <v>0</v>
      </c>
      <c r="P22" s="6">
        <f>SUMIF('CIP Details'!$A$9:$A$326,'Bond Details'!$A22&amp;'Bond Details'!$B22&amp;'Bond Details'!$C22&amp;$D22,'CIP Details'!W$9:W$326)</f>
        <v>0</v>
      </c>
    </row>
    <row r="23" spans="1:16" x14ac:dyDescent="0.25">
      <c r="A23" s="1" t="s">
        <v>367</v>
      </c>
      <c r="B23" s="114" t="s">
        <v>46</v>
      </c>
      <c r="C23" t="s">
        <v>489</v>
      </c>
      <c r="D23" s="1" t="s">
        <v>19</v>
      </c>
      <c r="E23" s="6">
        <f>SUMIF('CIP Details'!$A$9:$A$326,'Bond Details'!$A23&amp;'Bond Details'!$B23&amp;'Bond Details'!$C23&amp;$D23,'CIP Details'!K$9:K$326)</f>
        <v>0</v>
      </c>
      <c r="F23" s="30">
        <f>SUMIF('CIP Details'!$A$9:$A$326,'Bond Details'!$A23&amp;'Bond Details'!$B23&amp;'Bond Details'!$C23&amp;$D23,'CIP Details'!L$9:L$326)</f>
        <v>0</v>
      </c>
      <c r="G23" s="6">
        <f>SUMIF('CIP Details'!$A$9:$A$326,'Bond Details'!$A23&amp;'Bond Details'!$B23&amp;'Bond Details'!$C23&amp;$D23,'CIP Details'!N$9:N$326)</f>
        <v>1000000</v>
      </c>
      <c r="H23" s="6">
        <f>SUMIF('CIP Details'!$A$9:$A$326,'Bond Details'!$A23&amp;'Bond Details'!$B23&amp;'Bond Details'!$C23&amp;$D23,'CIP Details'!O$9:O$326)</f>
        <v>0</v>
      </c>
      <c r="I23" s="6">
        <f>SUMIF('CIP Details'!$A$9:$A$326,'Bond Details'!$A23&amp;'Bond Details'!$B23&amp;'Bond Details'!$C23&amp;$D23,'CIP Details'!P$9:P$326)</f>
        <v>0</v>
      </c>
      <c r="J23" s="6">
        <f>SUMIF('CIP Details'!$A$9:$A$326,'Bond Details'!$A23&amp;'Bond Details'!$B23&amp;'Bond Details'!$C23&amp;$D23,'CIP Details'!Q$9:Q$326)</f>
        <v>0</v>
      </c>
      <c r="K23" s="6">
        <f>SUMIF('CIP Details'!$A$9:$A$326,'Bond Details'!$A23&amp;'Bond Details'!$B23&amp;'Bond Details'!$C23&amp;$D23,'CIP Details'!R$9:R$326)</f>
        <v>0</v>
      </c>
      <c r="L23" s="6">
        <f>SUMIF('CIP Details'!$A$9:$A$326,'Bond Details'!$A23&amp;'Bond Details'!$B23&amp;'Bond Details'!$C23&amp;$D23,'CIP Details'!S$9:S$326)</f>
        <v>0</v>
      </c>
      <c r="M23" s="6">
        <f>SUMIF('CIP Details'!$A$9:$A$326,'Bond Details'!$A23&amp;'Bond Details'!$B23&amp;'Bond Details'!$C23&amp;$D23,'CIP Details'!T$9:T$326)</f>
        <v>0</v>
      </c>
      <c r="N23" s="6">
        <f>SUMIF('CIP Details'!$A$9:$A$326,'Bond Details'!$A23&amp;'Bond Details'!$B23&amp;'Bond Details'!$C23&amp;$D23,'CIP Details'!U$9:U$326)</f>
        <v>0</v>
      </c>
      <c r="O23" s="6">
        <f>SUMIF('CIP Details'!$A$9:$A$326,'Bond Details'!$A23&amp;'Bond Details'!$B23&amp;'Bond Details'!$C23&amp;$D23,'CIP Details'!V$9:V$326)</f>
        <v>0</v>
      </c>
      <c r="P23" s="6">
        <f>SUMIF('CIP Details'!$A$9:$A$326,'Bond Details'!$A23&amp;'Bond Details'!$B23&amp;'Bond Details'!$C23&amp;$D23,'CIP Details'!W$9:W$326)</f>
        <v>1000000</v>
      </c>
    </row>
    <row r="24" spans="1:16" x14ac:dyDescent="0.25">
      <c r="A24" t="s">
        <v>367</v>
      </c>
      <c r="B24" t="s">
        <v>46</v>
      </c>
      <c r="C24" t="s">
        <v>24</v>
      </c>
      <c r="D24" s="1" t="s">
        <v>19</v>
      </c>
      <c r="E24" s="6">
        <f>SUMIF('CIP Details'!$A$9:$A$326,'Bond Details'!$A24&amp;'Bond Details'!$B24&amp;'Bond Details'!$C24&amp;$D24,'CIP Details'!K$9:K$326)</f>
        <v>0</v>
      </c>
      <c r="F24" s="6">
        <f>SUMIF('CIP Details'!$A$9:$A$326,'Bond Details'!$A24&amp;'Bond Details'!$B24&amp;'Bond Details'!$C24&amp;$D24,'CIP Details'!L$9:L$326)</f>
        <v>0</v>
      </c>
      <c r="G24" s="6">
        <f>SUMIF('CIP Details'!$A$9:$A$326,'Bond Details'!$A24&amp;'Bond Details'!$B24&amp;'Bond Details'!$C24&amp;$D24,'CIP Details'!N$9:N$326)</f>
        <v>0</v>
      </c>
      <c r="H24" s="6">
        <f>SUMIF('CIP Details'!$A$9:$A$326,'Bond Details'!$A24&amp;'Bond Details'!$B24&amp;'Bond Details'!$C24&amp;$D24,'CIP Details'!O$9:O$326)</f>
        <v>0</v>
      </c>
      <c r="I24" s="6">
        <f>SUMIF('CIP Details'!$A$9:$A$326,'Bond Details'!$A24&amp;'Bond Details'!$B24&amp;'Bond Details'!$C24&amp;$D24,'CIP Details'!P$9:P$326)</f>
        <v>0</v>
      </c>
      <c r="J24" s="6">
        <f>SUMIF('CIP Details'!$A$9:$A$326,'Bond Details'!$A24&amp;'Bond Details'!$B24&amp;'Bond Details'!$C24&amp;$D24,'CIP Details'!Q$9:Q$326)</f>
        <v>0</v>
      </c>
      <c r="K24" s="6">
        <f>SUMIF('CIP Details'!$A$9:$A$326,'Bond Details'!$A24&amp;'Bond Details'!$B24&amp;'Bond Details'!$C24&amp;$D24,'CIP Details'!R$9:R$326)</f>
        <v>0</v>
      </c>
      <c r="L24" s="6">
        <f>SUMIF('CIP Details'!$A$9:$A$326,'Bond Details'!$A24&amp;'Bond Details'!$B24&amp;'Bond Details'!$C24&amp;$D24,'CIP Details'!S$9:S$326)</f>
        <v>0</v>
      </c>
      <c r="M24" s="6">
        <f>SUMIF('CIP Details'!$A$9:$A$326,'Bond Details'!$A24&amp;'Bond Details'!$B24&amp;'Bond Details'!$C24&amp;$D24,'CIP Details'!T$9:T$326)</f>
        <v>0</v>
      </c>
      <c r="N24" s="6">
        <f>SUMIF('CIP Details'!$A$9:$A$326,'Bond Details'!$A24&amp;'Bond Details'!$B24&amp;'Bond Details'!$C24&amp;$D24,'CIP Details'!U$9:U$326)</f>
        <v>0</v>
      </c>
      <c r="O24" s="6">
        <f>SUMIF('CIP Details'!$A$9:$A$326,'Bond Details'!$A24&amp;'Bond Details'!$B24&amp;'Bond Details'!$C24&amp;$D24,'CIP Details'!V$9:V$326)</f>
        <v>0</v>
      </c>
      <c r="P24" s="6">
        <f>SUMIF('CIP Details'!$A$9:$A$326,'Bond Details'!$A24&amp;'Bond Details'!$B24&amp;'Bond Details'!$C24&amp;$D24,'CIP Details'!W$9:W$326)</f>
        <v>0</v>
      </c>
    </row>
    <row r="25" spans="1:16" x14ac:dyDescent="0.25">
      <c r="A25" t="s">
        <v>316</v>
      </c>
      <c r="B25" t="s">
        <v>248</v>
      </c>
      <c r="C25" t="s">
        <v>615</v>
      </c>
      <c r="D25" s="1" t="s">
        <v>19</v>
      </c>
      <c r="E25" s="6">
        <f>SUMIF('CIP Details'!$A$9:$A$326,'Bond Details'!$A25&amp;'Bond Details'!$B25&amp;'Bond Details'!$C25&amp;$D25,'CIP Details'!K$9:K$326)</f>
        <v>0</v>
      </c>
      <c r="F25" s="6">
        <f>SUMIF('CIP Details'!$A$9:$A$326,'Bond Details'!$A25&amp;'Bond Details'!$B25&amp;'Bond Details'!$C25&amp;$D25,'CIP Details'!L$9:L$326)</f>
        <v>0</v>
      </c>
      <c r="G25" s="6">
        <f>SUMIF('CIP Details'!$A$9:$A$326,'Bond Details'!$A25&amp;'Bond Details'!$B25&amp;'Bond Details'!$C25&amp;$D25,'CIP Details'!N$9:N$326)</f>
        <v>0</v>
      </c>
      <c r="H25" s="6">
        <f>SUMIF('CIP Details'!$A$9:$A$326,'Bond Details'!$A25&amp;'Bond Details'!$B25&amp;'Bond Details'!$C25&amp;$D25,'CIP Details'!O$9:O$326)</f>
        <v>700000</v>
      </c>
      <c r="I25" s="6">
        <f>SUMIF('CIP Details'!$A$9:$A$326,'Bond Details'!$A25&amp;'Bond Details'!$B25&amp;'Bond Details'!$C25&amp;$D25,'CIP Details'!P$9:P$326)</f>
        <v>0</v>
      </c>
      <c r="J25" s="6">
        <f>SUMIF('CIP Details'!$A$9:$A$326,'Bond Details'!$A25&amp;'Bond Details'!$B25&amp;'Bond Details'!$C25&amp;$D25,'CIP Details'!Q$9:Q$326)</f>
        <v>800000</v>
      </c>
      <c r="K25" s="6">
        <f>SUMIF('CIP Details'!$A$9:$A$326,'Bond Details'!$A25&amp;'Bond Details'!$B25&amp;'Bond Details'!$C25&amp;$D25,'CIP Details'!R$9:R$326)</f>
        <v>0</v>
      </c>
      <c r="L25" s="6">
        <f>SUMIF('CIP Details'!$A$9:$A$326,'Bond Details'!$A25&amp;'Bond Details'!$B25&amp;'Bond Details'!$C25&amp;$D25,'CIP Details'!S$9:S$326)</f>
        <v>0</v>
      </c>
      <c r="M25" s="6">
        <f>SUMIF('CIP Details'!$A$9:$A$326,'Bond Details'!$A25&amp;'Bond Details'!$B25&amp;'Bond Details'!$C25&amp;$D25,'CIP Details'!T$9:T$326)</f>
        <v>0</v>
      </c>
      <c r="N25" s="6">
        <f>SUMIF('CIP Details'!$A$9:$A$326,'Bond Details'!$A25&amp;'Bond Details'!$B25&amp;'Bond Details'!$C25&amp;$D25,'CIP Details'!U$9:U$326)</f>
        <v>0</v>
      </c>
      <c r="O25" s="6">
        <f>SUMIF('CIP Details'!$A$9:$A$326,'Bond Details'!$A25&amp;'Bond Details'!$B25&amp;'Bond Details'!$C25&amp;$D25,'CIP Details'!V$9:V$326)</f>
        <v>0</v>
      </c>
      <c r="P25" s="6">
        <f>SUMIF('CIP Details'!$A$9:$A$326,'Bond Details'!$A25&amp;'Bond Details'!$B25&amp;'Bond Details'!$C25&amp;$D25,'CIP Details'!W$9:W$326)</f>
        <v>0</v>
      </c>
    </row>
    <row r="26" spans="1:16" x14ac:dyDescent="0.25">
      <c r="A26" t="s">
        <v>316</v>
      </c>
      <c r="B26" t="s">
        <v>248</v>
      </c>
      <c r="C26" t="s">
        <v>616</v>
      </c>
      <c r="D26" s="1" t="s">
        <v>19</v>
      </c>
      <c r="E26" s="6">
        <f>SUMIF('CIP Details'!$A$9:$A$326,'Bond Details'!$A26&amp;'Bond Details'!$B26&amp;'Bond Details'!$C26&amp;$D26,'CIP Details'!K$9:K$326)</f>
        <v>0</v>
      </c>
      <c r="F26" s="6">
        <f>SUMIF('CIP Details'!$A$9:$A$326,'Bond Details'!$A26&amp;'Bond Details'!$B26&amp;'Bond Details'!$C26&amp;$D26,'CIP Details'!L$9:L$326)</f>
        <v>0</v>
      </c>
      <c r="G26" s="6">
        <f>SUMIF('CIP Details'!$A$9:$A$326,'Bond Details'!$A26&amp;'Bond Details'!$B26&amp;'Bond Details'!$C26&amp;$D26,'CIP Details'!N$9:N$326)</f>
        <v>0</v>
      </c>
      <c r="H26" s="6">
        <f>SUMIF('CIP Details'!$A$9:$A$326,'Bond Details'!$A26&amp;'Bond Details'!$B26&amp;'Bond Details'!$C26&amp;$D26,'CIP Details'!O$9:O$326)</f>
        <v>800000</v>
      </c>
      <c r="I26" s="6">
        <f>SUMIF('CIP Details'!$A$9:$A$326,'Bond Details'!$A26&amp;'Bond Details'!$B26&amp;'Bond Details'!$C26&amp;$D26,'CIP Details'!P$9:P$326)</f>
        <v>0</v>
      </c>
      <c r="J26" s="6">
        <f>SUMIF('CIP Details'!$A$9:$A$326,'Bond Details'!$A26&amp;'Bond Details'!$B26&amp;'Bond Details'!$C26&amp;$D26,'CIP Details'!Q$9:Q$326)</f>
        <v>0</v>
      </c>
      <c r="K26" s="6">
        <f>SUMIF('CIP Details'!$A$9:$A$326,'Bond Details'!$A26&amp;'Bond Details'!$B26&amp;'Bond Details'!$C26&amp;$D26,'CIP Details'!R$9:R$326)</f>
        <v>0</v>
      </c>
      <c r="L26" s="6">
        <f>SUMIF('CIP Details'!$A$9:$A$326,'Bond Details'!$A26&amp;'Bond Details'!$B26&amp;'Bond Details'!$C26&amp;$D26,'CIP Details'!S$9:S$326)</f>
        <v>0</v>
      </c>
      <c r="M26" s="6">
        <f>SUMIF('CIP Details'!$A$9:$A$326,'Bond Details'!$A26&amp;'Bond Details'!$B26&amp;'Bond Details'!$C26&amp;$D26,'CIP Details'!T$9:T$326)</f>
        <v>0</v>
      </c>
      <c r="N26" s="6">
        <f>SUMIF('CIP Details'!$A$9:$A$326,'Bond Details'!$A26&amp;'Bond Details'!$B26&amp;'Bond Details'!$C26&amp;$D26,'CIP Details'!U$9:U$326)</f>
        <v>0</v>
      </c>
      <c r="O26" s="6">
        <f>SUMIF('CIP Details'!$A$9:$A$326,'Bond Details'!$A26&amp;'Bond Details'!$B26&amp;'Bond Details'!$C26&amp;$D26,'CIP Details'!V$9:V$326)</f>
        <v>0</v>
      </c>
      <c r="P26" s="6">
        <f>SUMIF('CIP Details'!$A$9:$A$326,'Bond Details'!$A26&amp;'Bond Details'!$B26&amp;'Bond Details'!$C26&amp;$D26,'CIP Details'!W$9:W$326)</f>
        <v>0</v>
      </c>
    </row>
    <row r="27" spans="1:16" x14ac:dyDescent="0.25">
      <c r="A27" t="s">
        <v>316</v>
      </c>
      <c r="B27" t="s">
        <v>248</v>
      </c>
      <c r="C27" t="s">
        <v>618</v>
      </c>
      <c r="D27" s="1" t="s">
        <v>19</v>
      </c>
      <c r="E27" s="6">
        <f>SUMIF('CIP Details'!$A$9:$A$326,'Bond Details'!$A27&amp;'Bond Details'!$B27&amp;'Bond Details'!$C27&amp;$D27,'CIP Details'!K$9:K$326)</f>
        <v>0</v>
      </c>
      <c r="F27" s="6">
        <f>SUMIF('CIP Details'!$A$9:$A$326,'Bond Details'!$A27&amp;'Bond Details'!$B27&amp;'Bond Details'!$C27&amp;$D27,'CIP Details'!L$9:L$326)</f>
        <v>0</v>
      </c>
      <c r="G27" s="6">
        <f>SUMIF('CIP Details'!$A$9:$A$326,'Bond Details'!$A27&amp;'Bond Details'!$B27&amp;'Bond Details'!$C27&amp;$D27,'CIP Details'!N$9:N$326)</f>
        <v>0</v>
      </c>
      <c r="H27" s="6">
        <f>SUMIF('CIP Details'!$A$9:$A$326,'Bond Details'!$A27&amp;'Bond Details'!$B27&amp;'Bond Details'!$C27&amp;$D27,'CIP Details'!O$9:O$326)</f>
        <v>0</v>
      </c>
      <c r="I27" s="6">
        <f>SUMIF('CIP Details'!$A$9:$A$326,'Bond Details'!$A27&amp;'Bond Details'!$B27&amp;'Bond Details'!$C27&amp;$D27,'CIP Details'!P$9:P$326)</f>
        <v>0</v>
      </c>
      <c r="J27" s="6">
        <f>SUMIF('CIP Details'!$A$9:$A$326,'Bond Details'!$A27&amp;'Bond Details'!$B27&amp;'Bond Details'!$C27&amp;$D27,'CIP Details'!Q$9:Q$326)</f>
        <v>800000</v>
      </c>
      <c r="K27" s="6">
        <f>SUMIF('CIP Details'!$A$9:$A$326,'Bond Details'!$A27&amp;'Bond Details'!$B27&amp;'Bond Details'!$C27&amp;$D27,'CIP Details'!R$9:R$326)</f>
        <v>0</v>
      </c>
      <c r="L27" s="6">
        <f>SUMIF('CIP Details'!$A$9:$A$326,'Bond Details'!$A27&amp;'Bond Details'!$B27&amp;'Bond Details'!$C27&amp;$D27,'CIP Details'!S$9:S$326)</f>
        <v>0</v>
      </c>
      <c r="M27" s="6">
        <f>SUMIF('CIP Details'!$A$9:$A$326,'Bond Details'!$A27&amp;'Bond Details'!$B27&amp;'Bond Details'!$C27&amp;$D27,'CIP Details'!T$9:T$326)</f>
        <v>0</v>
      </c>
      <c r="N27" s="6">
        <f>SUMIF('CIP Details'!$A$9:$A$326,'Bond Details'!$A27&amp;'Bond Details'!$B27&amp;'Bond Details'!$C27&amp;$D27,'CIP Details'!U$9:U$326)</f>
        <v>0</v>
      </c>
      <c r="O27" s="6">
        <f>SUMIF('CIP Details'!$A$9:$A$326,'Bond Details'!$A27&amp;'Bond Details'!$B27&amp;'Bond Details'!$C27&amp;$D27,'CIP Details'!V$9:V$326)</f>
        <v>800000</v>
      </c>
      <c r="P27" s="6">
        <f>SUMIF('CIP Details'!$A$9:$A$326,'Bond Details'!$A27&amp;'Bond Details'!$B27&amp;'Bond Details'!$C27&amp;$D27,'CIP Details'!W$9:W$326)</f>
        <v>800000</v>
      </c>
    </row>
    <row r="28" spans="1:16" x14ac:dyDescent="0.25">
      <c r="A28" t="s">
        <v>316</v>
      </c>
      <c r="B28" t="s">
        <v>248</v>
      </c>
      <c r="C28" t="s">
        <v>475</v>
      </c>
      <c r="D28" s="1" t="s">
        <v>19</v>
      </c>
      <c r="E28" s="6">
        <f>SUMIF('CIP Details'!$A$9:$A$326,'Bond Details'!$A28&amp;'Bond Details'!$B28&amp;'Bond Details'!$C28&amp;$D28,'CIP Details'!K$9:K$326)</f>
        <v>0</v>
      </c>
      <c r="F28" s="6">
        <f>SUMIF('CIP Details'!$A$9:$A$326,'Bond Details'!$A28&amp;'Bond Details'!$B28&amp;'Bond Details'!$C28&amp;$D28,'CIP Details'!L$9:L$326)</f>
        <v>0</v>
      </c>
      <c r="G28" s="6">
        <f>SUMIF('CIP Details'!$A$9:$A$326,'Bond Details'!$A28&amp;'Bond Details'!$B28&amp;'Bond Details'!$C28&amp;$D28,'CIP Details'!N$9:N$326)</f>
        <v>0</v>
      </c>
      <c r="H28" s="6">
        <f>SUMIF('CIP Details'!$A$9:$A$326,'Bond Details'!$A28&amp;'Bond Details'!$B28&amp;'Bond Details'!$C28&amp;$D28,'CIP Details'!O$9:O$326)</f>
        <v>0</v>
      </c>
      <c r="I28" s="6">
        <f>SUMIF('CIP Details'!$A$9:$A$326,'Bond Details'!$A28&amp;'Bond Details'!$B28&amp;'Bond Details'!$C28&amp;$D28,'CIP Details'!P$9:P$326)</f>
        <v>0</v>
      </c>
      <c r="J28" s="6">
        <f>SUMIF('CIP Details'!$A$9:$A$326,'Bond Details'!$A28&amp;'Bond Details'!$B28&amp;'Bond Details'!$C28&amp;$D28,'CIP Details'!Q$9:Q$326)</f>
        <v>0</v>
      </c>
      <c r="K28" s="6">
        <f>SUMIF('CIP Details'!$A$9:$A$326,'Bond Details'!$A28&amp;'Bond Details'!$B28&amp;'Bond Details'!$C28&amp;$D28,'CIP Details'!R$9:R$326)</f>
        <v>0</v>
      </c>
      <c r="L28" s="6">
        <f>SUMIF('CIP Details'!$A$9:$A$326,'Bond Details'!$A28&amp;'Bond Details'!$B28&amp;'Bond Details'!$C28&amp;$D28,'CIP Details'!S$9:S$326)</f>
        <v>0</v>
      </c>
      <c r="M28" s="6">
        <f>SUMIF('CIP Details'!$A$9:$A$326,'Bond Details'!$A28&amp;'Bond Details'!$B28&amp;'Bond Details'!$C28&amp;$D28,'CIP Details'!T$9:T$326)</f>
        <v>0</v>
      </c>
      <c r="N28" s="6">
        <f>SUMIF('CIP Details'!$A$9:$A$326,'Bond Details'!$A28&amp;'Bond Details'!$B28&amp;'Bond Details'!$C28&amp;$D28,'CIP Details'!U$9:U$326)</f>
        <v>0</v>
      </c>
      <c r="O28" s="6">
        <f>SUMIF('CIP Details'!$A$9:$A$326,'Bond Details'!$A28&amp;'Bond Details'!$B28&amp;'Bond Details'!$C28&amp;$D28,'CIP Details'!V$9:V$326)</f>
        <v>0</v>
      </c>
      <c r="P28" s="6">
        <f>SUMIF('CIP Details'!$A$9:$A$326,'Bond Details'!$A28&amp;'Bond Details'!$B28&amp;'Bond Details'!$C28&amp;$D28,'CIP Details'!W$9:W$326)</f>
        <v>0</v>
      </c>
    </row>
    <row r="29" spans="1:16" x14ac:dyDescent="0.25">
      <c r="A29" t="s">
        <v>316</v>
      </c>
      <c r="B29" t="s">
        <v>248</v>
      </c>
      <c r="C29" t="s">
        <v>619</v>
      </c>
      <c r="D29" s="1" t="s">
        <v>19</v>
      </c>
      <c r="E29" s="6">
        <f>SUMIF('CIP Details'!$A$9:$A$326,'Bond Details'!$A29&amp;'Bond Details'!$B29&amp;'Bond Details'!$C29&amp;$D29,'CIP Details'!K$9:K$326)</f>
        <v>0</v>
      </c>
      <c r="F29" s="6">
        <f>SUMIF('CIP Details'!$A$9:$A$326,'Bond Details'!$A29&amp;'Bond Details'!$B29&amp;'Bond Details'!$C29&amp;$D29,'CIP Details'!L$9:L$326)</f>
        <v>0</v>
      </c>
      <c r="G29" s="6">
        <f>SUMIF('CIP Details'!$A$9:$A$326,'Bond Details'!$A29&amp;'Bond Details'!$B29&amp;'Bond Details'!$C29&amp;$D29,'CIP Details'!N$9:N$326)</f>
        <v>0</v>
      </c>
      <c r="H29" s="6">
        <f>SUMIF('CIP Details'!$A$9:$A$326,'Bond Details'!$A29&amp;'Bond Details'!$B29&amp;'Bond Details'!$C29&amp;$D29,'CIP Details'!O$9:O$326)</f>
        <v>0</v>
      </c>
      <c r="I29" s="6">
        <f>SUMIF('CIP Details'!$A$9:$A$326,'Bond Details'!$A29&amp;'Bond Details'!$B29&amp;'Bond Details'!$C29&amp;$D29,'CIP Details'!P$9:P$326)</f>
        <v>0</v>
      </c>
      <c r="J29" s="6">
        <f>SUMIF('CIP Details'!$A$9:$A$326,'Bond Details'!$A29&amp;'Bond Details'!$B29&amp;'Bond Details'!$C29&amp;$D29,'CIP Details'!Q$9:Q$326)</f>
        <v>0</v>
      </c>
      <c r="K29" s="6">
        <f>SUMIF('CIP Details'!$A$9:$A$326,'Bond Details'!$A29&amp;'Bond Details'!$B29&amp;'Bond Details'!$C29&amp;$D29,'CIP Details'!R$9:R$326)</f>
        <v>0</v>
      </c>
      <c r="L29" s="6">
        <f>SUMIF('CIP Details'!$A$9:$A$326,'Bond Details'!$A29&amp;'Bond Details'!$B29&amp;'Bond Details'!$C29&amp;$D29,'CIP Details'!S$9:S$326)</f>
        <v>0</v>
      </c>
      <c r="M29" s="6">
        <f>SUMIF('CIP Details'!$A$9:$A$326,'Bond Details'!$A29&amp;'Bond Details'!$B29&amp;'Bond Details'!$C29&amp;$D29,'CIP Details'!T$9:T$326)</f>
        <v>0</v>
      </c>
      <c r="N29" s="6">
        <f>SUMIF('CIP Details'!$A$9:$A$326,'Bond Details'!$A29&amp;'Bond Details'!$B29&amp;'Bond Details'!$C29&amp;$D29,'CIP Details'!U$9:U$326)</f>
        <v>0</v>
      </c>
      <c r="O29" s="6">
        <f>SUMIF('CIP Details'!$A$9:$A$326,'Bond Details'!$A29&amp;'Bond Details'!$B29&amp;'Bond Details'!$C29&amp;$D29,'CIP Details'!V$9:V$326)</f>
        <v>1000000</v>
      </c>
      <c r="P29" s="6">
        <f>SUMIF('CIP Details'!$A$9:$A$326,'Bond Details'!$A29&amp;'Bond Details'!$B29&amp;'Bond Details'!$C29&amp;$D29,'CIP Details'!W$9:W$326)</f>
        <v>0</v>
      </c>
    </row>
    <row r="30" spans="1:16" x14ac:dyDescent="0.25">
      <c r="A30" t="s">
        <v>316</v>
      </c>
      <c r="B30" t="s">
        <v>248</v>
      </c>
      <c r="C30" t="s">
        <v>312</v>
      </c>
      <c r="D30" s="1" t="s">
        <v>19</v>
      </c>
      <c r="E30" s="6">
        <f>SUMIF('CIP Details'!$A$9:$A$326,'Bond Details'!$A30&amp;'Bond Details'!$B30&amp;'Bond Details'!$C30&amp;$D30,'CIP Details'!K$9:K$326)</f>
        <v>0</v>
      </c>
      <c r="F30" s="6">
        <f>SUMIF('CIP Details'!$A$9:$A$326,'Bond Details'!$A30&amp;'Bond Details'!$B30&amp;'Bond Details'!$C30&amp;$D30,'CIP Details'!L$9:L$326)</f>
        <v>0</v>
      </c>
      <c r="G30" s="6">
        <f>SUMIF('CIP Details'!$A$9:$A$326,'Bond Details'!$A30&amp;'Bond Details'!$B30&amp;'Bond Details'!$C30&amp;$D30,'CIP Details'!N$9:N$326)</f>
        <v>1200000</v>
      </c>
      <c r="H30" s="6">
        <f>SUMIF('CIP Details'!$A$9:$A$326,'Bond Details'!$A30&amp;'Bond Details'!$B30&amp;'Bond Details'!$C30&amp;$D30,'CIP Details'!O$9:O$326)</f>
        <v>0</v>
      </c>
      <c r="I30" s="6">
        <f>SUMIF('CIP Details'!$A$9:$A$326,'Bond Details'!$A30&amp;'Bond Details'!$B30&amp;'Bond Details'!$C30&amp;$D30,'CIP Details'!P$9:P$326)</f>
        <v>0</v>
      </c>
      <c r="J30" s="6">
        <f>SUMIF('CIP Details'!$A$9:$A$326,'Bond Details'!$A30&amp;'Bond Details'!$B30&amp;'Bond Details'!$C30&amp;$D30,'CIP Details'!Q$9:Q$326)</f>
        <v>0</v>
      </c>
      <c r="K30" s="6">
        <f>SUMIF('CIP Details'!$A$9:$A$326,'Bond Details'!$A30&amp;'Bond Details'!$B30&amp;'Bond Details'!$C30&amp;$D30,'CIP Details'!R$9:R$326)</f>
        <v>0</v>
      </c>
      <c r="L30" s="6">
        <f>SUMIF('CIP Details'!$A$9:$A$326,'Bond Details'!$A30&amp;'Bond Details'!$B30&amp;'Bond Details'!$C30&amp;$D30,'CIP Details'!S$9:S$326)</f>
        <v>0</v>
      </c>
      <c r="M30" s="6">
        <f>SUMIF('CIP Details'!$A$9:$A$326,'Bond Details'!$A30&amp;'Bond Details'!$B30&amp;'Bond Details'!$C30&amp;$D30,'CIP Details'!T$9:T$326)</f>
        <v>0</v>
      </c>
      <c r="N30" s="6">
        <f>SUMIF('CIP Details'!$A$9:$A$326,'Bond Details'!$A30&amp;'Bond Details'!$B30&amp;'Bond Details'!$C30&amp;$D30,'CIP Details'!U$9:U$326)</f>
        <v>0</v>
      </c>
      <c r="O30" s="6">
        <f>SUMIF('CIP Details'!$A$9:$A$326,'Bond Details'!$A30&amp;'Bond Details'!$B30&amp;'Bond Details'!$C30&amp;$D30,'CIP Details'!V$9:V$326)</f>
        <v>0</v>
      </c>
      <c r="P30" s="6">
        <f>SUMIF('CIP Details'!$A$9:$A$326,'Bond Details'!$A30&amp;'Bond Details'!$B30&amp;'Bond Details'!$C30&amp;$D30,'CIP Details'!W$9:W$326)</f>
        <v>0</v>
      </c>
    </row>
    <row r="31" spans="1:16" x14ac:dyDescent="0.25">
      <c r="A31" t="s">
        <v>316</v>
      </c>
      <c r="B31" t="s">
        <v>248</v>
      </c>
      <c r="C31" t="s">
        <v>102</v>
      </c>
      <c r="D31" s="1" t="s">
        <v>19</v>
      </c>
      <c r="E31" s="6">
        <f>SUMIF('CIP Details'!$A$9:$A$326,'Bond Details'!$A31&amp;'Bond Details'!$B31&amp;'Bond Details'!$C31&amp;$D31,'CIP Details'!K$9:K$326)</f>
        <v>500000</v>
      </c>
      <c r="F31" s="6">
        <f>SUMIF('CIP Details'!$A$9:$A$326,'Bond Details'!$A31&amp;'Bond Details'!$B31&amp;'Bond Details'!$C31&amp;$D31,'CIP Details'!L$9:L$326)</f>
        <v>0</v>
      </c>
      <c r="G31" s="6">
        <f>SUMIF('CIP Details'!$A$9:$A$326,'Bond Details'!$A31&amp;'Bond Details'!$B31&amp;'Bond Details'!$C31&amp;$D31,'CIP Details'!N$9:N$326)</f>
        <v>0</v>
      </c>
      <c r="H31" s="6">
        <f>SUMIF('CIP Details'!$A$9:$A$326,'Bond Details'!$A31&amp;'Bond Details'!$B31&amp;'Bond Details'!$C31&amp;$D31,'CIP Details'!O$9:O$326)</f>
        <v>0</v>
      </c>
      <c r="I31" s="6">
        <f>SUMIF('CIP Details'!$A$9:$A$326,'Bond Details'!$A31&amp;'Bond Details'!$B31&amp;'Bond Details'!$C31&amp;$D31,'CIP Details'!P$9:P$326)</f>
        <v>0</v>
      </c>
      <c r="J31" s="6">
        <f>SUMIF('CIP Details'!$A$9:$A$326,'Bond Details'!$A31&amp;'Bond Details'!$B31&amp;'Bond Details'!$C31&amp;$D31,'CIP Details'!Q$9:Q$326)</f>
        <v>0</v>
      </c>
      <c r="K31" s="6">
        <f>SUMIF('CIP Details'!$A$9:$A$326,'Bond Details'!$A31&amp;'Bond Details'!$B31&amp;'Bond Details'!$C31&amp;$D31,'CIP Details'!R$9:R$326)</f>
        <v>0</v>
      </c>
      <c r="L31" s="6">
        <f>SUMIF('CIP Details'!$A$9:$A$326,'Bond Details'!$A31&amp;'Bond Details'!$B31&amp;'Bond Details'!$C31&amp;$D31,'CIP Details'!S$9:S$326)</f>
        <v>0</v>
      </c>
      <c r="M31" s="6">
        <f>SUMIF('CIP Details'!$A$9:$A$326,'Bond Details'!$A31&amp;'Bond Details'!$B31&amp;'Bond Details'!$C31&amp;$D31,'CIP Details'!T$9:T$326)</f>
        <v>0</v>
      </c>
      <c r="N31" s="6">
        <f>SUMIF('CIP Details'!$A$9:$A$326,'Bond Details'!$A31&amp;'Bond Details'!$B31&amp;'Bond Details'!$C31&amp;$D31,'CIP Details'!U$9:U$326)</f>
        <v>0</v>
      </c>
      <c r="O31" s="6">
        <f>SUMIF('CIP Details'!$A$9:$A$326,'Bond Details'!$A31&amp;'Bond Details'!$B31&amp;'Bond Details'!$C31&amp;$D31,'CIP Details'!V$9:V$326)</f>
        <v>0</v>
      </c>
      <c r="P31" s="6">
        <f>SUMIF('CIP Details'!$A$9:$A$326,'Bond Details'!$A31&amp;'Bond Details'!$B31&amp;'Bond Details'!$C31&amp;$D31,'CIP Details'!W$9:W$326)</f>
        <v>0</v>
      </c>
    </row>
    <row r="32" spans="1:16" x14ac:dyDescent="0.25">
      <c r="A32" t="s">
        <v>316</v>
      </c>
      <c r="B32" t="s">
        <v>249</v>
      </c>
      <c r="C32" t="s">
        <v>103</v>
      </c>
      <c r="D32" s="1" t="s">
        <v>19</v>
      </c>
      <c r="E32" s="6">
        <f>SUMIF('CIP Details'!$A$9:$A$326,'Bond Details'!$A32&amp;'Bond Details'!$B32&amp;'Bond Details'!$C32&amp;$D32,'CIP Details'!K$9:K$326)</f>
        <v>1600000</v>
      </c>
      <c r="F32" s="6">
        <f>SUMIF('CIP Details'!$A$9:$A$326,'Bond Details'!$A32&amp;'Bond Details'!$B32&amp;'Bond Details'!$C32&amp;$D32,'CIP Details'!L$9:L$326)</f>
        <v>0</v>
      </c>
      <c r="G32" s="6">
        <f>SUMIF('CIP Details'!$A$9:$A$326,'Bond Details'!$A32&amp;'Bond Details'!$B32&amp;'Bond Details'!$C32&amp;$D32,'CIP Details'!N$9:N$326)</f>
        <v>0</v>
      </c>
      <c r="H32" s="6">
        <f>SUMIF('CIP Details'!$A$9:$A$326,'Bond Details'!$A32&amp;'Bond Details'!$B32&amp;'Bond Details'!$C32&amp;$D32,'CIP Details'!O$9:O$326)</f>
        <v>0</v>
      </c>
      <c r="I32" s="6">
        <f>SUMIF('CIP Details'!$A$9:$A$326,'Bond Details'!$A32&amp;'Bond Details'!$B32&amp;'Bond Details'!$C32&amp;$D32,'CIP Details'!P$9:P$326)</f>
        <v>0</v>
      </c>
      <c r="J32" s="6">
        <f>SUMIF('CIP Details'!$A$9:$A$326,'Bond Details'!$A32&amp;'Bond Details'!$B32&amp;'Bond Details'!$C32&amp;$D32,'CIP Details'!Q$9:Q$326)</f>
        <v>0</v>
      </c>
      <c r="K32" s="6">
        <f>SUMIF('CIP Details'!$A$9:$A$326,'Bond Details'!$A32&amp;'Bond Details'!$B32&amp;'Bond Details'!$C32&amp;$D32,'CIP Details'!R$9:R$326)</f>
        <v>0</v>
      </c>
      <c r="L32" s="6">
        <f>SUMIF('CIP Details'!$A$9:$A$326,'Bond Details'!$A32&amp;'Bond Details'!$B32&amp;'Bond Details'!$C32&amp;$D32,'CIP Details'!S$9:S$326)</f>
        <v>0</v>
      </c>
      <c r="M32" s="6">
        <f>SUMIF('CIP Details'!$A$9:$A$326,'Bond Details'!$A32&amp;'Bond Details'!$B32&amp;'Bond Details'!$C32&amp;$D32,'CIP Details'!T$9:T$326)</f>
        <v>0</v>
      </c>
      <c r="N32" s="6">
        <f>SUMIF('CIP Details'!$A$9:$A$326,'Bond Details'!$A32&amp;'Bond Details'!$B32&amp;'Bond Details'!$C32&amp;$D32,'CIP Details'!U$9:U$326)</f>
        <v>0</v>
      </c>
      <c r="O32" s="6">
        <f>SUMIF('CIP Details'!$A$9:$A$326,'Bond Details'!$A32&amp;'Bond Details'!$B32&amp;'Bond Details'!$C32&amp;$D32,'CIP Details'!V$9:V$326)</f>
        <v>0</v>
      </c>
      <c r="P32" s="6">
        <f>SUMIF('CIP Details'!$A$9:$A$326,'Bond Details'!$A32&amp;'Bond Details'!$B32&amp;'Bond Details'!$C32&amp;$D32,'CIP Details'!W$9:W$326)</f>
        <v>0</v>
      </c>
    </row>
    <row r="33" spans="1:16" x14ac:dyDescent="0.25">
      <c r="A33" t="s">
        <v>1</v>
      </c>
      <c r="B33" t="s">
        <v>1</v>
      </c>
      <c r="C33" t="s">
        <v>713</v>
      </c>
      <c r="D33" s="1" t="s">
        <v>19</v>
      </c>
      <c r="E33" s="6">
        <f>SUMIF('CIP Details'!$A$9:$A$326,'Bond Details'!$A33&amp;'Bond Details'!$B33&amp;'Bond Details'!$C33&amp;$D33,'CIP Details'!K$9:K$326)</f>
        <v>0</v>
      </c>
      <c r="F33" s="6">
        <f>SUMIF('CIP Details'!$A$9:$A$326,'Bond Details'!$A33&amp;'Bond Details'!$B33&amp;'Bond Details'!$C33&amp;$D33,'CIP Details'!L$9:L$326)</f>
        <v>0</v>
      </c>
      <c r="G33" s="6">
        <f>SUMIF('CIP Details'!$A$9:$A$326,'Bond Details'!$A33&amp;'Bond Details'!$B33&amp;'Bond Details'!$C33&amp;$D33,'CIP Details'!N$9:N$326)</f>
        <v>0</v>
      </c>
      <c r="H33" s="6">
        <f>SUMIF('CIP Details'!$A$9:$A$326,'Bond Details'!$A33&amp;'Bond Details'!$B33&amp;'Bond Details'!$C33&amp;$D33,'CIP Details'!O$9:O$326)</f>
        <v>0</v>
      </c>
      <c r="I33" s="6">
        <f>SUMIF('CIP Details'!$A$9:$A$326,'Bond Details'!$A33&amp;'Bond Details'!$B33&amp;'Bond Details'!$C33&amp;$D33,'CIP Details'!P$9:P$326)</f>
        <v>0</v>
      </c>
      <c r="J33" s="6">
        <f>SUMIF('CIP Details'!$A$9:$A$326,'Bond Details'!$A33&amp;'Bond Details'!$B33&amp;'Bond Details'!$C33&amp;$D33,'CIP Details'!Q$9:Q$326)</f>
        <v>0</v>
      </c>
      <c r="K33" s="6">
        <f>SUMIF('CIP Details'!$A$9:$A$326,'Bond Details'!$A33&amp;'Bond Details'!$B33&amp;'Bond Details'!$C33&amp;$D33,'CIP Details'!R$9:R$326)</f>
        <v>0</v>
      </c>
      <c r="L33" s="6">
        <f>SUMIF('CIP Details'!$A$9:$A$326,'Bond Details'!$A33&amp;'Bond Details'!$B33&amp;'Bond Details'!$C33&amp;$D33,'CIP Details'!S$9:S$326)</f>
        <v>0</v>
      </c>
      <c r="M33" s="6">
        <f>SUMIF('CIP Details'!$A$9:$A$326,'Bond Details'!$A33&amp;'Bond Details'!$B33&amp;'Bond Details'!$C33&amp;$D33,'CIP Details'!T$9:T$326)</f>
        <v>2100000</v>
      </c>
      <c r="N33" s="6">
        <f>SUMIF('CIP Details'!$A$9:$A$326,'Bond Details'!$A33&amp;'Bond Details'!$B33&amp;'Bond Details'!$C33&amp;$D33,'CIP Details'!U$9:U$326)</f>
        <v>0</v>
      </c>
      <c r="O33" s="6">
        <f>SUMIF('CIP Details'!$A$9:$A$326,'Bond Details'!$A33&amp;'Bond Details'!$B33&amp;'Bond Details'!$C33&amp;$D33,'CIP Details'!V$9:V$326)</f>
        <v>0</v>
      </c>
      <c r="P33" s="6">
        <f>SUMIF('CIP Details'!$A$9:$A$326,'Bond Details'!$A33&amp;'Bond Details'!$B33&amp;'Bond Details'!$C33&amp;$D33,'CIP Details'!W$9:W$326)</f>
        <v>0</v>
      </c>
    </row>
    <row r="34" spans="1:16" x14ac:dyDescent="0.25">
      <c r="A34" t="s">
        <v>1</v>
      </c>
      <c r="B34" t="s">
        <v>1</v>
      </c>
      <c r="C34" s="26" t="s">
        <v>714</v>
      </c>
      <c r="D34" s="1" t="s">
        <v>19</v>
      </c>
      <c r="E34" s="6">
        <f>SUMIF('CIP Details'!$A$9:$A$326,'Bond Details'!$A34&amp;'Bond Details'!$B34&amp;'Bond Details'!$C34&amp;$D34,'CIP Details'!K$9:K$326)</f>
        <v>0</v>
      </c>
      <c r="F34" s="6">
        <f>SUMIF('CIP Details'!$A$9:$A$326,'Bond Details'!$A34&amp;'Bond Details'!$B34&amp;'Bond Details'!$C34&amp;$D34,'CIP Details'!L$9:L$326)</f>
        <v>0</v>
      </c>
      <c r="G34" s="6">
        <f>SUMIF('CIP Details'!$A$9:$A$326,'Bond Details'!$A34&amp;'Bond Details'!$B34&amp;'Bond Details'!$C34&amp;$D34,'CIP Details'!N$9:N$326)</f>
        <v>0</v>
      </c>
      <c r="H34" s="6">
        <f>SUMIF('CIP Details'!$A$9:$A$326,'Bond Details'!$A34&amp;'Bond Details'!$B34&amp;'Bond Details'!$C34&amp;$D34,'CIP Details'!O$9:O$326)</f>
        <v>0</v>
      </c>
      <c r="I34" s="6">
        <f>SUMIF('CIP Details'!$A$9:$A$326,'Bond Details'!$A34&amp;'Bond Details'!$B34&amp;'Bond Details'!$C34&amp;$D34,'CIP Details'!P$9:P$326)</f>
        <v>0</v>
      </c>
      <c r="J34" s="6">
        <f>SUMIF('CIP Details'!$A$9:$A$326,'Bond Details'!$A34&amp;'Bond Details'!$B34&amp;'Bond Details'!$C34&amp;$D34,'CIP Details'!Q$9:Q$326)</f>
        <v>0</v>
      </c>
      <c r="K34" s="6">
        <f>SUMIF('CIP Details'!$A$9:$A$326,'Bond Details'!$A34&amp;'Bond Details'!$B34&amp;'Bond Details'!$C34&amp;$D34,'CIP Details'!R$9:R$326)</f>
        <v>0</v>
      </c>
      <c r="L34" s="6">
        <f>SUMIF('CIP Details'!$A$9:$A$326,'Bond Details'!$A34&amp;'Bond Details'!$B34&amp;'Bond Details'!$C34&amp;$D34,'CIP Details'!S$9:S$326)</f>
        <v>0</v>
      </c>
      <c r="M34" s="6">
        <f>SUMIF('CIP Details'!$A$9:$A$326,'Bond Details'!$A34&amp;'Bond Details'!$B34&amp;'Bond Details'!$C34&amp;$D34,'CIP Details'!T$9:T$326)</f>
        <v>0</v>
      </c>
      <c r="N34" s="6">
        <f>SUMIF('CIP Details'!$A$9:$A$326,'Bond Details'!$A34&amp;'Bond Details'!$B34&amp;'Bond Details'!$C34&amp;$D34,'CIP Details'!U$9:U$326)</f>
        <v>0</v>
      </c>
      <c r="O34" s="6">
        <f>SUMIF('CIP Details'!$A$9:$A$326,'Bond Details'!$A34&amp;'Bond Details'!$B34&amp;'Bond Details'!$C34&amp;$D34,'CIP Details'!V$9:V$326)</f>
        <v>1500000</v>
      </c>
      <c r="P34" s="6">
        <f>SUMIF('CIP Details'!$A$9:$A$326,'Bond Details'!$A34&amp;'Bond Details'!$B34&amp;'Bond Details'!$C34&amp;$D34,'CIP Details'!W$9:W$326)</f>
        <v>0</v>
      </c>
    </row>
    <row r="35" spans="1:16" x14ac:dyDescent="0.25">
      <c r="A35" t="s">
        <v>1</v>
      </c>
      <c r="B35" t="s">
        <v>1</v>
      </c>
      <c r="C35" s="26" t="s">
        <v>718</v>
      </c>
      <c r="D35" s="1" t="s">
        <v>19</v>
      </c>
      <c r="E35" s="6">
        <f>SUMIF('CIP Details'!$A$9:$A$326,'Bond Details'!$A35&amp;'Bond Details'!$B35&amp;'Bond Details'!$C35&amp;$D35,'CIP Details'!K$9:K$326)</f>
        <v>0</v>
      </c>
      <c r="F35" s="6">
        <f>SUMIF('CIP Details'!$A$9:$A$326,'Bond Details'!$A35&amp;'Bond Details'!$B35&amp;'Bond Details'!$C35&amp;$D35,'CIP Details'!L$9:L$326)</f>
        <v>0</v>
      </c>
      <c r="G35" s="6">
        <f>SUMIF('CIP Details'!$A$9:$A$326,'Bond Details'!$A35&amp;'Bond Details'!$B35&amp;'Bond Details'!$C35&amp;$D35,'CIP Details'!N$9:N$326)</f>
        <v>0</v>
      </c>
      <c r="H35" s="6">
        <f>SUMIF('CIP Details'!$A$9:$A$326,'Bond Details'!$A35&amp;'Bond Details'!$B35&amp;'Bond Details'!$C35&amp;$D35,'CIP Details'!O$9:O$326)</f>
        <v>0</v>
      </c>
      <c r="I35" s="6">
        <f>SUMIF('CIP Details'!$A$9:$A$326,'Bond Details'!$A35&amp;'Bond Details'!$B35&amp;'Bond Details'!$C35&amp;$D35,'CIP Details'!P$9:P$326)</f>
        <v>0</v>
      </c>
      <c r="J35" s="6">
        <f>SUMIF('CIP Details'!$A$9:$A$326,'Bond Details'!$A35&amp;'Bond Details'!$B35&amp;'Bond Details'!$C35&amp;$D35,'CIP Details'!Q$9:Q$326)</f>
        <v>0</v>
      </c>
      <c r="K35" s="6">
        <f>SUMIF('CIP Details'!$A$9:$A$326,'Bond Details'!$A35&amp;'Bond Details'!$B35&amp;'Bond Details'!$C35&amp;$D35,'CIP Details'!R$9:R$326)</f>
        <v>0</v>
      </c>
      <c r="L35" s="6">
        <f>SUMIF('CIP Details'!$A$9:$A$326,'Bond Details'!$A35&amp;'Bond Details'!$B35&amp;'Bond Details'!$C35&amp;$D35,'CIP Details'!S$9:S$326)</f>
        <v>0</v>
      </c>
      <c r="M35" s="6">
        <f>SUMIF('CIP Details'!$A$9:$A$326,'Bond Details'!$A35&amp;'Bond Details'!$B35&amp;'Bond Details'!$C35&amp;$D35,'CIP Details'!T$9:T$326)</f>
        <v>0</v>
      </c>
      <c r="N35" s="6">
        <f>SUMIF('CIP Details'!$A$9:$A$326,'Bond Details'!$A35&amp;'Bond Details'!$B35&amp;'Bond Details'!$C35&amp;$D35,'CIP Details'!U$9:U$326)</f>
        <v>0</v>
      </c>
      <c r="O35" s="6">
        <f>SUMIF('CIP Details'!$A$9:$A$326,'Bond Details'!$A35&amp;'Bond Details'!$B35&amp;'Bond Details'!$C35&amp;$D35,'CIP Details'!V$9:V$326)</f>
        <v>1200000</v>
      </c>
      <c r="P35" s="6">
        <f>SUMIF('CIP Details'!$A$9:$A$326,'Bond Details'!$A35&amp;'Bond Details'!$B35&amp;'Bond Details'!$C35&amp;$D35,'CIP Details'!W$9:W$326)</f>
        <v>0</v>
      </c>
    </row>
    <row r="36" spans="1:16" x14ac:dyDescent="0.25">
      <c r="A36" t="s">
        <v>1</v>
      </c>
      <c r="B36" t="s">
        <v>1</v>
      </c>
      <c r="C36" s="26" t="s">
        <v>722</v>
      </c>
      <c r="D36" s="1" t="s">
        <v>19</v>
      </c>
      <c r="E36" s="6">
        <f>SUMIF('CIP Details'!$A$9:$A$326,'Bond Details'!$A36&amp;'Bond Details'!$B36&amp;'Bond Details'!$C36&amp;$D36,'CIP Details'!K$9:K$326)</f>
        <v>0</v>
      </c>
      <c r="F36" s="6">
        <f>SUMIF('CIP Details'!$A$9:$A$326,'Bond Details'!$A36&amp;'Bond Details'!$B36&amp;'Bond Details'!$C36&amp;$D36,'CIP Details'!L$9:L$326)</f>
        <v>0</v>
      </c>
      <c r="G36" s="6">
        <f>SUMIF('CIP Details'!$A$9:$A$326,'Bond Details'!$A36&amp;'Bond Details'!$B36&amp;'Bond Details'!$C36&amp;$D36,'CIP Details'!N$9:N$326)</f>
        <v>0</v>
      </c>
      <c r="H36" s="6">
        <f>SUMIF('CIP Details'!$A$9:$A$326,'Bond Details'!$A36&amp;'Bond Details'!$B36&amp;'Bond Details'!$C36&amp;$D36,'CIP Details'!O$9:O$326)</f>
        <v>0</v>
      </c>
      <c r="I36" s="6">
        <f>SUMIF('CIP Details'!$A$9:$A$326,'Bond Details'!$A36&amp;'Bond Details'!$B36&amp;'Bond Details'!$C36&amp;$D36,'CIP Details'!P$9:P$326)</f>
        <v>0</v>
      </c>
      <c r="J36" s="6">
        <f>SUMIF('CIP Details'!$A$9:$A$326,'Bond Details'!$A36&amp;'Bond Details'!$B36&amp;'Bond Details'!$C36&amp;$D36,'CIP Details'!Q$9:Q$326)</f>
        <v>0</v>
      </c>
      <c r="K36" s="6">
        <f>SUMIF('CIP Details'!$A$9:$A$326,'Bond Details'!$A36&amp;'Bond Details'!$B36&amp;'Bond Details'!$C36&amp;$D36,'CIP Details'!R$9:R$326)</f>
        <v>0</v>
      </c>
      <c r="L36" s="6">
        <f>SUMIF('CIP Details'!$A$9:$A$326,'Bond Details'!$A36&amp;'Bond Details'!$B36&amp;'Bond Details'!$C36&amp;$D36,'CIP Details'!S$9:S$326)</f>
        <v>0</v>
      </c>
      <c r="M36" s="6">
        <f>SUMIF('CIP Details'!$A$9:$A$326,'Bond Details'!$A36&amp;'Bond Details'!$B36&amp;'Bond Details'!$C36&amp;$D36,'CIP Details'!T$9:T$326)</f>
        <v>0</v>
      </c>
      <c r="N36" s="6">
        <f>SUMIF('CIP Details'!$A$9:$A$326,'Bond Details'!$A36&amp;'Bond Details'!$B36&amp;'Bond Details'!$C36&amp;$D36,'CIP Details'!U$9:U$326)</f>
        <v>0</v>
      </c>
      <c r="O36" s="6">
        <f>SUMIF('CIP Details'!$A$9:$A$326,'Bond Details'!$A36&amp;'Bond Details'!$B36&amp;'Bond Details'!$C36&amp;$D36,'CIP Details'!V$9:V$326)</f>
        <v>0</v>
      </c>
      <c r="P36" s="6">
        <f>SUMIF('CIP Details'!$A$9:$A$326,'Bond Details'!$A36&amp;'Bond Details'!$B36&amp;'Bond Details'!$C36&amp;$D36,'CIP Details'!W$9:W$326)</f>
        <v>1300000</v>
      </c>
    </row>
    <row r="37" spans="1:16" x14ac:dyDescent="0.25">
      <c r="A37" t="s">
        <v>1</v>
      </c>
      <c r="B37" t="s">
        <v>1</v>
      </c>
      <c r="C37" t="s">
        <v>240</v>
      </c>
      <c r="D37" s="1" t="s">
        <v>19</v>
      </c>
      <c r="E37" s="6">
        <f>SUMIF('CIP Details'!$A$9:$A$326,'Bond Details'!$A37&amp;'Bond Details'!$B37&amp;'Bond Details'!$C37&amp;$D37,'CIP Details'!K$9:K$326)</f>
        <v>0</v>
      </c>
      <c r="F37" s="6">
        <f>SUMIF('CIP Details'!$A$9:$A$326,'Bond Details'!$A37&amp;'Bond Details'!$B37&amp;'Bond Details'!$C37&amp;$D37,'CIP Details'!L$9:L$326)</f>
        <v>0</v>
      </c>
      <c r="G37" s="6">
        <f>SUMIF('CIP Details'!$A$9:$A$326,'Bond Details'!$A37&amp;'Bond Details'!$B37&amp;'Bond Details'!$C37&amp;$D37,'CIP Details'!N$9:N$326)</f>
        <v>0</v>
      </c>
      <c r="H37" s="6">
        <f>SUMIF('CIP Details'!$A$9:$A$326,'Bond Details'!$A37&amp;'Bond Details'!$B37&amp;'Bond Details'!$C37&amp;$D37,'CIP Details'!O$9:O$326)</f>
        <v>0</v>
      </c>
      <c r="I37" s="6">
        <f>SUMIF('CIP Details'!$A$9:$A$326,'Bond Details'!$A37&amp;'Bond Details'!$B37&amp;'Bond Details'!$C37&amp;$D37,'CIP Details'!P$9:P$326)</f>
        <v>0</v>
      </c>
      <c r="J37" s="6">
        <f>SUMIF('CIP Details'!$A$9:$A$326,'Bond Details'!$A37&amp;'Bond Details'!$B37&amp;'Bond Details'!$C37&amp;$D37,'CIP Details'!Q$9:Q$326)</f>
        <v>0</v>
      </c>
      <c r="K37" s="6">
        <f>SUMIF('CIP Details'!$A$9:$A$326,'Bond Details'!$A37&amp;'Bond Details'!$B37&amp;'Bond Details'!$C37&amp;$D37,'CIP Details'!R$9:R$326)</f>
        <v>0</v>
      </c>
      <c r="L37" s="6">
        <f>SUMIF('CIP Details'!$A$9:$A$326,'Bond Details'!$A37&amp;'Bond Details'!$B37&amp;'Bond Details'!$C37&amp;$D37,'CIP Details'!S$9:S$326)</f>
        <v>0</v>
      </c>
      <c r="M37" s="6">
        <f>SUMIF('CIP Details'!$A$9:$A$326,'Bond Details'!$A37&amp;'Bond Details'!$B37&amp;'Bond Details'!$C37&amp;$D37,'CIP Details'!T$9:T$326)</f>
        <v>0</v>
      </c>
      <c r="N37" s="6">
        <f>SUMIF('CIP Details'!$A$9:$A$326,'Bond Details'!$A37&amp;'Bond Details'!$B37&amp;'Bond Details'!$C37&amp;$D37,'CIP Details'!U$9:U$326)</f>
        <v>0</v>
      </c>
      <c r="O37" s="6">
        <f>SUMIF('CIP Details'!$A$9:$A$326,'Bond Details'!$A37&amp;'Bond Details'!$B37&amp;'Bond Details'!$C37&amp;$D37,'CIP Details'!V$9:V$326)</f>
        <v>0</v>
      </c>
      <c r="P37" s="6">
        <f>SUMIF('CIP Details'!$A$9:$A$326,'Bond Details'!$A37&amp;'Bond Details'!$B37&amp;'Bond Details'!$C37&amp;$D37,'CIP Details'!W$9:W$326)</f>
        <v>0</v>
      </c>
    </row>
    <row r="38" spans="1:16" x14ac:dyDescent="0.25">
      <c r="A38" t="s">
        <v>1</v>
      </c>
      <c r="B38" t="s">
        <v>1</v>
      </c>
      <c r="C38" t="s">
        <v>199</v>
      </c>
      <c r="D38" s="1" t="s">
        <v>19</v>
      </c>
      <c r="E38" s="6">
        <f>SUMIF('CIP Details'!$A$9:$A$326,'Bond Details'!$A38&amp;'Bond Details'!$B38&amp;'Bond Details'!$C38&amp;$D38,'CIP Details'!K$9:K$326)</f>
        <v>0</v>
      </c>
      <c r="F38" s="6">
        <f>SUMIF('CIP Details'!$A$9:$A$326,'Bond Details'!$A38&amp;'Bond Details'!$B38&amp;'Bond Details'!$C38&amp;$D38,'CIP Details'!L$9:L$326)</f>
        <v>0</v>
      </c>
      <c r="G38" s="6">
        <f>SUMIF('CIP Details'!$A$9:$A$326,'Bond Details'!$A38&amp;'Bond Details'!$B38&amp;'Bond Details'!$C38&amp;$D38,'CIP Details'!N$9:N$326)</f>
        <v>0</v>
      </c>
      <c r="H38" s="6">
        <f>SUMIF('CIP Details'!$A$9:$A$326,'Bond Details'!$A38&amp;'Bond Details'!$B38&amp;'Bond Details'!$C38&amp;$D38,'CIP Details'!O$9:O$326)</f>
        <v>0</v>
      </c>
      <c r="I38" s="6">
        <f>SUMIF('CIP Details'!$A$9:$A$326,'Bond Details'!$A38&amp;'Bond Details'!$B38&amp;'Bond Details'!$C38&amp;$D38,'CIP Details'!P$9:P$326)</f>
        <v>0</v>
      </c>
      <c r="J38" s="6">
        <f>SUMIF('CIP Details'!$A$9:$A$326,'Bond Details'!$A38&amp;'Bond Details'!$B38&amp;'Bond Details'!$C38&amp;$D38,'CIP Details'!Q$9:Q$326)</f>
        <v>0</v>
      </c>
      <c r="K38" s="6">
        <f>SUMIF('CIP Details'!$A$9:$A$326,'Bond Details'!$A38&amp;'Bond Details'!$B38&amp;'Bond Details'!$C38&amp;$D38,'CIP Details'!R$9:R$326)</f>
        <v>0</v>
      </c>
      <c r="L38" s="6">
        <f>SUMIF('CIP Details'!$A$9:$A$326,'Bond Details'!$A38&amp;'Bond Details'!$B38&amp;'Bond Details'!$C38&amp;$D38,'CIP Details'!S$9:S$326)</f>
        <v>0</v>
      </c>
      <c r="M38" s="6">
        <f>SUMIF('CIP Details'!$A$9:$A$326,'Bond Details'!$A38&amp;'Bond Details'!$B38&amp;'Bond Details'!$C38&amp;$D38,'CIP Details'!T$9:T$326)</f>
        <v>0</v>
      </c>
      <c r="N38" s="6">
        <f>SUMIF('CIP Details'!$A$9:$A$326,'Bond Details'!$A38&amp;'Bond Details'!$B38&amp;'Bond Details'!$C38&amp;$D38,'CIP Details'!U$9:U$326)</f>
        <v>0</v>
      </c>
      <c r="O38" s="6">
        <f>SUMIF('CIP Details'!$A$9:$A$326,'Bond Details'!$A38&amp;'Bond Details'!$B38&amp;'Bond Details'!$C38&amp;$D38,'CIP Details'!V$9:V$326)</f>
        <v>0</v>
      </c>
      <c r="P38" s="6">
        <f>SUMIF('CIP Details'!$A$9:$A$326,'Bond Details'!$A38&amp;'Bond Details'!$B38&amp;'Bond Details'!$C38&amp;$D38,'CIP Details'!W$9:W$326)</f>
        <v>0</v>
      </c>
    </row>
    <row r="39" spans="1:16" x14ac:dyDescent="0.25">
      <c r="A39" t="s">
        <v>1</v>
      </c>
      <c r="B39" t="s">
        <v>1</v>
      </c>
      <c r="C39" t="s">
        <v>198</v>
      </c>
      <c r="D39" s="1" t="s">
        <v>19</v>
      </c>
      <c r="E39" s="6">
        <f>SUMIF('CIP Details'!$A$9:$A$326,'Bond Details'!$A39&amp;'Bond Details'!$B39&amp;'Bond Details'!$C39&amp;$D39,'CIP Details'!K$9:K$326)</f>
        <v>0</v>
      </c>
      <c r="F39" s="6">
        <f>SUMIF('CIP Details'!$A$9:$A$326,'Bond Details'!$A39&amp;'Bond Details'!$B39&amp;'Bond Details'!$C39&amp;$D39,'CIP Details'!L$9:L$326)</f>
        <v>0</v>
      </c>
      <c r="G39" s="6">
        <f>SUMIF('CIP Details'!$A$9:$A$326,'Bond Details'!$A39&amp;'Bond Details'!$B39&amp;'Bond Details'!$C39&amp;$D39,'CIP Details'!N$9:N$326)</f>
        <v>0</v>
      </c>
      <c r="H39" s="6">
        <f>SUMIF('CIP Details'!$A$9:$A$326,'Bond Details'!$A39&amp;'Bond Details'!$B39&amp;'Bond Details'!$C39&amp;$D39,'CIP Details'!O$9:O$326)</f>
        <v>0</v>
      </c>
      <c r="I39" s="6">
        <f>SUMIF('CIP Details'!$A$9:$A$326,'Bond Details'!$A39&amp;'Bond Details'!$B39&amp;'Bond Details'!$C39&amp;$D39,'CIP Details'!P$9:P$326)</f>
        <v>0</v>
      </c>
      <c r="J39" s="6">
        <f>SUMIF('CIP Details'!$A$9:$A$326,'Bond Details'!$A39&amp;'Bond Details'!$B39&amp;'Bond Details'!$C39&amp;$D39,'CIP Details'!Q$9:Q$326)</f>
        <v>0</v>
      </c>
      <c r="K39" s="6">
        <f>SUMIF('CIP Details'!$A$9:$A$326,'Bond Details'!$A39&amp;'Bond Details'!$B39&amp;'Bond Details'!$C39&amp;$D39,'CIP Details'!R$9:R$326)</f>
        <v>0</v>
      </c>
      <c r="L39" s="6">
        <f>SUMIF('CIP Details'!$A$9:$A$326,'Bond Details'!$A39&amp;'Bond Details'!$B39&amp;'Bond Details'!$C39&amp;$D39,'CIP Details'!S$9:S$326)</f>
        <v>0</v>
      </c>
      <c r="M39" s="6">
        <f>SUMIF('CIP Details'!$A$9:$A$326,'Bond Details'!$A39&amp;'Bond Details'!$B39&amp;'Bond Details'!$C39&amp;$D39,'CIP Details'!T$9:T$326)</f>
        <v>0</v>
      </c>
      <c r="N39" s="6">
        <f>SUMIF('CIP Details'!$A$9:$A$326,'Bond Details'!$A39&amp;'Bond Details'!$B39&amp;'Bond Details'!$C39&amp;$D39,'CIP Details'!U$9:U$326)</f>
        <v>0</v>
      </c>
      <c r="O39" s="6">
        <f>SUMIF('CIP Details'!$A$9:$A$326,'Bond Details'!$A39&amp;'Bond Details'!$B39&amp;'Bond Details'!$C39&amp;$D39,'CIP Details'!V$9:V$326)</f>
        <v>0</v>
      </c>
      <c r="P39" s="6">
        <f>SUMIF('CIP Details'!$A$9:$A$326,'Bond Details'!$A39&amp;'Bond Details'!$B39&amp;'Bond Details'!$C39&amp;$D39,'CIP Details'!W$9:W$326)</f>
        <v>0</v>
      </c>
    </row>
    <row r="40" spans="1:16" x14ac:dyDescent="0.25">
      <c r="A40" t="s">
        <v>1</v>
      </c>
      <c r="B40" t="s">
        <v>1</v>
      </c>
      <c r="C40" t="s">
        <v>104</v>
      </c>
      <c r="D40" s="1" t="s">
        <v>19</v>
      </c>
      <c r="E40" s="6">
        <f>SUMIF('CIP Details'!$A$9:$A$326,'Bond Details'!$A40&amp;'Bond Details'!$B40&amp;'Bond Details'!$C40&amp;$D40,'CIP Details'!K$9:K$326)</f>
        <v>515000</v>
      </c>
      <c r="F40" s="6">
        <f>SUMIF('CIP Details'!$A$9:$A$326,'Bond Details'!$A40&amp;'Bond Details'!$B40&amp;'Bond Details'!$C40&amp;$D40,'CIP Details'!L$9:L$326)</f>
        <v>0</v>
      </c>
      <c r="G40" s="6">
        <f>SUMIF('CIP Details'!$A$9:$A$326,'Bond Details'!$A40&amp;'Bond Details'!$B40&amp;'Bond Details'!$C40&amp;$D40,'CIP Details'!N$9:N$326)</f>
        <v>0</v>
      </c>
      <c r="H40" s="6">
        <f>SUMIF('CIP Details'!$A$9:$A$326,'Bond Details'!$A40&amp;'Bond Details'!$B40&amp;'Bond Details'!$C40&amp;$D40,'CIP Details'!O$9:O$326)</f>
        <v>0</v>
      </c>
      <c r="I40" s="6">
        <f>SUMIF('CIP Details'!$A$9:$A$326,'Bond Details'!$A40&amp;'Bond Details'!$B40&amp;'Bond Details'!$C40&amp;$D40,'CIP Details'!P$9:P$326)</f>
        <v>0</v>
      </c>
      <c r="J40" s="6">
        <f>SUMIF('CIP Details'!$A$9:$A$326,'Bond Details'!$A40&amp;'Bond Details'!$B40&amp;'Bond Details'!$C40&amp;$D40,'CIP Details'!Q$9:Q$326)</f>
        <v>0</v>
      </c>
      <c r="K40" s="6">
        <f>SUMIF('CIP Details'!$A$9:$A$326,'Bond Details'!$A40&amp;'Bond Details'!$B40&amp;'Bond Details'!$C40&amp;$D40,'CIP Details'!R$9:R$326)</f>
        <v>0</v>
      </c>
      <c r="L40" s="6">
        <f>SUMIF('CIP Details'!$A$9:$A$326,'Bond Details'!$A40&amp;'Bond Details'!$B40&amp;'Bond Details'!$C40&amp;$D40,'CIP Details'!S$9:S$326)</f>
        <v>0</v>
      </c>
      <c r="M40" s="6">
        <f>SUMIF('CIP Details'!$A$9:$A$326,'Bond Details'!$A40&amp;'Bond Details'!$B40&amp;'Bond Details'!$C40&amp;$D40,'CIP Details'!T$9:T$326)</f>
        <v>0</v>
      </c>
      <c r="N40" s="6">
        <f>SUMIF('CIP Details'!$A$9:$A$326,'Bond Details'!$A40&amp;'Bond Details'!$B40&amp;'Bond Details'!$C40&amp;$D40,'CIP Details'!U$9:U$326)</f>
        <v>0</v>
      </c>
      <c r="O40" s="6">
        <f>SUMIF('CIP Details'!$A$9:$A$326,'Bond Details'!$A40&amp;'Bond Details'!$B40&amp;'Bond Details'!$C40&amp;$D40,'CIP Details'!V$9:V$326)</f>
        <v>0</v>
      </c>
      <c r="P40" s="6">
        <f>SUMIF('CIP Details'!$A$9:$A$326,'Bond Details'!$A40&amp;'Bond Details'!$B40&amp;'Bond Details'!$C40&amp;$D40,'CIP Details'!W$9:W$326)</f>
        <v>0</v>
      </c>
    </row>
    <row r="41" spans="1:16" ht="15.75" thickBot="1" x14ac:dyDescent="0.3">
      <c r="C41" t="s">
        <v>51</v>
      </c>
      <c r="E41" s="7">
        <f t="shared" ref="E41:O41" si="0">SUM(E9:E40)</f>
        <v>4665000</v>
      </c>
      <c r="F41" s="7">
        <f t="shared" si="0"/>
        <v>3110000</v>
      </c>
      <c r="G41" s="7">
        <f t="shared" si="0"/>
        <v>3700000</v>
      </c>
      <c r="H41" s="7">
        <f t="shared" si="0"/>
        <v>3925000</v>
      </c>
      <c r="I41" s="7">
        <f t="shared" si="0"/>
        <v>0</v>
      </c>
      <c r="J41" s="7">
        <f t="shared" si="0"/>
        <v>3700000</v>
      </c>
      <c r="K41" s="7">
        <f t="shared" si="0"/>
        <v>2200000</v>
      </c>
      <c r="L41" s="7">
        <f t="shared" si="0"/>
        <v>0</v>
      </c>
      <c r="M41" s="7">
        <f t="shared" si="0"/>
        <v>2850000</v>
      </c>
      <c r="N41" s="7">
        <f t="shared" si="0"/>
        <v>0</v>
      </c>
      <c r="O41" s="7">
        <f t="shared" si="0"/>
        <v>4500000</v>
      </c>
      <c r="P41" s="7">
        <f t="shared" ref="P41" si="1">SUM(P9:P40)</f>
        <v>3100000</v>
      </c>
    </row>
    <row r="42" spans="1:16" ht="15.75" thickTop="1" x14ac:dyDescent="0.25">
      <c r="E42" s="8">
        <f>E41-'CIP Details'!K334-'CIP Details'!K336</f>
        <v>0</v>
      </c>
      <c r="F42" s="8">
        <f>F41-'CIP Details'!L334-'CIP Details'!L336</f>
        <v>0</v>
      </c>
      <c r="G42" s="8">
        <f>G41-'CIP Details'!N334-'CIP Details'!N336</f>
        <v>0</v>
      </c>
      <c r="H42" s="8">
        <f>H41-'CIP Details'!O334-'CIP Details'!O336</f>
        <v>0</v>
      </c>
      <c r="I42" s="8">
        <f>I41-'CIP Details'!P334-'CIP Details'!P336</f>
        <v>0</v>
      </c>
      <c r="J42" s="8">
        <f>J41-'CIP Details'!Q334-'CIP Details'!Q336</f>
        <v>0</v>
      </c>
      <c r="K42" s="8">
        <f>K41-'CIP Details'!R334-'CIP Details'!R336</f>
        <v>0</v>
      </c>
      <c r="L42" s="8">
        <f>L41-'CIP Details'!S334-'CIP Details'!S336</f>
        <v>0</v>
      </c>
      <c r="M42" s="8">
        <f>M41-'CIP Details'!T334-'CIP Details'!T336</f>
        <v>0</v>
      </c>
      <c r="N42" s="8">
        <f>N41-'CIP Details'!U334-'CIP Details'!U336</f>
        <v>0</v>
      </c>
      <c r="O42" s="8">
        <f>O41-'CIP Details'!V334-'CIP Details'!V336</f>
        <v>0</v>
      </c>
      <c r="P42" s="8">
        <f>P41-'CIP Details'!W334-'CIP Details'!W336</f>
        <v>0</v>
      </c>
    </row>
    <row r="43" spans="1:16" x14ac:dyDescent="0.25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x14ac:dyDescent="0.25">
      <c r="C44" s="72" t="s">
        <v>315</v>
      </c>
      <c r="D44" s="73"/>
      <c r="E44" s="75">
        <f t="shared" ref="E44:P50" si="2">SUMIF($A$9:$A$41,$C44,E$9:E$41)</f>
        <v>0</v>
      </c>
      <c r="F44" s="75">
        <f t="shared" si="2"/>
        <v>0</v>
      </c>
      <c r="G44" s="75">
        <f t="shared" si="2"/>
        <v>0</v>
      </c>
      <c r="H44" s="75">
        <f t="shared" si="2"/>
        <v>0</v>
      </c>
      <c r="I44" s="75">
        <f t="shared" si="2"/>
        <v>0</v>
      </c>
      <c r="J44" s="75">
        <f t="shared" si="2"/>
        <v>0</v>
      </c>
      <c r="K44" s="75">
        <f t="shared" si="2"/>
        <v>0</v>
      </c>
      <c r="L44" s="75">
        <f t="shared" si="2"/>
        <v>0</v>
      </c>
      <c r="M44" s="75">
        <f t="shared" si="2"/>
        <v>0</v>
      </c>
      <c r="N44" s="75">
        <f t="shared" si="2"/>
        <v>0</v>
      </c>
      <c r="O44" s="75">
        <f t="shared" si="2"/>
        <v>0</v>
      </c>
      <c r="P44" s="75">
        <f t="shared" si="2"/>
        <v>0</v>
      </c>
    </row>
    <row r="45" spans="1:16" x14ac:dyDescent="0.25">
      <c r="C45" s="72" t="s">
        <v>317</v>
      </c>
      <c r="D45" s="73"/>
      <c r="E45" s="75">
        <f t="shared" si="2"/>
        <v>0</v>
      </c>
      <c r="F45" s="75">
        <f t="shared" si="2"/>
        <v>0</v>
      </c>
      <c r="G45" s="75">
        <f t="shared" si="2"/>
        <v>0</v>
      </c>
      <c r="H45" s="75">
        <f t="shared" si="2"/>
        <v>0</v>
      </c>
      <c r="I45" s="75">
        <f t="shared" si="2"/>
        <v>0</v>
      </c>
      <c r="J45" s="75">
        <f t="shared" si="2"/>
        <v>0</v>
      </c>
      <c r="K45" s="75">
        <f t="shared" si="2"/>
        <v>0</v>
      </c>
      <c r="L45" s="75">
        <f t="shared" si="2"/>
        <v>0</v>
      </c>
      <c r="M45" s="75">
        <f t="shared" si="2"/>
        <v>0</v>
      </c>
      <c r="N45" s="75">
        <f t="shared" si="2"/>
        <v>0</v>
      </c>
      <c r="O45" s="75">
        <f t="shared" si="2"/>
        <v>0</v>
      </c>
      <c r="P45" s="75">
        <f t="shared" si="2"/>
        <v>0</v>
      </c>
    </row>
    <row r="46" spans="1:16" x14ac:dyDescent="0.25">
      <c r="C46" s="72" t="s">
        <v>316</v>
      </c>
      <c r="D46" s="73"/>
      <c r="E46" s="75">
        <f t="shared" si="2"/>
        <v>2100000</v>
      </c>
      <c r="F46" s="75">
        <f t="shared" si="2"/>
        <v>0</v>
      </c>
      <c r="G46" s="75">
        <f t="shared" si="2"/>
        <v>1200000</v>
      </c>
      <c r="H46" s="75">
        <f t="shared" si="2"/>
        <v>1500000</v>
      </c>
      <c r="I46" s="75">
        <f t="shared" si="2"/>
        <v>0</v>
      </c>
      <c r="J46" s="75">
        <f t="shared" si="2"/>
        <v>1600000</v>
      </c>
      <c r="K46" s="75">
        <f t="shared" si="2"/>
        <v>0</v>
      </c>
      <c r="L46" s="75">
        <f t="shared" si="2"/>
        <v>0</v>
      </c>
      <c r="M46" s="75">
        <f t="shared" si="2"/>
        <v>0</v>
      </c>
      <c r="N46" s="75">
        <f t="shared" si="2"/>
        <v>0</v>
      </c>
      <c r="O46" s="75">
        <f t="shared" si="2"/>
        <v>1800000</v>
      </c>
      <c r="P46" s="75">
        <f t="shared" si="2"/>
        <v>800000</v>
      </c>
    </row>
    <row r="47" spans="1:16" x14ac:dyDescent="0.25">
      <c r="C47" s="72" t="s">
        <v>366</v>
      </c>
      <c r="D47" s="73"/>
      <c r="E47" s="75">
        <f t="shared" si="2"/>
        <v>2050000</v>
      </c>
      <c r="F47" s="75">
        <f t="shared" si="2"/>
        <v>3110000</v>
      </c>
      <c r="G47" s="75">
        <f t="shared" si="2"/>
        <v>1500000</v>
      </c>
      <c r="H47" s="75">
        <f t="shared" si="2"/>
        <v>2425000</v>
      </c>
      <c r="I47" s="75">
        <f t="shared" si="2"/>
        <v>0</v>
      </c>
      <c r="J47" s="75">
        <f t="shared" si="2"/>
        <v>2100000</v>
      </c>
      <c r="K47" s="75">
        <f t="shared" si="2"/>
        <v>2200000</v>
      </c>
      <c r="L47" s="75">
        <f t="shared" si="2"/>
        <v>0</v>
      </c>
      <c r="M47" s="75">
        <f t="shared" si="2"/>
        <v>750000</v>
      </c>
      <c r="N47" s="75">
        <f t="shared" si="2"/>
        <v>0</v>
      </c>
      <c r="O47" s="75">
        <f t="shared" si="2"/>
        <v>0</v>
      </c>
      <c r="P47" s="75">
        <f t="shared" si="2"/>
        <v>0</v>
      </c>
    </row>
    <row r="48" spans="1:16" x14ac:dyDescent="0.25">
      <c r="C48" s="72" t="s">
        <v>367</v>
      </c>
      <c r="D48" s="73"/>
      <c r="E48" s="75">
        <f t="shared" si="2"/>
        <v>0</v>
      </c>
      <c r="F48" s="75">
        <f t="shared" si="2"/>
        <v>0</v>
      </c>
      <c r="G48" s="75">
        <f t="shared" si="2"/>
        <v>1000000</v>
      </c>
      <c r="H48" s="75">
        <f t="shared" si="2"/>
        <v>0</v>
      </c>
      <c r="I48" s="75">
        <f t="shared" si="2"/>
        <v>0</v>
      </c>
      <c r="J48" s="75">
        <f t="shared" si="2"/>
        <v>0</v>
      </c>
      <c r="K48" s="75">
        <f t="shared" si="2"/>
        <v>0</v>
      </c>
      <c r="L48" s="75">
        <f t="shared" si="2"/>
        <v>0</v>
      </c>
      <c r="M48" s="75">
        <f t="shared" si="2"/>
        <v>0</v>
      </c>
      <c r="N48" s="75">
        <f t="shared" si="2"/>
        <v>0</v>
      </c>
      <c r="O48" s="75">
        <f t="shared" si="2"/>
        <v>0</v>
      </c>
      <c r="P48" s="75">
        <f t="shared" si="2"/>
        <v>1000000</v>
      </c>
    </row>
    <row r="49" spans="2:16" x14ac:dyDescent="0.25">
      <c r="C49" s="72" t="s">
        <v>368</v>
      </c>
      <c r="D49" s="73"/>
      <c r="E49" s="75">
        <f t="shared" si="2"/>
        <v>0</v>
      </c>
      <c r="F49" s="75">
        <f t="shared" si="2"/>
        <v>0</v>
      </c>
      <c r="G49" s="75">
        <f t="shared" si="2"/>
        <v>0</v>
      </c>
      <c r="H49" s="75">
        <f t="shared" si="2"/>
        <v>0</v>
      </c>
      <c r="I49" s="75">
        <f t="shared" si="2"/>
        <v>0</v>
      </c>
      <c r="J49" s="75">
        <f t="shared" si="2"/>
        <v>0</v>
      </c>
      <c r="K49" s="75">
        <f t="shared" si="2"/>
        <v>0</v>
      </c>
      <c r="L49" s="75">
        <f t="shared" si="2"/>
        <v>0</v>
      </c>
      <c r="M49" s="75">
        <f t="shared" si="2"/>
        <v>0</v>
      </c>
      <c r="N49" s="75">
        <f t="shared" si="2"/>
        <v>0</v>
      </c>
      <c r="O49" s="75">
        <f t="shared" si="2"/>
        <v>0</v>
      </c>
      <c r="P49" s="75">
        <f t="shared" si="2"/>
        <v>0</v>
      </c>
    </row>
    <row r="50" spans="2:16" x14ac:dyDescent="0.25">
      <c r="C50" s="72" t="s">
        <v>1</v>
      </c>
      <c r="D50" s="73"/>
      <c r="E50" s="75">
        <f t="shared" si="2"/>
        <v>515000</v>
      </c>
      <c r="F50" s="75">
        <f t="shared" si="2"/>
        <v>0</v>
      </c>
      <c r="G50" s="75">
        <f t="shared" si="2"/>
        <v>0</v>
      </c>
      <c r="H50" s="75">
        <f t="shared" si="2"/>
        <v>0</v>
      </c>
      <c r="I50" s="75">
        <f t="shared" si="2"/>
        <v>0</v>
      </c>
      <c r="J50" s="75">
        <f t="shared" si="2"/>
        <v>0</v>
      </c>
      <c r="K50" s="75">
        <f t="shared" si="2"/>
        <v>0</v>
      </c>
      <c r="L50" s="75">
        <f t="shared" si="2"/>
        <v>0</v>
      </c>
      <c r="M50" s="75">
        <f t="shared" si="2"/>
        <v>2100000</v>
      </c>
      <c r="N50" s="75">
        <f t="shared" si="2"/>
        <v>0</v>
      </c>
      <c r="O50" s="75">
        <f t="shared" si="2"/>
        <v>2700000</v>
      </c>
      <c r="P50" s="75">
        <f t="shared" si="2"/>
        <v>1300000</v>
      </c>
    </row>
    <row r="51" spans="2:16" ht="15.75" thickBot="1" x14ac:dyDescent="0.3">
      <c r="C51" s="72"/>
      <c r="D51" s="73"/>
      <c r="E51" s="76">
        <f>SUM(E44:E50)</f>
        <v>4665000</v>
      </c>
      <c r="F51" s="76">
        <f t="shared" ref="F51:O51" si="3">SUM(F44:F50)</f>
        <v>3110000</v>
      </c>
      <c r="G51" s="76">
        <f t="shared" si="3"/>
        <v>3700000</v>
      </c>
      <c r="H51" s="76">
        <f t="shared" si="3"/>
        <v>3925000</v>
      </c>
      <c r="I51" s="76">
        <f t="shared" si="3"/>
        <v>0</v>
      </c>
      <c r="J51" s="76">
        <f t="shared" si="3"/>
        <v>3700000</v>
      </c>
      <c r="K51" s="76">
        <f t="shared" si="3"/>
        <v>2200000</v>
      </c>
      <c r="L51" s="76">
        <f t="shared" si="3"/>
        <v>0</v>
      </c>
      <c r="M51" s="76">
        <f t="shared" si="3"/>
        <v>2850000</v>
      </c>
      <c r="N51" s="76">
        <f t="shared" si="3"/>
        <v>0</v>
      </c>
      <c r="O51" s="76">
        <f t="shared" si="3"/>
        <v>4500000</v>
      </c>
      <c r="P51" s="76">
        <f t="shared" ref="P51" si="4">SUM(P44:P50)</f>
        <v>3100000</v>
      </c>
    </row>
    <row r="52" spans="2:16" ht="15.75" thickTop="1" x14ac:dyDescent="0.25">
      <c r="E52" s="8">
        <f>E51-E41</f>
        <v>0</v>
      </c>
      <c r="F52" s="8">
        <f t="shared" ref="F52:O52" si="5">F51-F41</f>
        <v>0</v>
      </c>
      <c r="G52" s="8">
        <f t="shared" si="5"/>
        <v>0</v>
      </c>
      <c r="H52" s="8">
        <f t="shared" si="5"/>
        <v>0</v>
      </c>
      <c r="I52" s="8">
        <f t="shared" si="5"/>
        <v>0</v>
      </c>
      <c r="J52" s="8">
        <f t="shared" si="5"/>
        <v>0</v>
      </c>
      <c r="K52" s="8">
        <f t="shared" si="5"/>
        <v>0</v>
      </c>
      <c r="L52" s="8">
        <f t="shared" si="5"/>
        <v>0</v>
      </c>
      <c r="M52" s="8">
        <f t="shared" si="5"/>
        <v>0</v>
      </c>
      <c r="N52" s="8">
        <f t="shared" si="5"/>
        <v>0</v>
      </c>
      <c r="O52" s="8">
        <f t="shared" si="5"/>
        <v>0</v>
      </c>
      <c r="P52" s="8">
        <f t="shared" ref="P52" si="6">P51-P41</f>
        <v>0</v>
      </c>
    </row>
    <row r="53" spans="2:16" x14ac:dyDescent="0.25">
      <c r="C53" s="4"/>
      <c r="D53" s="2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2:16" x14ac:dyDescent="0.25">
      <c r="B54" s="4"/>
      <c r="C54" s="4" t="s">
        <v>253</v>
      </c>
      <c r="D54" s="2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2:16" ht="26.25" x14ac:dyDescent="0.25">
      <c r="B55" s="4"/>
      <c r="C55" s="132" t="s">
        <v>254</v>
      </c>
      <c r="D55" s="133" t="s">
        <v>255</v>
      </c>
      <c r="E55" s="133" t="s">
        <v>256</v>
      </c>
      <c r="F55" s="133" t="s">
        <v>257</v>
      </c>
      <c r="G55" s="133" t="s">
        <v>258</v>
      </c>
      <c r="H55" s="6"/>
      <c r="I55" s="6"/>
      <c r="J55" s="6"/>
      <c r="K55" s="6"/>
      <c r="L55" s="6"/>
      <c r="M55" s="6"/>
      <c r="N55" s="6"/>
      <c r="O55" s="6"/>
      <c r="P55" s="6"/>
    </row>
    <row r="56" spans="2:16" x14ac:dyDescent="0.25">
      <c r="B56" s="4"/>
      <c r="C56" s="132" t="s">
        <v>259</v>
      </c>
      <c r="D56" s="134" t="s">
        <v>260</v>
      </c>
      <c r="E56" s="134" t="s">
        <v>260</v>
      </c>
      <c r="F56" s="133" t="s">
        <v>261</v>
      </c>
      <c r="G56" s="133" t="s">
        <v>261</v>
      </c>
      <c r="H56" s="6"/>
      <c r="I56" s="6"/>
      <c r="J56" s="6"/>
      <c r="K56" s="6"/>
      <c r="L56" s="6"/>
      <c r="M56" s="6"/>
      <c r="N56" s="6"/>
      <c r="O56" s="6"/>
      <c r="P56" s="6"/>
    </row>
    <row r="57" spans="2:16" x14ac:dyDescent="0.25">
      <c r="B57" s="4"/>
      <c r="C57" s="132" t="s">
        <v>262</v>
      </c>
      <c r="D57" s="134" t="s">
        <v>260</v>
      </c>
      <c r="E57" s="134" t="s">
        <v>260</v>
      </c>
      <c r="F57" s="134" t="s">
        <v>260</v>
      </c>
      <c r="G57" s="133" t="s">
        <v>261</v>
      </c>
      <c r="H57" s="6"/>
      <c r="I57" s="6"/>
      <c r="J57" s="6"/>
      <c r="K57" s="6"/>
      <c r="L57" s="6"/>
      <c r="M57" s="6"/>
      <c r="N57" s="6"/>
      <c r="O57" s="6"/>
      <c r="P57" s="6"/>
    </row>
    <row r="58" spans="2:16" x14ac:dyDescent="0.25">
      <c r="B58" s="4"/>
      <c r="C58" s="132" t="s">
        <v>263</v>
      </c>
      <c r="D58" s="134" t="s">
        <v>260</v>
      </c>
      <c r="E58" s="134" t="s">
        <v>260</v>
      </c>
      <c r="F58" s="133" t="s">
        <v>261</v>
      </c>
      <c r="G58" s="134" t="s">
        <v>260</v>
      </c>
      <c r="H58" s="6"/>
      <c r="I58" s="6"/>
      <c r="J58" s="6"/>
      <c r="K58" s="6"/>
      <c r="L58" s="6"/>
      <c r="M58" s="6"/>
      <c r="N58" s="6"/>
      <c r="O58" s="6"/>
      <c r="P58" s="6"/>
    </row>
    <row r="59" spans="2:16" x14ac:dyDescent="0.2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2:16" x14ac:dyDescent="0.25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2:16" x14ac:dyDescent="0.25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2:16" x14ac:dyDescent="0.25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2:16" x14ac:dyDescent="0.25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2:16" x14ac:dyDescent="0.25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5:16" x14ac:dyDescent="0.25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5:16" x14ac:dyDescent="0.25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5:16" x14ac:dyDescent="0.25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5:16" x14ac:dyDescent="0.25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5:16" x14ac:dyDescent="0.25"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5:16" x14ac:dyDescent="0.25"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5:16" x14ac:dyDescent="0.25"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5:16" x14ac:dyDescent="0.25"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5:16" x14ac:dyDescent="0.25"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5:16" x14ac:dyDescent="0.25"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5:16" x14ac:dyDescent="0.25"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5:16" x14ac:dyDescent="0.25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5:16" x14ac:dyDescent="0.25"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5:16" x14ac:dyDescent="0.25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5:16" x14ac:dyDescent="0.25"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5:16" x14ac:dyDescent="0.25"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5:16" x14ac:dyDescent="0.25"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5:16" x14ac:dyDescent="0.25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5:16" x14ac:dyDescent="0.25"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5:16" x14ac:dyDescent="0.25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5:16" x14ac:dyDescent="0.25"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5:16" x14ac:dyDescent="0.25"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5:16" x14ac:dyDescent="0.25"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5:16" x14ac:dyDescent="0.25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5:16" x14ac:dyDescent="0.25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5:16" x14ac:dyDescent="0.25"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5:16" x14ac:dyDescent="0.25"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5:16" x14ac:dyDescent="0.25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5:16" x14ac:dyDescent="0.25"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5:16" x14ac:dyDescent="0.25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5:16" x14ac:dyDescent="0.25"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5:16" x14ac:dyDescent="0.25"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5:16" x14ac:dyDescent="0.25"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5:16" x14ac:dyDescent="0.25"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5:16" x14ac:dyDescent="0.25"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5:16" x14ac:dyDescent="0.25"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5:16" x14ac:dyDescent="0.25"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5:16" x14ac:dyDescent="0.25"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5:16" x14ac:dyDescent="0.25"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</sheetData>
  <sortState ref="B9:Q29">
    <sortCondition descending="1" ref="F9:F29"/>
    <sortCondition descending="1" ref="G9:G29"/>
    <sortCondition descending="1" ref="H9:H29"/>
    <sortCondition descending="1" ref="I9:I29"/>
    <sortCondition descending="1" ref="J9:J29"/>
    <sortCondition descending="1" ref="K9:K29"/>
    <sortCondition descending="1" ref="L9:L29"/>
    <sortCondition descending="1" ref="M9:M29"/>
    <sortCondition descending="1" ref="N9:N29"/>
    <sortCondition descending="1" ref="O9:O29"/>
  </sortState>
  <pageMargins left="0.4" right="0.4" top="0.4" bottom="0.4" header="0" footer="0"/>
  <pageSetup scale="50" orientation="landscape" r:id="rId1"/>
  <headerFoot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131"/>
  <sheetViews>
    <sheetView workbookViewId="0">
      <pane xSplit="5" ySplit="8" topLeftCell="F60" activePane="bottomRight" state="frozen"/>
      <selection activeCell="G68" sqref="G68"/>
      <selection pane="topRight" activeCell="G68" sqref="G68"/>
      <selection pane="bottomLeft" activeCell="G68" sqref="G68"/>
      <selection pane="bottomRight" activeCell="G68" sqref="G68"/>
    </sheetView>
  </sheetViews>
  <sheetFormatPr defaultRowHeight="15" x14ac:dyDescent="0.25"/>
  <cols>
    <col min="1" max="1" width="26.7109375" bestFit="1" customWidth="1"/>
    <col min="2" max="2" width="13.7109375" style="1" customWidth="1"/>
    <col min="3" max="3" width="74" customWidth="1"/>
    <col min="4" max="4" width="8.28515625" style="1" customWidth="1"/>
    <col min="5" max="5" width="2.85546875" customWidth="1"/>
    <col min="6" max="6" width="11.140625" style="6" bestFit="1" customWidth="1"/>
    <col min="7" max="8" width="10.140625" style="6" bestFit="1" customWidth="1"/>
    <col min="9" max="9" width="10.85546875" style="6" customWidth="1"/>
    <col min="10" max="10" width="11.140625" style="6" bestFit="1" customWidth="1"/>
    <col min="11" max="15" width="10.140625" style="6" bestFit="1" customWidth="1"/>
    <col min="16" max="16" width="10.140625" style="6" customWidth="1"/>
    <col min="17" max="17" width="13.28515625" bestFit="1" customWidth="1"/>
  </cols>
  <sheetData>
    <row r="1" spans="1:16" ht="21" x14ac:dyDescent="0.35">
      <c r="A1" s="17" t="s">
        <v>62</v>
      </c>
      <c r="B1"/>
    </row>
    <row r="2" spans="1:16" ht="21" x14ac:dyDescent="0.35">
      <c r="A2" s="17" t="s">
        <v>100</v>
      </c>
      <c r="B2"/>
      <c r="I2" s="19"/>
    </row>
    <row r="3" spans="1:16" ht="21" x14ac:dyDescent="0.35">
      <c r="A3" s="17" t="s">
        <v>64</v>
      </c>
      <c r="B3"/>
      <c r="F3"/>
      <c r="G3"/>
      <c r="H3"/>
      <c r="I3"/>
      <c r="J3"/>
      <c r="K3"/>
      <c r="L3"/>
      <c r="M3"/>
      <c r="N3"/>
      <c r="O3"/>
      <c r="P3"/>
    </row>
    <row r="4" spans="1:16" x14ac:dyDescent="0.25">
      <c r="B4"/>
      <c r="F4"/>
      <c r="G4"/>
      <c r="H4"/>
      <c r="I4"/>
      <c r="J4"/>
      <c r="K4"/>
      <c r="L4"/>
      <c r="M4"/>
      <c r="N4"/>
      <c r="O4"/>
      <c r="P4"/>
    </row>
    <row r="5" spans="1:16" x14ac:dyDescent="0.25">
      <c r="B5"/>
      <c r="F5"/>
      <c r="G5"/>
      <c r="H5"/>
      <c r="I5"/>
      <c r="J5"/>
      <c r="K5"/>
      <c r="L5"/>
      <c r="M5"/>
      <c r="N5"/>
      <c r="O5"/>
      <c r="P5"/>
    </row>
    <row r="6" spans="1:16" x14ac:dyDescent="0.25">
      <c r="B6"/>
    </row>
    <row r="7" spans="1:16" x14ac:dyDescent="0.25">
      <c r="B7"/>
      <c r="F7"/>
      <c r="G7"/>
      <c r="H7"/>
      <c r="I7"/>
      <c r="J7"/>
      <c r="K7"/>
      <c r="L7"/>
      <c r="M7"/>
      <c r="N7"/>
      <c r="O7"/>
      <c r="P7"/>
    </row>
    <row r="8" spans="1:16" x14ac:dyDescent="0.25">
      <c r="A8" s="5" t="s">
        <v>436</v>
      </c>
      <c r="B8" s="3" t="s">
        <v>206</v>
      </c>
      <c r="C8" s="5" t="s">
        <v>0</v>
      </c>
      <c r="D8" s="113" t="s">
        <v>271</v>
      </c>
      <c r="F8" s="3" t="s">
        <v>2</v>
      </c>
      <c r="G8" s="3" t="s">
        <v>3</v>
      </c>
      <c r="H8" s="3" t="s">
        <v>4</v>
      </c>
      <c r="I8" s="3" t="s">
        <v>5</v>
      </c>
      <c r="J8" s="3" t="s">
        <v>6</v>
      </c>
      <c r="K8" s="3" t="s">
        <v>7</v>
      </c>
      <c r="L8" s="3" t="s">
        <v>8</v>
      </c>
      <c r="M8" s="3" t="s">
        <v>9</v>
      </c>
      <c r="N8" s="3" t="s">
        <v>10</v>
      </c>
      <c r="O8" s="3" t="s">
        <v>11</v>
      </c>
      <c r="P8" s="3" t="s">
        <v>45</v>
      </c>
    </row>
    <row r="10" spans="1:16" x14ac:dyDescent="0.25">
      <c r="C10" s="5" t="s">
        <v>393</v>
      </c>
    </row>
    <row r="11" spans="1:16" x14ac:dyDescent="0.25">
      <c r="A11" t="s">
        <v>317</v>
      </c>
      <c r="B11" s="1">
        <v>14</v>
      </c>
      <c r="C11" t="s">
        <v>145</v>
      </c>
      <c r="D11" s="1" t="s">
        <v>16</v>
      </c>
      <c r="G11" s="6">
        <v>25000</v>
      </c>
      <c r="P11"/>
    </row>
    <row r="12" spans="1:16" x14ac:dyDescent="0.25">
      <c r="A12" t="s">
        <v>316</v>
      </c>
      <c r="B12" s="1">
        <v>31</v>
      </c>
      <c r="C12" t="s">
        <v>151</v>
      </c>
      <c r="D12" s="1" t="s">
        <v>16</v>
      </c>
      <c r="H12" s="6">
        <v>42500</v>
      </c>
      <c r="I12" s="6">
        <v>42500</v>
      </c>
      <c r="P12"/>
    </row>
    <row r="13" spans="1:16" x14ac:dyDescent="0.25">
      <c r="A13" t="s">
        <v>316</v>
      </c>
      <c r="B13" s="1">
        <v>31</v>
      </c>
      <c r="C13" t="s">
        <v>153</v>
      </c>
      <c r="D13" t="s">
        <v>243</v>
      </c>
      <c r="G13" s="6">
        <v>32000</v>
      </c>
      <c r="J13" s="6">
        <v>16000</v>
      </c>
      <c r="P13"/>
    </row>
    <row r="14" spans="1:16" x14ac:dyDescent="0.25">
      <c r="A14" t="s">
        <v>316</v>
      </c>
      <c r="B14" s="1">
        <v>31</v>
      </c>
      <c r="C14" t="s">
        <v>314</v>
      </c>
      <c r="D14" s="1" t="s">
        <v>16</v>
      </c>
      <c r="J14" s="6">
        <v>20000</v>
      </c>
      <c r="P14"/>
    </row>
    <row r="15" spans="1:16" x14ac:dyDescent="0.25">
      <c r="A15" t="s">
        <v>316</v>
      </c>
      <c r="B15" s="1">
        <v>31</v>
      </c>
      <c r="C15" t="s">
        <v>155</v>
      </c>
      <c r="D15" s="1" t="s">
        <v>16</v>
      </c>
      <c r="G15" s="30">
        <v>7500</v>
      </c>
      <c r="H15" s="30"/>
      <c r="I15" s="30"/>
      <c r="J15" s="30"/>
      <c r="K15" s="30"/>
      <c r="L15" s="30"/>
      <c r="M15" s="30"/>
      <c r="N15" s="30"/>
      <c r="O15" s="30"/>
      <c r="P15" s="26"/>
    </row>
    <row r="16" spans="1:16" x14ac:dyDescent="0.25">
      <c r="A16" t="s">
        <v>316</v>
      </c>
      <c r="B16" s="1">
        <v>31</v>
      </c>
      <c r="C16" t="s">
        <v>156</v>
      </c>
      <c r="D16" t="s">
        <v>243</v>
      </c>
      <c r="G16" s="30">
        <v>29000</v>
      </c>
      <c r="H16" s="30"/>
      <c r="I16" s="30"/>
      <c r="J16" s="30"/>
      <c r="K16" s="30"/>
      <c r="L16" s="30"/>
      <c r="M16" s="30"/>
      <c r="N16" s="30"/>
      <c r="O16" s="30"/>
      <c r="P16" s="26"/>
    </row>
    <row r="17" spans="1:34" x14ac:dyDescent="0.25">
      <c r="A17" t="s">
        <v>316</v>
      </c>
      <c r="B17" s="1">
        <v>32</v>
      </c>
      <c r="C17" t="s">
        <v>157</v>
      </c>
      <c r="D17" s="1" t="s">
        <v>16</v>
      </c>
      <c r="G17" s="30"/>
      <c r="H17" s="30"/>
      <c r="I17" s="30">
        <v>25000</v>
      </c>
      <c r="J17" s="30"/>
      <c r="K17" s="30"/>
      <c r="L17" s="30"/>
      <c r="M17" s="30"/>
      <c r="N17" s="30"/>
      <c r="O17" s="30"/>
      <c r="P17" s="26"/>
    </row>
    <row r="18" spans="1:34" x14ac:dyDescent="0.25">
      <c r="A18" t="s">
        <v>316</v>
      </c>
      <c r="B18" s="1">
        <v>32</v>
      </c>
      <c r="C18" t="s">
        <v>158</v>
      </c>
      <c r="D18" s="1" t="s">
        <v>16</v>
      </c>
      <c r="G18" s="30"/>
      <c r="H18" s="30">
        <v>17000</v>
      </c>
      <c r="I18" s="30">
        <v>17000</v>
      </c>
      <c r="J18" s="30"/>
      <c r="K18" s="30"/>
      <c r="L18" s="30"/>
      <c r="M18" s="30"/>
      <c r="N18" s="30"/>
      <c r="O18" s="30"/>
      <c r="P18" s="26"/>
    </row>
    <row r="19" spans="1:34" x14ac:dyDescent="0.25">
      <c r="A19" t="s">
        <v>316</v>
      </c>
      <c r="B19" s="1">
        <v>32</v>
      </c>
      <c r="C19" t="s">
        <v>159</v>
      </c>
      <c r="D19" s="1" t="s">
        <v>16</v>
      </c>
      <c r="G19" s="30"/>
      <c r="H19" s="30"/>
      <c r="I19" s="30"/>
      <c r="J19" s="30">
        <v>25000</v>
      </c>
      <c r="K19" s="30"/>
      <c r="L19" s="30"/>
      <c r="M19" s="30"/>
      <c r="N19" s="30"/>
      <c r="O19" s="30"/>
      <c r="P19" s="26"/>
    </row>
    <row r="20" spans="1:34" x14ac:dyDescent="0.25">
      <c r="A20" t="s">
        <v>316</v>
      </c>
      <c r="B20" s="1">
        <v>32</v>
      </c>
      <c r="C20" t="s">
        <v>161</v>
      </c>
      <c r="D20" s="1" t="s">
        <v>16</v>
      </c>
      <c r="G20" s="30"/>
      <c r="H20" s="30">
        <v>25000</v>
      </c>
      <c r="I20" s="30"/>
      <c r="J20" s="30"/>
      <c r="K20" s="30"/>
      <c r="L20" s="30"/>
      <c r="M20" s="30"/>
      <c r="N20" s="30"/>
      <c r="O20" s="30"/>
      <c r="P20" s="26"/>
    </row>
    <row r="21" spans="1:34" x14ac:dyDescent="0.25">
      <c r="A21" t="s">
        <v>316</v>
      </c>
      <c r="B21" s="1">
        <v>32</v>
      </c>
      <c r="C21" t="s">
        <v>163</v>
      </c>
      <c r="D21" s="1" t="s">
        <v>16</v>
      </c>
      <c r="F21" s="6">
        <v>6000</v>
      </c>
      <c r="G21" s="30"/>
      <c r="H21" s="30">
        <v>7000</v>
      </c>
      <c r="I21" s="30"/>
      <c r="J21" s="30">
        <v>7000</v>
      </c>
      <c r="K21" s="30"/>
      <c r="L21" s="30">
        <v>7000</v>
      </c>
      <c r="M21" s="30"/>
      <c r="N21" s="30">
        <v>7000</v>
      </c>
      <c r="O21" s="30"/>
      <c r="P21" s="30">
        <v>7000</v>
      </c>
      <c r="Q21" s="8"/>
    </row>
    <row r="22" spans="1:34" s="26" customFormat="1" x14ac:dyDescent="0.25">
      <c r="A22" t="s">
        <v>316</v>
      </c>
      <c r="B22" s="31">
        <v>32</v>
      </c>
      <c r="C22" s="26" t="s">
        <v>164</v>
      </c>
      <c r="D22" s="31" t="s">
        <v>16</v>
      </c>
      <c r="F22" s="30"/>
      <c r="G22" s="30"/>
      <c r="H22" s="30"/>
      <c r="I22" s="30"/>
      <c r="J22" s="30"/>
      <c r="K22" s="30">
        <v>5000</v>
      </c>
      <c r="L22" s="30"/>
      <c r="M22" s="30"/>
      <c r="N22" s="30"/>
      <c r="O22" s="30"/>
    </row>
    <row r="23" spans="1:34" s="26" customFormat="1" x14ac:dyDescent="0.25">
      <c r="A23" t="s">
        <v>316</v>
      </c>
      <c r="B23" s="31">
        <v>32</v>
      </c>
      <c r="C23" s="26" t="s">
        <v>165</v>
      </c>
      <c r="D23" s="31" t="s">
        <v>16</v>
      </c>
      <c r="F23" s="30"/>
      <c r="G23" s="30">
        <v>3500</v>
      </c>
      <c r="H23" s="30"/>
      <c r="I23" s="30"/>
      <c r="J23" s="30">
        <v>3500</v>
      </c>
      <c r="K23" s="30"/>
      <c r="L23" s="30"/>
      <c r="M23" s="30"/>
      <c r="N23" s="30">
        <v>3700</v>
      </c>
      <c r="O23" s="30"/>
    </row>
    <row r="24" spans="1:34" s="26" customFormat="1" x14ac:dyDescent="0.25">
      <c r="A24" t="s">
        <v>316</v>
      </c>
      <c r="B24" s="31">
        <v>32</v>
      </c>
      <c r="C24" s="26" t="s">
        <v>166</v>
      </c>
      <c r="D24" s="31" t="s">
        <v>16</v>
      </c>
      <c r="F24" s="30"/>
      <c r="G24" s="30"/>
      <c r="H24" s="30"/>
      <c r="I24" s="30">
        <v>500</v>
      </c>
      <c r="J24" s="30"/>
      <c r="K24" s="30"/>
      <c r="L24" s="30">
        <v>500</v>
      </c>
      <c r="M24" s="30"/>
      <c r="N24" s="30"/>
      <c r="O24" s="30">
        <v>500</v>
      </c>
    </row>
    <row r="25" spans="1:34" s="26" customFormat="1" x14ac:dyDescent="0.25">
      <c r="A25" t="s">
        <v>316</v>
      </c>
      <c r="B25" s="31">
        <v>32</v>
      </c>
      <c r="C25" s="26" t="s">
        <v>167</v>
      </c>
      <c r="D25" s="31" t="s">
        <v>16</v>
      </c>
      <c r="F25" s="30"/>
      <c r="G25" s="30">
        <v>900</v>
      </c>
      <c r="H25" s="30"/>
      <c r="I25" s="30">
        <v>500</v>
      </c>
      <c r="J25" s="30"/>
      <c r="K25" s="30"/>
      <c r="L25" s="30">
        <v>500</v>
      </c>
      <c r="M25" s="30"/>
      <c r="N25" s="30"/>
      <c r="O25" s="30">
        <v>500</v>
      </c>
    </row>
    <row r="26" spans="1:34" s="26" customFormat="1" x14ac:dyDescent="0.25">
      <c r="A26" t="s">
        <v>316</v>
      </c>
      <c r="B26" s="31">
        <v>32</v>
      </c>
      <c r="C26" s="26" t="s">
        <v>168</v>
      </c>
      <c r="D26" s="31" t="s">
        <v>16</v>
      </c>
      <c r="F26" s="30"/>
      <c r="G26" s="30">
        <v>8000</v>
      </c>
      <c r="H26" s="30">
        <v>8500</v>
      </c>
      <c r="I26" s="30">
        <v>9000</v>
      </c>
      <c r="J26" s="30">
        <v>3000</v>
      </c>
      <c r="K26" s="30">
        <v>8500</v>
      </c>
      <c r="L26" s="30">
        <v>8500</v>
      </c>
      <c r="M26" s="30">
        <v>6200</v>
      </c>
      <c r="N26" s="30">
        <v>17500</v>
      </c>
      <c r="O26" s="30">
        <v>10000</v>
      </c>
      <c r="P26" s="30">
        <v>3000</v>
      </c>
    </row>
    <row r="27" spans="1:34" s="26" customFormat="1" x14ac:dyDescent="0.25">
      <c r="A27" t="s">
        <v>316</v>
      </c>
      <c r="B27" s="31">
        <v>32</v>
      </c>
      <c r="C27" s="26" t="s">
        <v>169</v>
      </c>
      <c r="D27" s="31" t="s">
        <v>16</v>
      </c>
      <c r="F27" s="30"/>
      <c r="G27" s="30">
        <v>500</v>
      </c>
      <c r="H27" s="30">
        <v>500</v>
      </c>
      <c r="I27" s="30">
        <v>500</v>
      </c>
      <c r="J27" s="30">
        <v>500</v>
      </c>
      <c r="K27" s="30">
        <v>500</v>
      </c>
      <c r="L27" s="30">
        <v>500</v>
      </c>
      <c r="M27" s="30">
        <v>500</v>
      </c>
      <c r="N27" s="30">
        <v>500</v>
      </c>
      <c r="O27" s="30">
        <v>500</v>
      </c>
      <c r="P27" s="30">
        <v>500</v>
      </c>
    </row>
    <row r="28" spans="1:34" x14ac:dyDescent="0.25">
      <c r="A28" t="s">
        <v>316</v>
      </c>
      <c r="B28" s="31">
        <v>32</v>
      </c>
      <c r="C28" s="26" t="s">
        <v>171</v>
      </c>
      <c r="D28" s="31" t="s">
        <v>16</v>
      </c>
      <c r="E28" s="26"/>
      <c r="F28" s="30"/>
      <c r="G28" s="30"/>
      <c r="H28" s="30">
        <v>2000</v>
      </c>
      <c r="I28" s="30"/>
      <c r="J28" s="30"/>
      <c r="K28" s="30"/>
      <c r="L28" s="30"/>
      <c r="M28" s="30"/>
      <c r="N28" s="30">
        <v>2000</v>
      </c>
      <c r="O28" s="30"/>
      <c r="P28" s="26"/>
      <c r="Q28" s="26"/>
      <c r="R28" s="26"/>
      <c r="S28" s="26"/>
      <c r="T28" s="26"/>
      <c r="U28" s="26"/>
      <c r="V28" s="26"/>
    </row>
    <row r="29" spans="1:34" x14ac:dyDescent="0.25">
      <c r="A29" t="s">
        <v>316</v>
      </c>
      <c r="B29" s="31">
        <v>32</v>
      </c>
      <c r="C29" s="26" t="s">
        <v>172</v>
      </c>
      <c r="D29" s="31" t="s">
        <v>16</v>
      </c>
      <c r="E29" s="26"/>
      <c r="F29" s="30"/>
      <c r="G29" s="30"/>
      <c r="H29" s="30">
        <v>8000</v>
      </c>
      <c r="I29" s="30"/>
      <c r="J29" s="30"/>
      <c r="K29" s="30"/>
      <c r="L29" s="30"/>
      <c r="M29" s="30"/>
      <c r="N29" s="30"/>
      <c r="O29" s="30"/>
      <c r="P29" s="26"/>
      <c r="Q29" s="26"/>
      <c r="R29" s="26"/>
      <c r="S29" s="26"/>
      <c r="T29" s="26"/>
      <c r="U29" s="26"/>
      <c r="V29" s="26"/>
    </row>
    <row r="30" spans="1:34" x14ac:dyDescent="0.25">
      <c r="A30" t="s">
        <v>316</v>
      </c>
      <c r="B30" s="31">
        <v>32</v>
      </c>
      <c r="C30" s="26" t="s">
        <v>174</v>
      </c>
      <c r="D30" s="31" t="s">
        <v>16</v>
      </c>
      <c r="E30" s="26"/>
      <c r="F30" s="30"/>
      <c r="G30" s="30"/>
      <c r="H30" s="30">
        <v>20000</v>
      </c>
      <c r="I30" s="30"/>
      <c r="J30" s="30"/>
      <c r="K30" s="30">
        <v>20000</v>
      </c>
      <c r="L30" s="30"/>
      <c r="M30" s="30"/>
      <c r="N30" s="30"/>
      <c r="O30" s="30">
        <v>20000</v>
      </c>
      <c r="P30" s="26"/>
      <c r="Q30" s="38"/>
      <c r="R30" s="26"/>
      <c r="S30" s="26"/>
      <c r="T30" s="26"/>
    </row>
    <row r="31" spans="1:34" x14ac:dyDescent="0.25">
      <c r="A31" t="s">
        <v>316</v>
      </c>
      <c r="B31" s="31">
        <v>32</v>
      </c>
      <c r="C31" s="26" t="s">
        <v>175</v>
      </c>
      <c r="D31" s="31" t="s">
        <v>16</v>
      </c>
      <c r="E31" s="26"/>
      <c r="F31" s="30"/>
      <c r="G31" s="30">
        <v>10000</v>
      </c>
      <c r="H31" s="30"/>
      <c r="I31" s="30"/>
      <c r="J31" s="30"/>
      <c r="K31" s="30"/>
      <c r="L31" s="30"/>
      <c r="M31" s="30"/>
      <c r="N31" s="30"/>
      <c r="O31" s="30"/>
      <c r="P31" s="26"/>
      <c r="Q31" s="38"/>
      <c r="R31" s="26"/>
      <c r="S31" s="26"/>
      <c r="T31" s="26"/>
    </row>
    <row r="32" spans="1:34" x14ac:dyDescent="0.25">
      <c r="A32" t="s">
        <v>366</v>
      </c>
      <c r="B32" s="31">
        <v>35</v>
      </c>
      <c r="C32" s="26" t="s">
        <v>320</v>
      </c>
      <c r="D32" s="31" t="s">
        <v>16</v>
      </c>
      <c r="E32" s="26"/>
      <c r="F32" s="30"/>
      <c r="G32" s="30"/>
      <c r="H32" s="30"/>
      <c r="I32" s="30">
        <v>15000</v>
      </c>
      <c r="J32" s="30"/>
      <c r="K32" s="30"/>
      <c r="L32" s="30"/>
      <c r="M32" s="30"/>
      <c r="N32" s="30"/>
      <c r="O32" s="30"/>
      <c r="P32" s="26"/>
      <c r="Q32" s="38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</row>
    <row r="33" spans="1:34" x14ac:dyDescent="0.25">
      <c r="A33" t="s">
        <v>366</v>
      </c>
      <c r="B33" s="31">
        <v>35</v>
      </c>
      <c r="C33" s="26" t="s">
        <v>321</v>
      </c>
      <c r="D33" s="31" t="s">
        <v>16</v>
      </c>
      <c r="E33" s="26"/>
      <c r="F33" s="30"/>
      <c r="G33" s="30"/>
      <c r="H33" s="30">
        <v>25000</v>
      </c>
      <c r="I33" s="30"/>
      <c r="J33" s="30"/>
      <c r="K33" s="30"/>
      <c r="L33" s="30"/>
      <c r="M33" s="30"/>
      <c r="N33" s="30"/>
      <c r="O33" s="30"/>
      <c r="P33" s="26"/>
      <c r="Q33" s="38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spans="1:34" x14ac:dyDescent="0.25">
      <c r="A34" t="s">
        <v>366</v>
      </c>
      <c r="B34" s="1">
        <v>36</v>
      </c>
      <c r="C34" t="s">
        <v>177</v>
      </c>
      <c r="D34" s="1" t="s">
        <v>16</v>
      </c>
      <c r="F34" s="21">
        <v>0</v>
      </c>
      <c r="G34" s="30">
        <v>40000</v>
      </c>
      <c r="H34" s="30">
        <v>40000</v>
      </c>
      <c r="I34" s="30">
        <v>40000</v>
      </c>
      <c r="J34" s="30">
        <v>40000</v>
      </c>
      <c r="K34" s="30">
        <v>40000</v>
      </c>
      <c r="L34" s="30">
        <v>40000</v>
      </c>
      <c r="M34" s="30">
        <v>40000</v>
      </c>
      <c r="N34" s="30">
        <v>40000</v>
      </c>
      <c r="O34" s="30">
        <v>40000</v>
      </c>
      <c r="P34" s="30">
        <v>40000</v>
      </c>
      <c r="Q34" s="8"/>
    </row>
    <row r="35" spans="1:34" x14ac:dyDescent="0.25">
      <c r="A35" t="s">
        <v>366</v>
      </c>
      <c r="B35" s="1">
        <v>36</v>
      </c>
      <c r="C35" t="s">
        <v>178</v>
      </c>
      <c r="D35" s="1" t="s">
        <v>16</v>
      </c>
      <c r="F35" s="21">
        <v>0</v>
      </c>
      <c r="G35" s="30"/>
      <c r="H35" s="30"/>
      <c r="I35" s="30"/>
      <c r="J35" s="30"/>
      <c r="K35" s="30"/>
      <c r="L35" s="30"/>
      <c r="M35" s="30"/>
      <c r="N35" s="30"/>
      <c r="O35" s="30"/>
      <c r="P35" s="26"/>
      <c r="Q35" s="8"/>
    </row>
    <row r="36" spans="1:34" x14ac:dyDescent="0.25">
      <c r="A36" t="s">
        <v>366</v>
      </c>
      <c r="B36" s="1">
        <v>36</v>
      </c>
      <c r="C36" t="s">
        <v>323</v>
      </c>
      <c r="D36" s="1" t="s">
        <v>16</v>
      </c>
      <c r="F36" s="21">
        <v>0</v>
      </c>
      <c r="G36" s="30">
        <v>30000</v>
      </c>
      <c r="H36" s="30">
        <v>30000</v>
      </c>
      <c r="I36" s="30">
        <v>30000</v>
      </c>
      <c r="J36" s="30">
        <v>30000</v>
      </c>
      <c r="K36" s="30">
        <v>30000</v>
      </c>
      <c r="L36" s="30">
        <v>30000</v>
      </c>
      <c r="M36" s="30">
        <v>30000</v>
      </c>
      <c r="N36" s="30">
        <v>30000</v>
      </c>
      <c r="O36" s="30">
        <v>30000</v>
      </c>
      <c r="P36" s="30">
        <v>30000</v>
      </c>
    </row>
    <row r="37" spans="1:34" x14ac:dyDescent="0.25">
      <c r="A37" t="s">
        <v>367</v>
      </c>
      <c r="B37" s="1">
        <v>42</v>
      </c>
      <c r="C37" t="s">
        <v>182</v>
      </c>
      <c r="D37" s="1" t="s">
        <v>16</v>
      </c>
      <c r="G37" s="30">
        <v>7000</v>
      </c>
      <c r="H37" s="30"/>
      <c r="I37" s="30"/>
      <c r="J37" s="30"/>
      <c r="K37" s="30"/>
      <c r="L37" s="30"/>
      <c r="M37" s="30"/>
      <c r="N37" s="30"/>
      <c r="O37" s="30"/>
      <c r="P37" s="30"/>
    </row>
    <row r="38" spans="1:34" x14ac:dyDescent="0.25">
      <c r="A38" t="s">
        <v>367</v>
      </c>
      <c r="B38" s="1">
        <v>42</v>
      </c>
      <c r="C38" t="s">
        <v>183</v>
      </c>
      <c r="D38" s="1" t="s">
        <v>16</v>
      </c>
      <c r="G38" s="30">
        <v>8300</v>
      </c>
      <c r="H38" s="30"/>
      <c r="I38" s="30"/>
      <c r="J38" s="30"/>
      <c r="K38" s="30"/>
      <c r="L38" s="30"/>
      <c r="M38" s="30"/>
      <c r="N38" s="30"/>
      <c r="O38" s="30"/>
      <c r="P38" s="30"/>
    </row>
    <row r="39" spans="1:34" x14ac:dyDescent="0.25">
      <c r="A39" t="s">
        <v>367</v>
      </c>
      <c r="B39" s="1">
        <v>55</v>
      </c>
      <c r="C39" t="s">
        <v>357</v>
      </c>
      <c r="D39" s="1" t="s">
        <v>16</v>
      </c>
      <c r="G39" s="30">
        <v>15000</v>
      </c>
      <c r="H39" s="30"/>
      <c r="I39" s="30"/>
      <c r="J39" s="30"/>
      <c r="K39" s="30"/>
      <c r="L39" s="30"/>
      <c r="M39" s="30"/>
      <c r="N39" s="30"/>
      <c r="O39" s="30"/>
      <c r="P39" s="30"/>
    </row>
    <row r="40" spans="1:34" x14ac:dyDescent="0.25">
      <c r="A40" t="s">
        <v>367</v>
      </c>
      <c r="B40" s="1">
        <v>43</v>
      </c>
      <c r="C40" t="s">
        <v>185</v>
      </c>
      <c r="D40" s="1" t="s">
        <v>16</v>
      </c>
      <c r="G40" s="30">
        <v>19662</v>
      </c>
      <c r="H40" s="30">
        <v>19662</v>
      </c>
      <c r="I40" s="30">
        <v>19662</v>
      </c>
      <c r="J40" s="30">
        <v>19662</v>
      </c>
      <c r="K40" s="30">
        <v>19662</v>
      </c>
      <c r="L40" s="30"/>
      <c r="M40" s="30"/>
      <c r="N40" s="30"/>
      <c r="O40" s="30"/>
      <c r="P40" s="30"/>
    </row>
    <row r="41" spans="1:34" x14ac:dyDescent="0.25">
      <c r="A41" t="s">
        <v>367</v>
      </c>
      <c r="B41" s="1">
        <v>43</v>
      </c>
      <c r="C41" t="s">
        <v>186</v>
      </c>
      <c r="D41" s="1" t="s">
        <v>16</v>
      </c>
      <c r="G41" s="30"/>
      <c r="H41" s="30"/>
      <c r="I41" s="30">
        <v>26564</v>
      </c>
      <c r="J41" s="30">
        <v>26564</v>
      </c>
      <c r="K41" s="30">
        <v>26564</v>
      </c>
      <c r="L41" s="30">
        <v>26564</v>
      </c>
      <c r="M41" s="30">
        <v>26564</v>
      </c>
      <c r="N41" s="30"/>
      <c r="O41" s="30"/>
      <c r="P41" s="30"/>
    </row>
    <row r="42" spans="1:34" x14ac:dyDescent="0.25">
      <c r="A42" t="s">
        <v>367</v>
      </c>
      <c r="B42" s="1">
        <v>43</v>
      </c>
      <c r="C42" t="s">
        <v>187</v>
      </c>
      <c r="D42" s="1" t="s">
        <v>16</v>
      </c>
      <c r="G42" s="30"/>
      <c r="H42" s="30"/>
      <c r="I42" s="30"/>
      <c r="J42" s="30"/>
      <c r="K42" s="30"/>
      <c r="L42" s="30"/>
      <c r="M42" s="30">
        <v>12035</v>
      </c>
      <c r="N42" s="30">
        <v>12035</v>
      </c>
      <c r="O42" s="30">
        <v>12035</v>
      </c>
      <c r="P42" s="30">
        <v>12035</v>
      </c>
    </row>
    <row r="43" spans="1:34" x14ac:dyDescent="0.25">
      <c r="A43" t="s">
        <v>367</v>
      </c>
      <c r="B43" s="1">
        <v>43</v>
      </c>
      <c r="C43" t="s">
        <v>308</v>
      </c>
      <c r="D43" s="1" t="s">
        <v>16</v>
      </c>
      <c r="F43" s="6">
        <v>6419</v>
      </c>
      <c r="G43" s="30">
        <v>6419</v>
      </c>
      <c r="H43" s="30">
        <v>6419</v>
      </c>
      <c r="I43" s="30"/>
      <c r="J43" s="30"/>
      <c r="K43" s="30"/>
      <c r="L43" s="30"/>
      <c r="M43" s="30"/>
      <c r="N43" s="30"/>
      <c r="O43" s="30"/>
      <c r="P43" s="30"/>
    </row>
    <row r="44" spans="1:34" x14ac:dyDescent="0.25">
      <c r="A44" t="s">
        <v>367</v>
      </c>
      <c r="B44" s="1">
        <v>43</v>
      </c>
      <c r="C44" t="s">
        <v>350</v>
      </c>
      <c r="D44" s="1" t="s">
        <v>16</v>
      </c>
      <c r="G44" s="30"/>
      <c r="H44" s="30">
        <v>45000</v>
      </c>
      <c r="I44" s="30"/>
      <c r="J44" s="30"/>
      <c r="K44" s="30"/>
      <c r="L44" s="30"/>
      <c r="M44" s="30"/>
      <c r="N44" s="30"/>
      <c r="O44" s="30"/>
      <c r="P44" s="30"/>
    </row>
    <row r="45" spans="1:34" x14ac:dyDescent="0.25">
      <c r="A45" t="s">
        <v>367</v>
      </c>
      <c r="B45" s="1">
        <v>44</v>
      </c>
      <c r="C45" t="s">
        <v>353</v>
      </c>
      <c r="D45" s="1" t="s">
        <v>16</v>
      </c>
      <c r="G45" s="30"/>
      <c r="H45" s="30">
        <v>35000</v>
      </c>
      <c r="I45" s="30"/>
      <c r="J45" s="30"/>
      <c r="K45" s="30"/>
      <c r="L45" s="30"/>
      <c r="M45" s="30"/>
      <c r="N45" s="30"/>
      <c r="O45" s="30"/>
      <c r="P45" s="30"/>
    </row>
    <row r="46" spans="1:34" x14ac:dyDescent="0.25">
      <c r="A46" t="s">
        <v>367</v>
      </c>
      <c r="B46" s="1">
        <v>44</v>
      </c>
      <c r="C46" t="s">
        <v>188</v>
      </c>
      <c r="D46" s="1" t="s">
        <v>16</v>
      </c>
      <c r="G46" s="30"/>
      <c r="H46" s="30">
        <v>30000</v>
      </c>
      <c r="I46" s="30"/>
      <c r="J46" s="30"/>
      <c r="K46" s="30"/>
      <c r="L46" s="30"/>
      <c r="M46" s="30"/>
      <c r="N46" s="30"/>
      <c r="O46" s="30"/>
      <c r="P46" s="30"/>
    </row>
    <row r="47" spans="1:34" x14ac:dyDescent="0.25">
      <c r="A47" t="s">
        <v>368</v>
      </c>
      <c r="B47" s="1">
        <v>53</v>
      </c>
      <c r="C47" t="s">
        <v>189</v>
      </c>
      <c r="D47" s="1" t="s">
        <v>16</v>
      </c>
      <c r="G47" s="30"/>
      <c r="H47" s="30">
        <v>5426</v>
      </c>
      <c r="I47" s="30">
        <v>5698</v>
      </c>
      <c r="J47" s="30">
        <v>5984</v>
      </c>
      <c r="K47" s="30">
        <v>6287</v>
      </c>
      <c r="L47" s="30">
        <v>6500</v>
      </c>
      <c r="M47" s="30">
        <v>6500</v>
      </c>
      <c r="N47" s="30">
        <v>6500</v>
      </c>
      <c r="O47" s="30">
        <v>6500</v>
      </c>
      <c r="P47" s="30">
        <v>6500</v>
      </c>
    </row>
    <row r="48" spans="1:34" x14ac:dyDescent="0.25">
      <c r="A48" t="s">
        <v>368</v>
      </c>
      <c r="B48" s="1">
        <v>53</v>
      </c>
      <c r="C48" t="s">
        <v>190</v>
      </c>
      <c r="D48" s="1" t="s">
        <v>16</v>
      </c>
      <c r="G48" s="30">
        <v>6587</v>
      </c>
      <c r="H48" s="30">
        <v>6844</v>
      </c>
      <c r="I48" s="30">
        <v>7114</v>
      </c>
      <c r="J48" s="30">
        <v>4257</v>
      </c>
      <c r="K48" s="30">
        <v>7505</v>
      </c>
      <c r="L48" s="30">
        <v>7250</v>
      </c>
      <c r="M48" s="30">
        <v>7250</v>
      </c>
      <c r="N48" s="30">
        <v>7250</v>
      </c>
      <c r="O48" s="30">
        <v>7250</v>
      </c>
      <c r="P48" s="30">
        <v>7250</v>
      </c>
    </row>
    <row r="50" spans="1:16" x14ac:dyDescent="0.25">
      <c r="C50" s="5" t="s">
        <v>394</v>
      </c>
    </row>
    <row r="51" spans="1:16" x14ac:dyDescent="0.25">
      <c r="A51" t="s">
        <v>315</v>
      </c>
      <c r="B51" s="20" t="s">
        <v>210</v>
      </c>
      <c r="C51" t="s">
        <v>204</v>
      </c>
      <c r="D51" s="1" t="s">
        <v>16</v>
      </c>
      <c r="F51" s="21">
        <v>3450</v>
      </c>
      <c r="G51" s="6">
        <v>100179</v>
      </c>
      <c r="H51" s="6">
        <v>181679</v>
      </c>
      <c r="I51" s="6">
        <f>23640+20000</f>
        <v>43640</v>
      </c>
      <c r="J51" s="6">
        <v>46500</v>
      </c>
      <c r="K51" s="6">
        <v>96700</v>
      </c>
      <c r="L51" s="6">
        <v>56500</v>
      </c>
      <c r="M51" s="6">
        <v>25200</v>
      </c>
      <c r="N51" s="6">
        <v>55200</v>
      </c>
      <c r="O51" s="6">
        <v>75900</v>
      </c>
      <c r="P51" s="6">
        <v>186900</v>
      </c>
    </row>
    <row r="52" spans="1:16" x14ac:dyDescent="0.25">
      <c r="A52" t="s">
        <v>315</v>
      </c>
      <c r="B52" s="20" t="s">
        <v>210</v>
      </c>
      <c r="C52" t="s">
        <v>360</v>
      </c>
      <c r="D52" s="1" t="s">
        <v>16</v>
      </c>
      <c r="G52" s="6">
        <f>215000*0.25</f>
        <v>53750</v>
      </c>
    </row>
    <row r="53" spans="1:16" x14ac:dyDescent="0.25">
      <c r="A53" t="s">
        <v>315</v>
      </c>
      <c r="B53" s="20" t="s">
        <v>209</v>
      </c>
      <c r="C53" t="s">
        <v>107</v>
      </c>
      <c r="D53" s="1" t="s">
        <v>16</v>
      </c>
      <c r="G53" s="6">
        <v>50000</v>
      </c>
      <c r="H53" s="6">
        <v>50000</v>
      </c>
      <c r="I53" s="6">
        <v>50000</v>
      </c>
      <c r="J53" s="6">
        <v>50000</v>
      </c>
      <c r="K53" s="6">
        <v>50000</v>
      </c>
      <c r="L53" s="6">
        <v>50000</v>
      </c>
      <c r="M53" s="6">
        <v>50000</v>
      </c>
      <c r="N53" s="6">
        <v>50000</v>
      </c>
      <c r="O53" s="6">
        <v>50000</v>
      </c>
      <c r="P53" s="6">
        <v>50000</v>
      </c>
    </row>
    <row r="54" spans="1:16" x14ac:dyDescent="0.25">
      <c r="A54" t="s">
        <v>317</v>
      </c>
      <c r="B54" s="1">
        <v>17</v>
      </c>
      <c r="C54" t="s">
        <v>311</v>
      </c>
      <c r="D54" s="1" t="s">
        <v>38</v>
      </c>
      <c r="G54" s="30"/>
      <c r="H54" s="30">
        <v>200000</v>
      </c>
      <c r="I54" s="30"/>
      <c r="P54"/>
    </row>
    <row r="55" spans="1:16" x14ac:dyDescent="0.25">
      <c r="A55" t="s">
        <v>316</v>
      </c>
      <c r="B55" s="1">
        <v>31</v>
      </c>
      <c r="C55" t="s">
        <v>370</v>
      </c>
      <c r="D55" s="1" t="s">
        <v>16</v>
      </c>
      <c r="G55" s="30">
        <v>68000</v>
      </c>
      <c r="H55" s="30">
        <v>68000</v>
      </c>
      <c r="I55" s="30">
        <v>68000</v>
      </c>
      <c r="J55" s="6">
        <v>68000</v>
      </c>
      <c r="K55" s="6">
        <v>68000</v>
      </c>
      <c r="L55" s="6">
        <v>68000</v>
      </c>
      <c r="M55" s="6">
        <v>68000</v>
      </c>
      <c r="N55" s="6">
        <v>68000</v>
      </c>
      <c r="O55" s="6">
        <v>68000</v>
      </c>
      <c r="P55" s="6">
        <v>68000</v>
      </c>
    </row>
    <row r="56" spans="1:16" x14ac:dyDescent="0.25">
      <c r="A56" t="s">
        <v>316</v>
      </c>
      <c r="B56" s="1">
        <v>31</v>
      </c>
      <c r="C56" t="s">
        <v>150</v>
      </c>
      <c r="D56" s="1" t="s">
        <v>37</v>
      </c>
      <c r="G56" s="30"/>
      <c r="H56" s="21">
        <v>100000</v>
      </c>
      <c r="I56" s="30"/>
      <c r="P56"/>
    </row>
    <row r="57" spans="1:16" x14ac:dyDescent="0.25">
      <c r="A57" t="s">
        <v>316</v>
      </c>
      <c r="B57" s="1">
        <v>31</v>
      </c>
      <c r="C57" t="s">
        <v>152</v>
      </c>
      <c r="D57" s="1" t="s">
        <v>16</v>
      </c>
      <c r="G57" s="30"/>
      <c r="H57" s="30"/>
      <c r="I57" s="30">
        <v>200000</v>
      </c>
      <c r="P57"/>
    </row>
    <row r="58" spans="1:16" x14ac:dyDescent="0.25">
      <c r="A58" t="s">
        <v>316</v>
      </c>
      <c r="B58" s="1">
        <v>31</v>
      </c>
      <c r="C58" t="s">
        <v>313</v>
      </c>
      <c r="D58" s="1" t="s">
        <v>37</v>
      </c>
      <c r="G58" s="30"/>
      <c r="H58" s="30"/>
      <c r="I58" s="30"/>
      <c r="J58" s="6">
        <v>75000</v>
      </c>
      <c r="K58" s="6">
        <v>75000</v>
      </c>
      <c r="P58"/>
    </row>
    <row r="59" spans="1:16" x14ac:dyDescent="0.25">
      <c r="A59" t="s">
        <v>316</v>
      </c>
      <c r="B59" s="1">
        <v>31</v>
      </c>
      <c r="C59" t="s">
        <v>102</v>
      </c>
      <c r="D59" s="1" t="s">
        <v>19</v>
      </c>
      <c r="F59" s="6">
        <v>500000</v>
      </c>
    </row>
    <row r="60" spans="1:16" x14ac:dyDescent="0.25">
      <c r="A60" t="s">
        <v>316</v>
      </c>
      <c r="B60" s="1">
        <v>31</v>
      </c>
      <c r="C60" t="s">
        <v>312</v>
      </c>
      <c r="D60" s="1" t="s">
        <v>19</v>
      </c>
      <c r="I60" s="21">
        <v>1000000</v>
      </c>
    </row>
    <row r="61" spans="1:16" x14ac:dyDescent="0.25">
      <c r="A61" t="s">
        <v>316</v>
      </c>
      <c r="B61" s="1">
        <v>32</v>
      </c>
      <c r="C61" t="s">
        <v>103</v>
      </c>
      <c r="D61" s="1" t="s">
        <v>19</v>
      </c>
      <c r="F61" s="6">
        <v>1600000</v>
      </c>
    </row>
    <row r="62" spans="1:16" x14ac:dyDescent="0.25">
      <c r="A62" t="s">
        <v>316</v>
      </c>
      <c r="B62" s="1">
        <v>31</v>
      </c>
      <c r="C62" t="s">
        <v>154</v>
      </c>
      <c r="D62" s="1" t="s">
        <v>16</v>
      </c>
      <c r="H62" s="6">
        <v>50000</v>
      </c>
      <c r="P62"/>
    </row>
    <row r="63" spans="1:16" x14ac:dyDescent="0.25">
      <c r="A63" t="s">
        <v>316</v>
      </c>
      <c r="B63" s="1">
        <v>32</v>
      </c>
      <c r="C63" t="s">
        <v>160</v>
      </c>
      <c r="D63" s="1" t="s">
        <v>16</v>
      </c>
      <c r="H63" s="6">
        <v>60000</v>
      </c>
      <c r="P63"/>
    </row>
    <row r="64" spans="1:16" x14ac:dyDescent="0.25">
      <c r="A64" t="s">
        <v>316</v>
      </c>
      <c r="B64" s="1">
        <v>32</v>
      </c>
      <c r="C64" t="s">
        <v>162</v>
      </c>
      <c r="D64" s="1" t="s">
        <v>16</v>
      </c>
      <c r="I64" s="6">
        <v>250000</v>
      </c>
      <c r="P64"/>
    </row>
    <row r="65" spans="1:17" s="26" customFormat="1" x14ac:dyDescent="0.25">
      <c r="A65" t="s">
        <v>316</v>
      </c>
      <c r="B65" s="31">
        <v>32</v>
      </c>
      <c r="C65" s="26" t="s">
        <v>170</v>
      </c>
      <c r="D65" s="31" t="s">
        <v>16</v>
      </c>
      <c r="F65" s="30"/>
      <c r="G65" s="30"/>
      <c r="H65" s="30"/>
      <c r="I65" s="30"/>
      <c r="J65" s="30">
        <v>85000</v>
      </c>
      <c r="K65" s="30"/>
      <c r="L65" s="30"/>
      <c r="M65" s="30"/>
      <c r="N65" s="30"/>
      <c r="O65" s="30"/>
    </row>
    <row r="66" spans="1:17" s="26" customFormat="1" x14ac:dyDescent="0.25">
      <c r="A66" t="s">
        <v>316</v>
      </c>
      <c r="B66" s="31">
        <v>32</v>
      </c>
      <c r="C66" s="26" t="s">
        <v>173</v>
      </c>
      <c r="D66" s="31" t="s">
        <v>16</v>
      </c>
      <c r="F66" s="30"/>
      <c r="G66" s="30">
        <v>138000</v>
      </c>
      <c r="H66" s="30"/>
      <c r="I66" s="30"/>
      <c r="J66" s="30"/>
      <c r="K66" s="30"/>
      <c r="L66" s="30"/>
      <c r="M66" s="30"/>
      <c r="N66" s="30"/>
      <c r="O66" s="30"/>
      <c r="P66" s="6">
        <f>AVERAGE(E66:N66)</f>
        <v>138000</v>
      </c>
      <c r="Q66" s="38"/>
    </row>
    <row r="67" spans="1:17" s="26" customFormat="1" x14ac:dyDescent="0.25">
      <c r="A67" t="s">
        <v>366</v>
      </c>
      <c r="B67" s="31">
        <v>35</v>
      </c>
      <c r="C67" s="26" t="s">
        <v>319</v>
      </c>
      <c r="D67" s="31" t="s">
        <v>16</v>
      </c>
      <c r="F67" s="30"/>
      <c r="G67" s="30">
        <v>100000</v>
      </c>
      <c r="H67" s="30"/>
      <c r="I67" s="30"/>
      <c r="J67" s="30"/>
      <c r="K67" s="30"/>
      <c r="L67" s="30"/>
      <c r="M67" s="30"/>
      <c r="N67" s="30"/>
      <c r="O67" s="30"/>
      <c r="Q67" s="38"/>
    </row>
    <row r="68" spans="1:17" x14ac:dyDescent="0.25">
      <c r="A68" t="s">
        <v>366</v>
      </c>
      <c r="B68" s="1">
        <v>36</v>
      </c>
      <c r="C68" t="s">
        <v>178</v>
      </c>
      <c r="D68" s="1" t="s">
        <v>38</v>
      </c>
      <c r="G68" s="6">
        <v>50000</v>
      </c>
      <c r="P68"/>
      <c r="Q68" s="8"/>
    </row>
    <row r="69" spans="1:17" x14ac:dyDescent="0.25">
      <c r="A69" t="s">
        <v>366</v>
      </c>
      <c r="B69" s="1">
        <v>36</v>
      </c>
      <c r="C69" t="s">
        <v>179</v>
      </c>
      <c r="D69" s="1" t="s">
        <v>38</v>
      </c>
      <c r="G69" s="6">
        <v>120000</v>
      </c>
      <c r="H69" s="6">
        <v>120000</v>
      </c>
      <c r="I69" s="6">
        <v>120000</v>
      </c>
      <c r="J69" s="6">
        <v>120000</v>
      </c>
      <c r="K69" s="6">
        <v>120000</v>
      </c>
      <c r="L69" s="6">
        <v>120000</v>
      </c>
      <c r="M69" s="6">
        <v>120000</v>
      </c>
      <c r="N69" s="6">
        <v>120000</v>
      </c>
      <c r="O69" s="6">
        <v>120000</v>
      </c>
      <c r="P69" s="6">
        <v>120000</v>
      </c>
      <c r="Q69" s="8"/>
    </row>
    <row r="70" spans="1:17" x14ac:dyDescent="0.25">
      <c r="A70" t="s">
        <v>366</v>
      </c>
      <c r="B70" s="1">
        <v>36</v>
      </c>
      <c r="C70" t="s">
        <v>324</v>
      </c>
      <c r="D70" s="1" t="s">
        <v>38</v>
      </c>
      <c r="H70" s="6">
        <v>150000</v>
      </c>
      <c r="I70" s="6">
        <v>150000</v>
      </c>
      <c r="J70" s="6">
        <v>150000</v>
      </c>
      <c r="K70" s="6">
        <v>150000</v>
      </c>
      <c r="L70" s="6">
        <v>150000</v>
      </c>
      <c r="M70" s="6">
        <v>150000</v>
      </c>
      <c r="N70" s="6">
        <v>150000</v>
      </c>
      <c r="O70" s="6">
        <v>150000</v>
      </c>
      <c r="P70" s="6">
        <f>AVERAGE(E70:N70)</f>
        <v>150000</v>
      </c>
      <c r="Q70" s="8"/>
    </row>
    <row r="71" spans="1:17" x14ac:dyDescent="0.25">
      <c r="A71" t="s">
        <v>366</v>
      </c>
      <c r="B71" s="1">
        <v>36</v>
      </c>
      <c r="C71" t="s">
        <v>322</v>
      </c>
      <c r="D71" s="1" t="s">
        <v>16</v>
      </c>
      <c r="H71" s="6">
        <v>100000</v>
      </c>
      <c r="I71" s="6">
        <v>100000</v>
      </c>
    </row>
    <row r="72" spans="1:17" x14ac:dyDescent="0.25">
      <c r="A72" t="s">
        <v>366</v>
      </c>
      <c r="B72" s="31">
        <v>36</v>
      </c>
      <c r="C72" s="26" t="s">
        <v>325</v>
      </c>
      <c r="D72" s="31" t="s">
        <v>16</v>
      </c>
      <c r="E72" s="26"/>
      <c r="F72" s="30"/>
      <c r="G72" s="30"/>
      <c r="H72" s="30">
        <v>150000</v>
      </c>
      <c r="I72" s="30"/>
      <c r="J72" s="30"/>
      <c r="K72" s="30"/>
      <c r="L72" s="30"/>
      <c r="M72" s="30"/>
      <c r="N72" s="30"/>
      <c r="O72" s="30"/>
      <c r="P72" s="30"/>
      <c r="Q72" s="52"/>
    </row>
    <row r="73" spans="1:17" x14ac:dyDescent="0.25">
      <c r="A73" t="s">
        <v>366</v>
      </c>
      <c r="B73" s="31">
        <v>36</v>
      </c>
      <c r="C73" s="26" t="s">
        <v>110</v>
      </c>
      <c r="D73" s="31" t="s">
        <v>19</v>
      </c>
      <c r="E73" s="26"/>
      <c r="F73" s="30"/>
      <c r="G73" s="30">
        <v>1400000</v>
      </c>
      <c r="H73" s="30"/>
      <c r="I73" s="30"/>
      <c r="J73" s="30"/>
      <c r="K73" s="30"/>
      <c r="L73" s="30"/>
      <c r="M73" s="30"/>
      <c r="N73" s="30"/>
      <c r="O73" s="30"/>
      <c r="P73" s="30"/>
    </row>
    <row r="74" spans="1:17" x14ac:dyDescent="0.25">
      <c r="A74" t="s">
        <v>367</v>
      </c>
      <c r="B74" s="1">
        <v>42</v>
      </c>
      <c r="C74" t="s">
        <v>184</v>
      </c>
      <c r="D74" s="1" t="s">
        <v>16</v>
      </c>
      <c r="H74" s="6">
        <v>78000</v>
      </c>
    </row>
    <row r="75" spans="1:17" x14ac:dyDescent="0.25">
      <c r="A75" t="s">
        <v>367</v>
      </c>
      <c r="B75" s="1">
        <v>44</v>
      </c>
      <c r="C75" t="s">
        <v>352</v>
      </c>
      <c r="D75" s="1" t="s">
        <v>16</v>
      </c>
      <c r="I75" s="6">
        <v>50000</v>
      </c>
    </row>
    <row r="77" spans="1:17" x14ac:dyDescent="0.25">
      <c r="C77" s="5" t="s">
        <v>431</v>
      </c>
    </row>
    <row r="78" spans="1:17" x14ac:dyDescent="0.25">
      <c r="A78" t="s">
        <v>367</v>
      </c>
      <c r="B78" s="27">
        <v>44</v>
      </c>
      <c r="C78" s="28" t="s">
        <v>252</v>
      </c>
      <c r="D78" s="27" t="s">
        <v>19</v>
      </c>
      <c r="E78" s="28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>
        <v>1000000</v>
      </c>
    </row>
    <row r="79" spans="1:17" x14ac:dyDescent="0.25">
      <c r="A79" t="s">
        <v>366</v>
      </c>
      <c r="B79" s="27">
        <v>35</v>
      </c>
      <c r="C79" s="28" t="s">
        <v>181</v>
      </c>
      <c r="D79" s="27" t="s">
        <v>19</v>
      </c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>
        <v>5000000</v>
      </c>
    </row>
    <row r="80" spans="1:17" x14ac:dyDescent="0.25">
      <c r="A80" t="s">
        <v>316</v>
      </c>
      <c r="B80" s="27">
        <v>32</v>
      </c>
      <c r="C80" s="28" t="s">
        <v>392</v>
      </c>
      <c r="D80" s="27" t="s">
        <v>19</v>
      </c>
      <c r="E80" s="28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>
        <v>18000000</v>
      </c>
    </row>
    <row r="81" spans="1:17" x14ac:dyDescent="0.25">
      <c r="A81" t="s">
        <v>367</v>
      </c>
      <c r="B81" s="27">
        <v>42</v>
      </c>
      <c r="C81" s="28" t="s">
        <v>111</v>
      </c>
      <c r="D81" s="27" t="s">
        <v>19</v>
      </c>
      <c r="E81" s="28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8"/>
      <c r="Q81" s="29">
        <v>20000000</v>
      </c>
    </row>
    <row r="82" spans="1:17" x14ac:dyDescent="0.25">
      <c r="A82" t="s">
        <v>367</v>
      </c>
      <c r="B82" s="27">
        <v>43</v>
      </c>
      <c r="C82" s="28" t="s">
        <v>351</v>
      </c>
      <c r="D82" s="27" t="s">
        <v>13</v>
      </c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8"/>
      <c r="Q82" s="29">
        <v>875000</v>
      </c>
    </row>
    <row r="83" spans="1:17" x14ac:dyDescent="0.25">
      <c r="A83" t="s">
        <v>315</v>
      </c>
      <c r="B83" s="27">
        <v>17</v>
      </c>
      <c r="C83" s="28" t="s">
        <v>147</v>
      </c>
      <c r="D83" s="27" t="s">
        <v>19</v>
      </c>
      <c r="E83" s="28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8"/>
      <c r="Q83" s="29">
        <v>1000000</v>
      </c>
    </row>
    <row r="84" spans="1:17" x14ac:dyDescent="0.25">
      <c r="A84" t="s">
        <v>367</v>
      </c>
      <c r="B84" s="27">
        <v>45</v>
      </c>
      <c r="C84" s="28" t="s">
        <v>26</v>
      </c>
      <c r="D84" s="27" t="s">
        <v>19</v>
      </c>
      <c r="E84" s="28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8"/>
      <c r="Q84" s="29">
        <v>2500000</v>
      </c>
    </row>
    <row r="85" spans="1:17" x14ac:dyDescent="0.25">
      <c r="A85" t="s">
        <v>367</v>
      </c>
      <c r="B85" s="27">
        <v>45</v>
      </c>
      <c r="C85" s="28" t="s">
        <v>33</v>
      </c>
      <c r="D85" s="27" t="s">
        <v>19</v>
      </c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8"/>
      <c r="Q85" s="29">
        <v>2500000</v>
      </c>
    </row>
    <row r="86" spans="1:17" x14ac:dyDescent="0.25">
      <c r="A86" t="s">
        <v>367</v>
      </c>
      <c r="B86" s="27">
        <v>45</v>
      </c>
      <c r="C86" s="28" t="s">
        <v>41</v>
      </c>
      <c r="D86" s="27" t="s">
        <v>16</v>
      </c>
      <c r="E86" s="2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8"/>
      <c r="Q86" s="29">
        <v>500000</v>
      </c>
    </row>
    <row r="87" spans="1:17" x14ac:dyDescent="0.25">
      <c r="A87" t="s">
        <v>367</v>
      </c>
      <c r="B87" s="27">
        <v>45</v>
      </c>
      <c r="C87" s="28" t="s">
        <v>43</v>
      </c>
      <c r="D87" s="27" t="s">
        <v>16</v>
      </c>
      <c r="E87" s="2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8"/>
      <c r="Q87" s="29">
        <v>300000</v>
      </c>
    </row>
    <row r="88" spans="1:17" x14ac:dyDescent="0.25">
      <c r="A88" t="s">
        <v>367</v>
      </c>
      <c r="B88" s="27">
        <v>45</v>
      </c>
      <c r="C88" s="28" t="s">
        <v>44</v>
      </c>
      <c r="D88" s="27" t="s">
        <v>19</v>
      </c>
      <c r="E88" s="28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>
        <v>1500000</v>
      </c>
    </row>
    <row r="89" spans="1:17" s="4" customFormat="1" ht="15.75" thickBot="1" x14ac:dyDescent="0.3">
      <c r="B89" s="2"/>
      <c r="C89" s="4" t="s">
        <v>36</v>
      </c>
      <c r="D89" s="2"/>
      <c r="F89" s="9">
        <f t="shared" ref="F89:Q89" si="0">SUM(F9:F88)</f>
        <v>2115869</v>
      </c>
      <c r="G89" s="9">
        <f t="shared" si="0"/>
        <v>2329297</v>
      </c>
      <c r="H89" s="9">
        <f t="shared" si="0"/>
        <v>1681530</v>
      </c>
      <c r="I89" s="9">
        <f t="shared" si="0"/>
        <v>2270678</v>
      </c>
      <c r="J89" s="9">
        <f t="shared" si="0"/>
        <v>795967</v>
      </c>
      <c r="K89" s="9">
        <f t="shared" si="0"/>
        <v>723718</v>
      </c>
      <c r="L89" s="9">
        <f t="shared" si="0"/>
        <v>571814</v>
      </c>
      <c r="M89" s="9">
        <f t="shared" si="0"/>
        <v>542249</v>
      </c>
      <c r="N89" s="9">
        <f t="shared" si="0"/>
        <v>569685</v>
      </c>
      <c r="O89" s="9">
        <f t="shared" si="0"/>
        <v>591185</v>
      </c>
      <c r="P89" s="9">
        <f t="shared" si="0"/>
        <v>819185</v>
      </c>
      <c r="Q89" s="93">
        <f t="shared" si="0"/>
        <v>53175000</v>
      </c>
    </row>
    <row r="90" spans="1:17" ht="15.75" thickTop="1" x14ac:dyDescent="0.25"/>
    <row r="91" spans="1:17" x14ac:dyDescent="0.25">
      <c r="C91" s="5" t="s">
        <v>1</v>
      </c>
    </row>
    <row r="92" spans="1:17" x14ac:dyDescent="0.25">
      <c r="A92" t="s">
        <v>1</v>
      </c>
      <c r="B92" s="1">
        <v>61</v>
      </c>
      <c r="C92" t="s">
        <v>360</v>
      </c>
      <c r="D92" s="1" t="s">
        <v>16</v>
      </c>
      <c r="F92" s="30"/>
      <c r="G92" s="30">
        <f>215000*0.75</f>
        <v>161250</v>
      </c>
      <c r="H92" s="30"/>
      <c r="I92" s="30"/>
      <c r="J92" s="30"/>
      <c r="K92" s="30"/>
      <c r="L92" s="30"/>
      <c r="M92" s="30"/>
      <c r="N92" s="30"/>
      <c r="O92" s="30"/>
      <c r="P92" s="30"/>
    </row>
    <row r="93" spans="1:17" x14ac:dyDescent="0.25">
      <c r="A93" t="s">
        <v>1</v>
      </c>
      <c r="B93" s="31">
        <v>61</v>
      </c>
      <c r="C93" s="26" t="s">
        <v>365</v>
      </c>
      <c r="D93" s="31" t="s">
        <v>16</v>
      </c>
      <c r="E93" s="26"/>
      <c r="F93" s="30"/>
      <c r="G93" s="30"/>
      <c r="H93" s="21">
        <v>300000</v>
      </c>
      <c r="I93" s="21">
        <v>300000</v>
      </c>
      <c r="J93" s="21">
        <v>300000</v>
      </c>
      <c r="K93" s="21">
        <v>300000</v>
      </c>
      <c r="L93" s="21">
        <v>300000</v>
      </c>
      <c r="M93" s="21">
        <v>300000</v>
      </c>
      <c r="N93" s="21">
        <v>300000</v>
      </c>
      <c r="O93" s="21">
        <v>300000</v>
      </c>
      <c r="P93" s="21">
        <v>300000</v>
      </c>
    </row>
    <row r="95" spans="1:17" s="4" customFormat="1" ht="15.75" thickBot="1" x14ac:dyDescent="0.3">
      <c r="B95" s="2"/>
      <c r="C95" s="4" t="s">
        <v>34</v>
      </c>
      <c r="D95" s="2"/>
      <c r="F95" s="9">
        <f t="shared" ref="F95:P95" si="1">SUM(F92:F94)</f>
        <v>0</v>
      </c>
      <c r="G95" s="9">
        <f t="shared" si="1"/>
        <v>161250</v>
      </c>
      <c r="H95" s="9">
        <f t="shared" si="1"/>
        <v>300000</v>
      </c>
      <c r="I95" s="9">
        <f t="shared" si="1"/>
        <v>300000</v>
      </c>
      <c r="J95" s="9">
        <f t="shared" si="1"/>
        <v>300000</v>
      </c>
      <c r="K95" s="9">
        <f t="shared" si="1"/>
        <v>300000</v>
      </c>
      <c r="L95" s="9">
        <f t="shared" si="1"/>
        <v>300000</v>
      </c>
      <c r="M95" s="9">
        <f t="shared" si="1"/>
        <v>300000</v>
      </c>
      <c r="N95" s="9">
        <f t="shared" si="1"/>
        <v>300000</v>
      </c>
      <c r="O95" s="9">
        <f t="shared" si="1"/>
        <v>300000</v>
      </c>
      <c r="P95" s="9">
        <f t="shared" si="1"/>
        <v>300000</v>
      </c>
    </row>
    <row r="96" spans="1:17" ht="15.75" thickTop="1" x14ac:dyDescent="0.25"/>
    <row r="97" spans="2:16" s="4" customFormat="1" x14ac:dyDescent="0.25">
      <c r="B97" s="2"/>
      <c r="C97" s="4" t="s">
        <v>35</v>
      </c>
      <c r="D97" s="2"/>
      <c r="F97" s="10">
        <f t="shared" ref="F97:P97" si="2">F95+F89</f>
        <v>2115869</v>
      </c>
      <c r="G97" s="10">
        <f t="shared" si="2"/>
        <v>2490547</v>
      </c>
      <c r="H97" s="10">
        <f t="shared" si="2"/>
        <v>1981530</v>
      </c>
      <c r="I97" s="10">
        <f t="shared" si="2"/>
        <v>2570678</v>
      </c>
      <c r="J97" s="10">
        <f t="shared" si="2"/>
        <v>1095967</v>
      </c>
      <c r="K97" s="10">
        <f t="shared" si="2"/>
        <v>1023718</v>
      </c>
      <c r="L97" s="10">
        <f t="shared" si="2"/>
        <v>871814</v>
      </c>
      <c r="M97" s="10">
        <f t="shared" si="2"/>
        <v>842249</v>
      </c>
      <c r="N97" s="10">
        <f t="shared" si="2"/>
        <v>869685</v>
      </c>
      <c r="O97" s="10">
        <f t="shared" si="2"/>
        <v>891185</v>
      </c>
      <c r="P97" s="10">
        <f t="shared" si="2"/>
        <v>1119185</v>
      </c>
    </row>
    <row r="98" spans="2:16" x14ac:dyDescent="0.25"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2:16" x14ac:dyDescent="0.25">
      <c r="C99" s="28" t="s">
        <v>395</v>
      </c>
      <c r="D99" s="27"/>
      <c r="E99" s="28"/>
      <c r="F99" s="29">
        <f t="shared" ref="F99:P99" si="3">SUM(F11:F48)</f>
        <v>12419</v>
      </c>
      <c r="G99" s="29">
        <f t="shared" si="3"/>
        <v>249368</v>
      </c>
      <c r="H99" s="29">
        <f t="shared" si="3"/>
        <v>373851</v>
      </c>
      <c r="I99" s="29">
        <f t="shared" si="3"/>
        <v>239038</v>
      </c>
      <c r="J99" s="29">
        <f t="shared" si="3"/>
        <v>201467</v>
      </c>
      <c r="K99" s="29">
        <f t="shared" si="3"/>
        <v>164018</v>
      </c>
      <c r="L99" s="29">
        <f t="shared" si="3"/>
        <v>127314</v>
      </c>
      <c r="M99" s="29">
        <f t="shared" si="3"/>
        <v>129049</v>
      </c>
      <c r="N99" s="29">
        <f t="shared" si="3"/>
        <v>126485</v>
      </c>
      <c r="O99" s="29">
        <f t="shared" si="3"/>
        <v>127285</v>
      </c>
      <c r="P99" s="29">
        <f t="shared" si="3"/>
        <v>106285</v>
      </c>
    </row>
    <row r="100" spans="2:16" x14ac:dyDescent="0.25">
      <c r="C100" s="28" t="s">
        <v>396</v>
      </c>
      <c r="D100" s="27"/>
      <c r="E100" s="28"/>
      <c r="F100" s="29">
        <f>SUM(F51:F75)+SUM(F92:F94)</f>
        <v>2103450</v>
      </c>
      <c r="G100" s="29">
        <f>SUM(G51:G75)+SUM(G92:G94)</f>
        <v>2241179</v>
      </c>
      <c r="H100" s="29">
        <f t="shared" ref="H100:P100" si="4">SUM(H51:H75)+SUM(H92:H94)</f>
        <v>1607679</v>
      </c>
      <c r="I100" s="29">
        <f t="shared" si="4"/>
        <v>2331640</v>
      </c>
      <c r="J100" s="29">
        <f t="shared" si="4"/>
        <v>894500</v>
      </c>
      <c r="K100" s="29">
        <f t="shared" si="4"/>
        <v>859700</v>
      </c>
      <c r="L100" s="29">
        <f t="shared" si="4"/>
        <v>744500</v>
      </c>
      <c r="M100" s="29">
        <f t="shared" si="4"/>
        <v>713200</v>
      </c>
      <c r="N100" s="29">
        <f t="shared" si="4"/>
        <v>743200</v>
      </c>
      <c r="O100" s="29">
        <f t="shared" si="4"/>
        <v>763900</v>
      </c>
      <c r="P100" s="29">
        <f t="shared" si="4"/>
        <v>1012900</v>
      </c>
    </row>
    <row r="101" spans="2:16" ht="15.75" thickBot="1" x14ac:dyDescent="0.3">
      <c r="F101" s="7">
        <f>SUM(F99:F100)</f>
        <v>2115869</v>
      </c>
      <c r="G101" s="7">
        <f t="shared" ref="G101:P101" si="5">SUM(G99:G100)</f>
        <v>2490547</v>
      </c>
      <c r="H101" s="7">
        <f t="shared" si="5"/>
        <v>1981530</v>
      </c>
      <c r="I101" s="7">
        <f t="shared" si="5"/>
        <v>2570678</v>
      </c>
      <c r="J101" s="7">
        <f t="shared" si="5"/>
        <v>1095967</v>
      </c>
      <c r="K101" s="7">
        <f t="shared" si="5"/>
        <v>1023718</v>
      </c>
      <c r="L101" s="7">
        <f t="shared" si="5"/>
        <v>871814</v>
      </c>
      <c r="M101" s="7">
        <f t="shared" si="5"/>
        <v>842249</v>
      </c>
      <c r="N101" s="7">
        <f t="shared" si="5"/>
        <v>869685</v>
      </c>
      <c r="O101" s="7">
        <f t="shared" si="5"/>
        <v>891185</v>
      </c>
      <c r="P101" s="7">
        <f t="shared" si="5"/>
        <v>1119185</v>
      </c>
    </row>
    <row r="102" spans="2:16" ht="15.75" thickTop="1" x14ac:dyDescent="0.25">
      <c r="F102" s="8">
        <f>F101-F97</f>
        <v>0</v>
      </c>
      <c r="G102" s="8">
        <f t="shared" ref="G102:P102" si="6">G101-G97</f>
        <v>0</v>
      </c>
      <c r="H102" s="8">
        <f t="shared" si="6"/>
        <v>0</v>
      </c>
      <c r="I102" s="8">
        <f t="shared" si="6"/>
        <v>0</v>
      </c>
      <c r="J102" s="8">
        <f t="shared" si="6"/>
        <v>0</v>
      </c>
      <c r="K102" s="8">
        <f t="shared" si="6"/>
        <v>0</v>
      </c>
      <c r="L102" s="8">
        <f t="shared" si="6"/>
        <v>0</v>
      </c>
      <c r="M102" s="8">
        <f t="shared" si="6"/>
        <v>0</v>
      </c>
      <c r="N102" s="8">
        <f t="shared" si="6"/>
        <v>0</v>
      </c>
      <c r="O102" s="8">
        <f t="shared" si="6"/>
        <v>0</v>
      </c>
      <c r="P102" s="8">
        <f t="shared" si="6"/>
        <v>0</v>
      </c>
    </row>
    <row r="104" spans="2:16" x14ac:dyDescent="0.25">
      <c r="C104" t="s">
        <v>16</v>
      </c>
      <c r="F104" s="6">
        <f t="shared" ref="F104:P110" si="7">SUMIF($D$9:$D$94,$C104,F$9:F$94)</f>
        <v>15869</v>
      </c>
      <c r="G104" s="6">
        <f t="shared" si="7"/>
        <v>859547</v>
      </c>
      <c r="H104" s="6">
        <f t="shared" si="7"/>
        <v>1411530</v>
      </c>
      <c r="I104" s="6">
        <f t="shared" si="7"/>
        <v>1300678</v>
      </c>
      <c r="J104" s="6">
        <f t="shared" si="7"/>
        <v>734967</v>
      </c>
      <c r="K104" s="6">
        <f t="shared" si="7"/>
        <v>678718</v>
      </c>
      <c r="L104" s="6">
        <f t="shared" si="7"/>
        <v>601814</v>
      </c>
      <c r="M104" s="6">
        <f t="shared" si="7"/>
        <v>572249</v>
      </c>
      <c r="N104" s="6">
        <f t="shared" si="7"/>
        <v>599685</v>
      </c>
      <c r="O104" s="6">
        <f t="shared" si="7"/>
        <v>621185</v>
      </c>
      <c r="P104" s="6">
        <f t="shared" si="7"/>
        <v>849185</v>
      </c>
    </row>
    <row r="105" spans="2:16" x14ac:dyDescent="0.25">
      <c r="C105" t="s">
        <v>37</v>
      </c>
      <c r="F105" s="6">
        <f t="shared" si="7"/>
        <v>0</v>
      </c>
      <c r="G105" s="6">
        <f t="shared" si="7"/>
        <v>0</v>
      </c>
      <c r="H105" s="6">
        <f t="shared" si="7"/>
        <v>100000</v>
      </c>
      <c r="I105" s="6">
        <f t="shared" si="7"/>
        <v>0</v>
      </c>
      <c r="J105" s="6">
        <f t="shared" si="7"/>
        <v>75000</v>
      </c>
      <c r="K105" s="6">
        <f t="shared" si="7"/>
        <v>75000</v>
      </c>
      <c r="L105" s="6">
        <f t="shared" si="7"/>
        <v>0</v>
      </c>
      <c r="M105" s="6">
        <f t="shared" si="7"/>
        <v>0</v>
      </c>
      <c r="N105" s="6">
        <f t="shared" si="7"/>
        <v>0</v>
      </c>
      <c r="O105" s="6">
        <f t="shared" si="7"/>
        <v>0</v>
      </c>
      <c r="P105" s="6">
        <f t="shared" si="7"/>
        <v>0</v>
      </c>
    </row>
    <row r="106" spans="2:16" x14ac:dyDescent="0.25">
      <c r="C106" t="s">
        <v>38</v>
      </c>
      <c r="F106" s="6">
        <f t="shared" si="7"/>
        <v>0</v>
      </c>
      <c r="G106" s="6">
        <f t="shared" si="7"/>
        <v>170000</v>
      </c>
      <c r="H106" s="6">
        <f t="shared" si="7"/>
        <v>470000</v>
      </c>
      <c r="I106" s="6">
        <f t="shared" si="7"/>
        <v>270000</v>
      </c>
      <c r="J106" s="6">
        <f t="shared" si="7"/>
        <v>270000</v>
      </c>
      <c r="K106" s="6">
        <f t="shared" si="7"/>
        <v>270000</v>
      </c>
      <c r="L106" s="6">
        <f t="shared" si="7"/>
        <v>270000</v>
      </c>
      <c r="M106" s="6">
        <f t="shared" si="7"/>
        <v>270000</v>
      </c>
      <c r="N106" s="6">
        <f t="shared" si="7"/>
        <v>270000</v>
      </c>
      <c r="O106" s="6">
        <f t="shared" si="7"/>
        <v>270000</v>
      </c>
      <c r="P106" s="6">
        <f t="shared" si="7"/>
        <v>270000</v>
      </c>
    </row>
    <row r="107" spans="2:16" x14ac:dyDescent="0.25">
      <c r="C107" t="s">
        <v>19</v>
      </c>
      <c r="F107" s="6">
        <f t="shared" si="7"/>
        <v>2100000</v>
      </c>
      <c r="G107" s="6">
        <f t="shared" si="7"/>
        <v>1400000</v>
      </c>
      <c r="H107" s="6">
        <f t="shared" si="7"/>
        <v>0</v>
      </c>
      <c r="I107" s="6">
        <f t="shared" si="7"/>
        <v>1000000</v>
      </c>
      <c r="J107" s="6">
        <f t="shared" si="7"/>
        <v>0</v>
      </c>
      <c r="K107" s="6">
        <f t="shared" si="7"/>
        <v>0</v>
      </c>
      <c r="L107" s="6">
        <f t="shared" si="7"/>
        <v>0</v>
      </c>
      <c r="M107" s="6">
        <f t="shared" si="7"/>
        <v>0</v>
      </c>
      <c r="N107" s="6">
        <f t="shared" si="7"/>
        <v>0</v>
      </c>
      <c r="O107" s="6">
        <f t="shared" si="7"/>
        <v>0</v>
      </c>
      <c r="P107" s="6">
        <f t="shared" si="7"/>
        <v>0</v>
      </c>
    </row>
    <row r="108" spans="2:16" x14ac:dyDescent="0.25">
      <c r="C108" t="s">
        <v>243</v>
      </c>
      <c r="F108" s="6">
        <f t="shared" si="7"/>
        <v>0</v>
      </c>
      <c r="G108" s="6">
        <f t="shared" si="7"/>
        <v>61000</v>
      </c>
      <c r="H108" s="6">
        <f t="shared" si="7"/>
        <v>0</v>
      </c>
      <c r="I108" s="6">
        <f t="shared" si="7"/>
        <v>0</v>
      </c>
      <c r="J108" s="6">
        <f t="shared" si="7"/>
        <v>16000</v>
      </c>
      <c r="K108" s="6">
        <f t="shared" si="7"/>
        <v>0</v>
      </c>
      <c r="L108" s="6">
        <f t="shared" si="7"/>
        <v>0</v>
      </c>
      <c r="M108" s="6">
        <f t="shared" si="7"/>
        <v>0</v>
      </c>
      <c r="N108" s="6">
        <f t="shared" si="7"/>
        <v>0</v>
      </c>
      <c r="O108" s="6">
        <f t="shared" si="7"/>
        <v>0</v>
      </c>
      <c r="P108" s="6">
        <f t="shared" si="7"/>
        <v>0</v>
      </c>
    </row>
    <row r="109" spans="2:16" x14ac:dyDescent="0.25">
      <c r="C109" t="s">
        <v>13</v>
      </c>
      <c r="F109" s="6">
        <f t="shared" si="7"/>
        <v>0</v>
      </c>
      <c r="G109" s="6">
        <f t="shared" si="7"/>
        <v>0</v>
      </c>
      <c r="H109" s="6">
        <f t="shared" si="7"/>
        <v>0</v>
      </c>
      <c r="I109" s="6">
        <f t="shared" si="7"/>
        <v>0</v>
      </c>
      <c r="J109" s="6">
        <f t="shared" si="7"/>
        <v>0</v>
      </c>
      <c r="K109" s="6">
        <f t="shared" si="7"/>
        <v>0</v>
      </c>
      <c r="L109" s="6">
        <f t="shared" si="7"/>
        <v>0</v>
      </c>
      <c r="M109" s="6">
        <f t="shared" si="7"/>
        <v>0</v>
      </c>
      <c r="N109" s="6">
        <f t="shared" si="7"/>
        <v>0</v>
      </c>
      <c r="O109" s="6">
        <f t="shared" si="7"/>
        <v>0</v>
      </c>
      <c r="P109" s="6">
        <f t="shared" si="7"/>
        <v>0</v>
      </c>
    </row>
    <row r="110" spans="2:16" x14ac:dyDescent="0.25">
      <c r="C110" t="s">
        <v>50</v>
      </c>
      <c r="F110" s="6">
        <f t="shared" si="7"/>
        <v>0</v>
      </c>
      <c r="G110" s="6">
        <f t="shared" si="7"/>
        <v>0</v>
      </c>
      <c r="H110" s="6">
        <f t="shared" si="7"/>
        <v>0</v>
      </c>
      <c r="I110" s="6">
        <f t="shared" si="7"/>
        <v>0</v>
      </c>
      <c r="J110" s="6">
        <f t="shared" si="7"/>
        <v>0</v>
      </c>
      <c r="K110" s="6">
        <f t="shared" si="7"/>
        <v>0</v>
      </c>
      <c r="L110" s="6">
        <f t="shared" si="7"/>
        <v>0</v>
      </c>
      <c r="M110" s="6">
        <f t="shared" si="7"/>
        <v>0</v>
      </c>
      <c r="N110" s="6">
        <f t="shared" si="7"/>
        <v>0</v>
      </c>
      <c r="O110" s="6">
        <f t="shared" si="7"/>
        <v>0</v>
      </c>
      <c r="P110" s="6">
        <f t="shared" si="7"/>
        <v>0</v>
      </c>
    </row>
    <row r="111" spans="2:16" ht="15.75" thickBot="1" x14ac:dyDescent="0.3">
      <c r="F111" s="7">
        <f t="shared" ref="F111:P111" si="8">SUM(F104:F110)</f>
        <v>2115869</v>
      </c>
      <c r="G111" s="7">
        <f t="shared" si="8"/>
        <v>2490547</v>
      </c>
      <c r="H111" s="7">
        <f t="shared" si="8"/>
        <v>1981530</v>
      </c>
      <c r="I111" s="7">
        <f t="shared" si="8"/>
        <v>2570678</v>
      </c>
      <c r="J111" s="7">
        <f t="shared" si="8"/>
        <v>1095967</v>
      </c>
      <c r="K111" s="7">
        <f t="shared" si="8"/>
        <v>1023718</v>
      </c>
      <c r="L111" s="7">
        <f t="shared" si="8"/>
        <v>871814</v>
      </c>
      <c r="M111" s="7">
        <f t="shared" si="8"/>
        <v>842249</v>
      </c>
      <c r="N111" s="7">
        <f t="shared" si="8"/>
        <v>869685</v>
      </c>
      <c r="O111" s="7">
        <f t="shared" si="8"/>
        <v>891185</v>
      </c>
      <c r="P111" s="7">
        <f t="shared" si="8"/>
        <v>1119185</v>
      </c>
    </row>
    <row r="112" spans="2:16" ht="15.75" thickTop="1" x14ac:dyDescent="0.25">
      <c r="F112" s="8">
        <f>F111-F97</f>
        <v>0</v>
      </c>
      <c r="G112" s="8">
        <f t="shared" ref="G112:P112" si="9">G111-G97</f>
        <v>0</v>
      </c>
      <c r="H112" s="8">
        <f t="shared" si="9"/>
        <v>0</v>
      </c>
      <c r="I112" s="8">
        <f t="shared" si="9"/>
        <v>0</v>
      </c>
      <c r="J112" s="8">
        <f t="shared" si="9"/>
        <v>0</v>
      </c>
      <c r="K112" s="8">
        <f t="shared" si="9"/>
        <v>0</v>
      </c>
      <c r="L112" s="8">
        <f t="shared" si="9"/>
        <v>0</v>
      </c>
      <c r="M112" s="8">
        <f t="shared" si="9"/>
        <v>0</v>
      </c>
      <c r="N112" s="8">
        <f t="shared" si="9"/>
        <v>0</v>
      </c>
      <c r="O112" s="8">
        <f t="shared" si="9"/>
        <v>0</v>
      </c>
      <c r="P112" s="8">
        <f t="shared" si="9"/>
        <v>0</v>
      </c>
    </row>
    <row r="115" spans="3:16" x14ac:dyDescent="0.25">
      <c r="C115" s="72" t="s">
        <v>315</v>
      </c>
      <c r="D115" s="73"/>
      <c r="E115" s="74"/>
      <c r="F115" s="75">
        <f t="shared" ref="F115:P121" si="10">SUMIF($A$9:$A$97,$C115,F$9:F$97)</f>
        <v>3450</v>
      </c>
      <c r="G115" s="75">
        <f t="shared" si="10"/>
        <v>203929</v>
      </c>
      <c r="H115" s="75">
        <f t="shared" si="10"/>
        <v>231679</v>
      </c>
      <c r="I115" s="75">
        <f t="shared" si="10"/>
        <v>93640</v>
      </c>
      <c r="J115" s="75">
        <f t="shared" si="10"/>
        <v>96500</v>
      </c>
      <c r="K115" s="75">
        <f t="shared" si="10"/>
        <v>146700</v>
      </c>
      <c r="L115" s="75">
        <f t="shared" si="10"/>
        <v>106500</v>
      </c>
      <c r="M115" s="75">
        <f t="shared" si="10"/>
        <v>75200</v>
      </c>
      <c r="N115" s="75">
        <f t="shared" si="10"/>
        <v>105200</v>
      </c>
      <c r="O115" s="75">
        <f t="shared" si="10"/>
        <v>125900</v>
      </c>
      <c r="P115" s="75">
        <f t="shared" si="10"/>
        <v>236900</v>
      </c>
    </row>
    <row r="116" spans="3:16" x14ac:dyDescent="0.25">
      <c r="C116" s="72" t="s">
        <v>317</v>
      </c>
      <c r="D116" s="73"/>
      <c r="E116" s="74"/>
      <c r="F116" s="75">
        <f t="shared" si="10"/>
        <v>0</v>
      </c>
      <c r="G116" s="75">
        <f t="shared" si="10"/>
        <v>25000</v>
      </c>
      <c r="H116" s="75">
        <f t="shared" si="10"/>
        <v>200000</v>
      </c>
      <c r="I116" s="75">
        <f t="shared" si="10"/>
        <v>0</v>
      </c>
      <c r="J116" s="75">
        <f t="shared" si="10"/>
        <v>0</v>
      </c>
      <c r="K116" s="75">
        <f t="shared" si="10"/>
        <v>0</v>
      </c>
      <c r="L116" s="75">
        <f t="shared" si="10"/>
        <v>0</v>
      </c>
      <c r="M116" s="75">
        <f t="shared" si="10"/>
        <v>0</v>
      </c>
      <c r="N116" s="75">
        <f t="shared" si="10"/>
        <v>0</v>
      </c>
      <c r="O116" s="75">
        <f t="shared" si="10"/>
        <v>0</v>
      </c>
      <c r="P116" s="75">
        <f t="shared" si="10"/>
        <v>0</v>
      </c>
    </row>
    <row r="117" spans="3:16" x14ac:dyDescent="0.25">
      <c r="C117" s="72" t="s">
        <v>316</v>
      </c>
      <c r="D117" s="73"/>
      <c r="E117" s="74"/>
      <c r="F117" s="75">
        <f t="shared" si="10"/>
        <v>2106000</v>
      </c>
      <c r="G117" s="75">
        <f t="shared" si="10"/>
        <v>297400</v>
      </c>
      <c r="H117" s="75">
        <f t="shared" si="10"/>
        <v>408500</v>
      </c>
      <c r="I117" s="75">
        <f t="shared" si="10"/>
        <v>1613000</v>
      </c>
      <c r="J117" s="75">
        <f t="shared" si="10"/>
        <v>303000</v>
      </c>
      <c r="K117" s="75">
        <f t="shared" si="10"/>
        <v>177000</v>
      </c>
      <c r="L117" s="75">
        <f t="shared" si="10"/>
        <v>85000</v>
      </c>
      <c r="M117" s="75">
        <f t="shared" si="10"/>
        <v>74700</v>
      </c>
      <c r="N117" s="75">
        <f t="shared" si="10"/>
        <v>98700</v>
      </c>
      <c r="O117" s="75">
        <f t="shared" si="10"/>
        <v>99500</v>
      </c>
      <c r="P117" s="75">
        <f t="shared" si="10"/>
        <v>216500</v>
      </c>
    </row>
    <row r="118" spans="3:16" x14ac:dyDescent="0.25">
      <c r="C118" s="72" t="s">
        <v>366</v>
      </c>
      <c r="D118" s="73"/>
      <c r="E118" s="74"/>
      <c r="F118" s="75">
        <f t="shared" si="10"/>
        <v>0</v>
      </c>
      <c r="G118" s="75">
        <f t="shared" si="10"/>
        <v>1740000</v>
      </c>
      <c r="H118" s="75">
        <f t="shared" si="10"/>
        <v>615000</v>
      </c>
      <c r="I118" s="75">
        <f t="shared" si="10"/>
        <v>455000</v>
      </c>
      <c r="J118" s="75">
        <f t="shared" si="10"/>
        <v>340000</v>
      </c>
      <c r="K118" s="75">
        <f t="shared" si="10"/>
        <v>340000</v>
      </c>
      <c r="L118" s="75">
        <f t="shared" si="10"/>
        <v>340000</v>
      </c>
      <c r="M118" s="75">
        <f t="shared" si="10"/>
        <v>340000</v>
      </c>
      <c r="N118" s="75">
        <f t="shared" si="10"/>
        <v>340000</v>
      </c>
      <c r="O118" s="75">
        <f t="shared" si="10"/>
        <v>340000</v>
      </c>
      <c r="P118" s="75">
        <f t="shared" si="10"/>
        <v>340000</v>
      </c>
    </row>
    <row r="119" spans="3:16" x14ac:dyDescent="0.25">
      <c r="C119" s="72" t="s">
        <v>367</v>
      </c>
      <c r="D119" s="73"/>
      <c r="E119" s="74"/>
      <c r="F119" s="75">
        <f t="shared" si="10"/>
        <v>6419</v>
      </c>
      <c r="G119" s="75">
        <f t="shared" si="10"/>
        <v>56381</v>
      </c>
      <c r="H119" s="75">
        <f t="shared" si="10"/>
        <v>214081</v>
      </c>
      <c r="I119" s="75">
        <f t="shared" si="10"/>
        <v>96226</v>
      </c>
      <c r="J119" s="75">
        <f t="shared" si="10"/>
        <v>46226</v>
      </c>
      <c r="K119" s="75">
        <f t="shared" si="10"/>
        <v>46226</v>
      </c>
      <c r="L119" s="75">
        <f t="shared" si="10"/>
        <v>26564</v>
      </c>
      <c r="M119" s="75">
        <f t="shared" si="10"/>
        <v>38599</v>
      </c>
      <c r="N119" s="75">
        <f t="shared" si="10"/>
        <v>12035</v>
      </c>
      <c r="O119" s="75">
        <f t="shared" si="10"/>
        <v>12035</v>
      </c>
      <c r="P119" s="75">
        <f t="shared" si="10"/>
        <v>12035</v>
      </c>
    </row>
    <row r="120" spans="3:16" x14ac:dyDescent="0.25">
      <c r="C120" s="72" t="s">
        <v>368</v>
      </c>
      <c r="D120" s="73"/>
      <c r="E120" s="74"/>
      <c r="F120" s="75">
        <f t="shared" si="10"/>
        <v>0</v>
      </c>
      <c r="G120" s="75">
        <f t="shared" si="10"/>
        <v>6587</v>
      </c>
      <c r="H120" s="75">
        <f t="shared" si="10"/>
        <v>12270</v>
      </c>
      <c r="I120" s="75">
        <f t="shared" si="10"/>
        <v>12812</v>
      </c>
      <c r="J120" s="75">
        <f t="shared" si="10"/>
        <v>10241</v>
      </c>
      <c r="K120" s="75">
        <f t="shared" si="10"/>
        <v>13792</v>
      </c>
      <c r="L120" s="75">
        <f t="shared" si="10"/>
        <v>13750</v>
      </c>
      <c r="M120" s="75">
        <f t="shared" si="10"/>
        <v>13750</v>
      </c>
      <c r="N120" s="75">
        <f t="shared" si="10"/>
        <v>13750</v>
      </c>
      <c r="O120" s="75">
        <f t="shared" si="10"/>
        <v>13750</v>
      </c>
      <c r="P120" s="75">
        <f t="shared" si="10"/>
        <v>13750</v>
      </c>
    </row>
    <row r="121" spans="3:16" x14ac:dyDescent="0.25">
      <c r="C121" s="72" t="s">
        <v>1</v>
      </c>
      <c r="D121" s="73"/>
      <c r="E121" s="74"/>
      <c r="F121" s="75">
        <f t="shared" si="10"/>
        <v>0</v>
      </c>
      <c r="G121" s="75">
        <f t="shared" si="10"/>
        <v>161250</v>
      </c>
      <c r="H121" s="75">
        <f t="shared" si="10"/>
        <v>300000</v>
      </c>
      <c r="I121" s="75">
        <f t="shared" si="10"/>
        <v>300000</v>
      </c>
      <c r="J121" s="75">
        <f t="shared" si="10"/>
        <v>300000</v>
      </c>
      <c r="K121" s="75">
        <f t="shared" si="10"/>
        <v>300000</v>
      </c>
      <c r="L121" s="75">
        <f t="shared" si="10"/>
        <v>300000</v>
      </c>
      <c r="M121" s="75">
        <f t="shared" si="10"/>
        <v>300000</v>
      </c>
      <c r="N121" s="75">
        <f t="shared" si="10"/>
        <v>300000</v>
      </c>
      <c r="O121" s="75">
        <f t="shared" si="10"/>
        <v>300000</v>
      </c>
      <c r="P121" s="75">
        <f t="shared" si="10"/>
        <v>300000</v>
      </c>
    </row>
    <row r="122" spans="3:16" ht="15.75" thickBot="1" x14ac:dyDescent="0.3">
      <c r="C122" s="74"/>
      <c r="D122" s="73"/>
      <c r="E122" s="74"/>
      <c r="F122" s="76">
        <f>SUM(F115:F121)</f>
        <v>2115869</v>
      </c>
      <c r="G122" s="76">
        <f t="shared" ref="G122:P122" si="11">SUM(G115:G121)</f>
        <v>2490547</v>
      </c>
      <c r="H122" s="76">
        <f t="shared" si="11"/>
        <v>1981530</v>
      </c>
      <c r="I122" s="76">
        <f t="shared" si="11"/>
        <v>2570678</v>
      </c>
      <c r="J122" s="76">
        <f t="shared" si="11"/>
        <v>1095967</v>
      </c>
      <c r="K122" s="76">
        <f t="shared" si="11"/>
        <v>1023718</v>
      </c>
      <c r="L122" s="76">
        <f t="shared" si="11"/>
        <v>871814</v>
      </c>
      <c r="M122" s="76">
        <f t="shared" si="11"/>
        <v>842249</v>
      </c>
      <c r="N122" s="76">
        <f t="shared" si="11"/>
        <v>869685</v>
      </c>
      <c r="O122" s="76">
        <f t="shared" si="11"/>
        <v>891185</v>
      </c>
      <c r="P122" s="76">
        <f t="shared" si="11"/>
        <v>1119185</v>
      </c>
    </row>
    <row r="123" spans="3:16" ht="15.75" thickTop="1" x14ac:dyDescent="0.25">
      <c r="F123" s="8">
        <f>F122-F111</f>
        <v>0</v>
      </c>
      <c r="G123" s="8">
        <f t="shared" ref="G123:P123" si="12">G122-G111</f>
        <v>0</v>
      </c>
      <c r="H123" s="8">
        <f t="shared" si="12"/>
        <v>0</v>
      </c>
      <c r="I123" s="8">
        <f t="shared" si="12"/>
        <v>0</v>
      </c>
      <c r="J123" s="8">
        <f t="shared" si="12"/>
        <v>0</v>
      </c>
      <c r="K123" s="8">
        <f t="shared" si="12"/>
        <v>0</v>
      </c>
      <c r="L123" s="8">
        <f t="shared" si="12"/>
        <v>0</v>
      </c>
      <c r="M123" s="8">
        <f t="shared" si="12"/>
        <v>0</v>
      </c>
      <c r="N123" s="8">
        <f t="shared" si="12"/>
        <v>0</v>
      </c>
      <c r="O123" s="8">
        <f t="shared" si="12"/>
        <v>0</v>
      </c>
      <c r="P123" s="8">
        <f t="shared" si="12"/>
        <v>0</v>
      </c>
    </row>
    <row r="124" spans="3:16" x14ac:dyDescent="0.25">
      <c r="F124" s="8"/>
    </row>
    <row r="125" spans="3:16" x14ac:dyDescent="0.25">
      <c r="C125" t="s">
        <v>55</v>
      </c>
    </row>
    <row r="126" spans="3:16" x14ac:dyDescent="0.25">
      <c r="C126" t="s">
        <v>56</v>
      </c>
    </row>
    <row r="127" spans="3:16" x14ac:dyDescent="0.25">
      <c r="C127" t="s">
        <v>371</v>
      </c>
    </row>
    <row r="128" spans="3:16" x14ac:dyDescent="0.25">
      <c r="C128" t="s">
        <v>57</v>
      </c>
    </row>
    <row r="129" spans="3:3" x14ac:dyDescent="0.25">
      <c r="C129" t="s">
        <v>244</v>
      </c>
    </row>
    <row r="130" spans="3:3" x14ac:dyDescent="0.25">
      <c r="C130" t="s">
        <v>58</v>
      </c>
    </row>
    <row r="131" spans="3:3" x14ac:dyDescent="0.25">
      <c r="C131" t="s">
        <v>59</v>
      </c>
    </row>
  </sheetData>
  <pageMargins left="0.4" right="0.4" top="0.4" bottom="0.4" header="0" footer="0"/>
  <pageSetup scale="37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84"/>
  <sheetViews>
    <sheetView topLeftCell="A7" workbookViewId="0">
      <selection activeCell="G68" sqref="G68"/>
    </sheetView>
  </sheetViews>
  <sheetFormatPr defaultRowHeight="15" outlineLevelRow="1" x14ac:dyDescent="0.25"/>
  <cols>
    <col min="1" max="1" width="76" customWidth="1"/>
    <col min="2" max="2" width="8.28515625" style="1" customWidth="1"/>
    <col min="3" max="3" width="2.85546875" customWidth="1"/>
    <col min="4" max="4" width="11.140625" style="6" bestFit="1" customWidth="1"/>
    <col min="5" max="6" width="10.140625" style="6" bestFit="1" customWidth="1"/>
    <col min="7" max="7" width="9.140625" style="6"/>
    <col min="8" max="11" width="10.140625" style="6" bestFit="1" customWidth="1"/>
    <col min="12" max="12" width="9.140625" style="6"/>
    <col min="13" max="13" width="10.140625" style="6" bestFit="1" customWidth="1"/>
    <col min="14" max="14" width="10.140625" style="6" customWidth="1"/>
    <col min="15" max="15" width="10.140625" bestFit="1" customWidth="1"/>
    <col min="16" max="16" width="62.42578125" customWidth="1"/>
    <col min="17" max="17" width="13.28515625" bestFit="1" customWidth="1"/>
  </cols>
  <sheetData>
    <row r="1" spans="1:14" ht="21" x14ac:dyDescent="0.35">
      <c r="A1" s="17" t="s">
        <v>62</v>
      </c>
    </row>
    <row r="2" spans="1:14" ht="21" x14ac:dyDescent="0.35">
      <c r="A2" s="17" t="s">
        <v>66</v>
      </c>
    </row>
    <row r="3" spans="1:14" ht="21" x14ac:dyDescent="0.35">
      <c r="A3" s="17" t="s">
        <v>64</v>
      </c>
      <c r="D3"/>
      <c r="E3"/>
      <c r="F3"/>
      <c r="G3"/>
      <c r="H3"/>
      <c r="I3"/>
      <c r="J3"/>
      <c r="K3"/>
      <c r="L3"/>
      <c r="M3"/>
      <c r="N3"/>
    </row>
    <row r="4" spans="1:14" x14ac:dyDescent="0.25">
      <c r="D4"/>
      <c r="E4"/>
      <c r="F4"/>
      <c r="G4"/>
      <c r="H4"/>
      <c r="I4"/>
      <c r="J4"/>
      <c r="K4"/>
      <c r="L4"/>
      <c r="M4"/>
      <c r="N4"/>
    </row>
    <row r="5" spans="1:14" x14ac:dyDescent="0.25">
      <c r="D5"/>
      <c r="E5"/>
      <c r="F5"/>
      <c r="G5"/>
      <c r="H5"/>
      <c r="I5"/>
      <c r="J5"/>
      <c r="K5"/>
      <c r="L5"/>
      <c r="M5"/>
      <c r="N5"/>
    </row>
    <row r="6" spans="1:14" x14ac:dyDescent="0.25"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45</v>
      </c>
    </row>
    <row r="7" spans="1:14" x14ac:dyDescent="0.25">
      <c r="D7"/>
      <c r="E7"/>
      <c r="F7"/>
      <c r="G7"/>
      <c r="H7"/>
      <c r="I7"/>
      <c r="J7"/>
      <c r="K7"/>
      <c r="L7"/>
      <c r="M7"/>
      <c r="N7"/>
    </row>
    <row r="8" spans="1:14" x14ac:dyDescent="0.25">
      <c r="A8" s="5" t="s">
        <v>0</v>
      </c>
      <c r="D8"/>
      <c r="E8"/>
      <c r="F8"/>
      <c r="G8"/>
      <c r="H8"/>
      <c r="I8"/>
      <c r="J8"/>
      <c r="K8"/>
      <c r="L8"/>
      <c r="M8"/>
      <c r="N8"/>
    </row>
    <row r="10" spans="1:14" x14ac:dyDescent="0.25">
      <c r="A10" s="5" t="s">
        <v>393</v>
      </c>
    </row>
    <row r="11" spans="1:14" x14ac:dyDescent="0.25">
      <c r="A11" t="s">
        <v>283</v>
      </c>
      <c r="B11" s="1" t="s">
        <v>16</v>
      </c>
      <c r="E11" s="30"/>
      <c r="F11" s="6">
        <v>30000</v>
      </c>
    </row>
    <row r="12" spans="1:14" x14ac:dyDescent="0.25">
      <c r="A12" t="s">
        <v>355</v>
      </c>
      <c r="B12" s="1" t="s">
        <v>16</v>
      </c>
      <c r="E12" s="6">
        <v>25000</v>
      </c>
      <c r="F12" s="6">
        <v>25000</v>
      </c>
      <c r="G12" s="6">
        <v>25000</v>
      </c>
      <c r="H12" s="6">
        <v>25000</v>
      </c>
      <c r="I12" s="6">
        <v>25000</v>
      </c>
      <c r="J12" s="6">
        <v>25000</v>
      </c>
      <c r="K12" s="6">
        <v>25000</v>
      </c>
      <c r="L12" s="6">
        <v>25000</v>
      </c>
      <c r="M12" s="6">
        <v>25000</v>
      </c>
      <c r="N12" s="6">
        <v>25000</v>
      </c>
    </row>
    <row r="13" spans="1:14" x14ac:dyDescent="0.25">
      <c r="A13" t="s">
        <v>356</v>
      </c>
      <c r="B13" s="1" t="s">
        <v>16</v>
      </c>
      <c r="E13" s="6">
        <v>20000</v>
      </c>
      <c r="F13" s="6">
        <v>20000</v>
      </c>
      <c r="G13" s="6">
        <v>20000</v>
      </c>
      <c r="H13" s="6">
        <v>20000</v>
      </c>
      <c r="I13" s="6">
        <v>20000</v>
      </c>
      <c r="J13" s="6">
        <v>20000</v>
      </c>
      <c r="K13" s="6">
        <v>20000</v>
      </c>
      <c r="L13" s="6">
        <v>20000</v>
      </c>
      <c r="M13" s="6">
        <v>20000</v>
      </c>
      <c r="N13" s="6">
        <v>20000</v>
      </c>
    </row>
    <row r="14" spans="1:14" x14ac:dyDescent="0.25">
      <c r="A14" t="s">
        <v>21</v>
      </c>
      <c r="B14" s="1" t="s">
        <v>16</v>
      </c>
      <c r="E14" s="6">
        <v>0</v>
      </c>
      <c r="F14" s="6">
        <v>23500</v>
      </c>
      <c r="G14" s="6">
        <v>23500</v>
      </c>
    </row>
    <row r="15" spans="1:14" x14ac:dyDescent="0.25">
      <c r="A15" t="s">
        <v>22</v>
      </c>
      <c r="B15" s="1" t="s">
        <v>16</v>
      </c>
      <c r="E15" s="6">
        <v>10000</v>
      </c>
    </row>
    <row r="16" spans="1:14" x14ac:dyDescent="0.25">
      <c r="A16" t="s">
        <v>23</v>
      </c>
      <c r="B16" s="1" t="s">
        <v>16</v>
      </c>
      <c r="E16" s="6">
        <v>15000</v>
      </c>
      <c r="G16" s="6">
        <v>15000</v>
      </c>
      <c r="J16" s="6">
        <v>15000</v>
      </c>
      <c r="M16" s="6">
        <v>15000</v>
      </c>
    </row>
    <row r="17" spans="1:16" x14ac:dyDescent="0.25">
      <c r="A17" t="s">
        <v>25</v>
      </c>
      <c r="B17" s="1" t="s">
        <v>16</v>
      </c>
      <c r="F17" s="6">
        <v>70000</v>
      </c>
      <c r="N17"/>
    </row>
    <row r="18" spans="1:16" x14ac:dyDescent="0.25">
      <c r="A18" t="s">
        <v>27</v>
      </c>
      <c r="B18" s="1" t="s">
        <v>16</v>
      </c>
      <c r="G18" s="6">
        <v>6000</v>
      </c>
      <c r="H18" s="6">
        <v>6000</v>
      </c>
      <c r="N18"/>
    </row>
    <row r="19" spans="1:16" x14ac:dyDescent="0.25">
      <c r="A19" t="s">
        <v>31</v>
      </c>
      <c r="B19" s="1" t="s">
        <v>16</v>
      </c>
      <c r="H19" s="6">
        <v>8000</v>
      </c>
      <c r="N19"/>
    </row>
    <row r="20" spans="1:16" x14ac:dyDescent="0.25">
      <c r="A20" t="s">
        <v>32</v>
      </c>
      <c r="B20" s="1" t="s">
        <v>16</v>
      </c>
      <c r="H20" s="6">
        <v>17000</v>
      </c>
      <c r="N20"/>
    </row>
    <row r="21" spans="1:16" x14ac:dyDescent="0.25">
      <c r="A21" t="s">
        <v>354</v>
      </c>
      <c r="B21" s="1" t="s">
        <v>16</v>
      </c>
      <c r="F21" s="6">
        <v>8000</v>
      </c>
      <c r="N21"/>
    </row>
    <row r="22" spans="1:16" x14ac:dyDescent="0.25">
      <c r="A22" t="s">
        <v>42</v>
      </c>
      <c r="B22" s="1" t="s">
        <v>16</v>
      </c>
      <c r="H22" s="6">
        <v>16000</v>
      </c>
      <c r="N22"/>
    </row>
    <row r="23" spans="1:16" x14ac:dyDescent="0.25">
      <c r="A23" t="s">
        <v>362</v>
      </c>
      <c r="B23" s="1" t="s">
        <v>16</v>
      </c>
      <c r="F23" s="6">
        <v>10000</v>
      </c>
      <c r="N23"/>
    </row>
    <row r="24" spans="1:16" x14ac:dyDescent="0.25">
      <c r="A24" t="s">
        <v>363</v>
      </c>
      <c r="B24" s="1" t="s">
        <v>16</v>
      </c>
      <c r="E24" s="30"/>
      <c r="G24" s="6">
        <v>25000</v>
      </c>
      <c r="N24"/>
    </row>
    <row r="25" spans="1:16" x14ac:dyDescent="0.25">
      <c r="A25" t="s">
        <v>30</v>
      </c>
      <c r="B25" s="1" t="s">
        <v>16</v>
      </c>
      <c r="H25" s="6">
        <v>15000</v>
      </c>
      <c r="N25"/>
    </row>
    <row r="26" spans="1:16" x14ac:dyDescent="0.25">
      <c r="N26"/>
    </row>
    <row r="27" spans="1:16" x14ac:dyDescent="0.25">
      <c r="A27" s="5" t="s">
        <v>394</v>
      </c>
      <c r="N27"/>
    </row>
    <row r="28" spans="1:16" x14ac:dyDescent="0.25">
      <c r="A28" t="s">
        <v>39</v>
      </c>
      <c r="B28" s="1" t="s">
        <v>16</v>
      </c>
      <c r="I28" s="6">
        <v>60000</v>
      </c>
      <c r="N28"/>
    </row>
    <row r="29" spans="1:16" x14ac:dyDescent="0.25">
      <c r="A29" t="s">
        <v>20</v>
      </c>
      <c r="B29" s="1" t="s">
        <v>16</v>
      </c>
      <c r="E29" s="6">
        <v>105000</v>
      </c>
    </row>
    <row r="30" spans="1:16" x14ac:dyDescent="0.25">
      <c r="A30" t="s">
        <v>14</v>
      </c>
      <c r="B30" s="1" t="s">
        <v>243</v>
      </c>
      <c r="D30" s="6">
        <v>85000</v>
      </c>
    </row>
    <row r="31" spans="1:16" x14ac:dyDescent="0.25">
      <c r="A31" t="s">
        <v>12</v>
      </c>
      <c r="B31" s="1" t="s">
        <v>16</v>
      </c>
      <c r="E31" s="21">
        <v>892000</v>
      </c>
      <c r="N31" s="21">
        <v>500000</v>
      </c>
      <c r="P31" t="s">
        <v>307</v>
      </c>
    </row>
    <row r="32" spans="1:16" x14ac:dyDescent="0.25">
      <c r="A32" t="s">
        <v>40</v>
      </c>
      <c r="B32" s="1" t="s">
        <v>16</v>
      </c>
      <c r="J32" s="6">
        <v>60000</v>
      </c>
      <c r="N32"/>
    </row>
    <row r="33" spans="1:17" x14ac:dyDescent="0.25">
      <c r="A33" t="s">
        <v>29</v>
      </c>
      <c r="B33" s="1" t="s">
        <v>16</v>
      </c>
      <c r="H33" s="6">
        <v>80000</v>
      </c>
      <c r="N33"/>
    </row>
    <row r="34" spans="1:17" x14ac:dyDescent="0.25">
      <c r="A34" t="s">
        <v>372</v>
      </c>
      <c r="B34" s="1" t="s">
        <v>16</v>
      </c>
      <c r="F34" s="6">
        <v>95000</v>
      </c>
      <c r="N34"/>
    </row>
    <row r="35" spans="1:17" x14ac:dyDescent="0.25">
      <c r="A35" t="s">
        <v>24</v>
      </c>
      <c r="B35" s="1" t="s">
        <v>19</v>
      </c>
      <c r="I35" s="6">
        <v>1500000</v>
      </c>
    </row>
    <row r="36" spans="1:17" hidden="1" outlineLevel="1" x14ac:dyDescent="0.25">
      <c r="A36" t="s">
        <v>26</v>
      </c>
      <c r="B36" s="1" t="s">
        <v>19</v>
      </c>
      <c r="N36"/>
      <c r="O36" s="6"/>
      <c r="P36" t="s">
        <v>387</v>
      </c>
    </row>
    <row r="37" spans="1:17" hidden="1" outlineLevel="1" x14ac:dyDescent="0.25">
      <c r="A37" t="s">
        <v>33</v>
      </c>
      <c r="B37" s="1" t="s">
        <v>19</v>
      </c>
      <c r="N37"/>
      <c r="O37" s="6"/>
      <c r="P37" t="s">
        <v>388</v>
      </c>
    </row>
    <row r="38" spans="1:17" hidden="1" outlineLevel="1" x14ac:dyDescent="0.25">
      <c r="A38" t="s">
        <v>41</v>
      </c>
      <c r="B38" s="1" t="s">
        <v>16</v>
      </c>
      <c r="N38"/>
      <c r="O38" s="6"/>
      <c r="P38" t="s">
        <v>389</v>
      </c>
    </row>
    <row r="39" spans="1:17" hidden="1" outlineLevel="1" x14ac:dyDescent="0.25">
      <c r="A39" t="s">
        <v>43</v>
      </c>
      <c r="B39" s="1" t="s">
        <v>16</v>
      </c>
      <c r="N39"/>
      <c r="O39" s="6"/>
      <c r="P39" t="s">
        <v>390</v>
      </c>
    </row>
    <row r="40" spans="1:17" hidden="1" outlineLevel="1" x14ac:dyDescent="0.25">
      <c r="A40" t="s">
        <v>44</v>
      </c>
      <c r="B40" s="1" t="s">
        <v>19</v>
      </c>
      <c r="N40"/>
      <c r="O40" s="6"/>
      <c r="P40" t="s">
        <v>391</v>
      </c>
    </row>
    <row r="41" spans="1:17" collapsed="1" x14ac:dyDescent="0.25"/>
    <row r="42" spans="1:17" x14ac:dyDescent="0.25">
      <c r="Q42" s="8"/>
    </row>
    <row r="43" spans="1:17" s="4" customFormat="1" ht="15.75" thickBot="1" x14ac:dyDescent="0.3">
      <c r="A43" s="4" t="s">
        <v>36</v>
      </c>
      <c r="B43" s="2"/>
      <c r="D43" s="9">
        <f t="shared" ref="D43:N43" si="0">SUM(D11:D42)</f>
        <v>85000</v>
      </c>
      <c r="E43" s="9">
        <f t="shared" si="0"/>
        <v>1067000</v>
      </c>
      <c r="F43" s="9">
        <f t="shared" si="0"/>
        <v>281500</v>
      </c>
      <c r="G43" s="9">
        <f t="shared" si="0"/>
        <v>114500</v>
      </c>
      <c r="H43" s="9">
        <f t="shared" si="0"/>
        <v>187000</v>
      </c>
      <c r="I43" s="9">
        <f t="shared" si="0"/>
        <v>1605000</v>
      </c>
      <c r="J43" s="9">
        <f t="shared" si="0"/>
        <v>120000</v>
      </c>
      <c r="K43" s="9">
        <f t="shared" si="0"/>
        <v>45000</v>
      </c>
      <c r="L43" s="9">
        <f t="shared" si="0"/>
        <v>45000</v>
      </c>
      <c r="M43" s="9">
        <f t="shared" si="0"/>
        <v>60000</v>
      </c>
      <c r="N43" s="9">
        <f t="shared" si="0"/>
        <v>545000</v>
      </c>
    </row>
    <row r="44" spans="1:17" ht="15.75" thickTop="1" x14ac:dyDescent="0.25"/>
    <row r="45" spans="1:17" x14ac:dyDescent="0.25">
      <c r="A45" s="5" t="s">
        <v>1</v>
      </c>
    </row>
    <row r="46" spans="1:17" x14ac:dyDescent="0.25">
      <c r="A46" t="s">
        <v>398</v>
      </c>
      <c r="B46" s="1" t="s">
        <v>37</v>
      </c>
      <c r="E46" s="21">
        <v>186750</v>
      </c>
      <c r="J46" s="6">
        <f>E46*1.1</f>
        <v>205425.00000000003</v>
      </c>
      <c r="P46" t="s">
        <v>397</v>
      </c>
    </row>
    <row r="47" spans="1:17" x14ac:dyDescent="0.25">
      <c r="A47" t="s">
        <v>364</v>
      </c>
      <c r="B47" s="1" t="s">
        <v>16</v>
      </c>
      <c r="E47" s="30"/>
      <c r="F47" s="6">
        <v>200000</v>
      </c>
    </row>
    <row r="48" spans="1:17" x14ac:dyDescent="0.25">
      <c r="A48" t="s">
        <v>18</v>
      </c>
      <c r="B48" s="1" t="s">
        <v>19</v>
      </c>
      <c r="H48" s="21">
        <v>0</v>
      </c>
    </row>
    <row r="49" spans="1:17" s="4" customFormat="1" ht="15.75" thickBot="1" x14ac:dyDescent="0.3">
      <c r="A49" s="4" t="s">
        <v>34</v>
      </c>
      <c r="B49" s="2"/>
      <c r="D49" s="9">
        <f>SUM(D46:D48)</f>
        <v>0</v>
      </c>
      <c r="E49" s="9">
        <f t="shared" ref="E49:N49" si="1">SUM(E46:E48)</f>
        <v>186750</v>
      </c>
      <c r="F49" s="9">
        <f t="shared" si="1"/>
        <v>200000</v>
      </c>
      <c r="G49" s="9">
        <f t="shared" si="1"/>
        <v>0</v>
      </c>
      <c r="H49" s="9">
        <f t="shared" si="1"/>
        <v>0</v>
      </c>
      <c r="I49" s="9">
        <f t="shared" si="1"/>
        <v>0</v>
      </c>
      <c r="J49" s="9">
        <f t="shared" si="1"/>
        <v>205425.00000000003</v>
      </c>
      <c r="K49" s="9">
        <f t="shared" si="1"/>
        <v>0</v>
      </c>
      <c r="L49" s="9">
        <f t="shared" si="1"/>
        <v>0</v>
      </c>
      <c r="M49" s="9">
        <f t="shared" si="1"/>
        <v>0</v>
      </c>
      <c r="N49" s="9">
        <f t="shared" si="1"/>
        <v>0</v>
      </c>
    </row>
    <row r="50" spans="1:17" ht="15.75" thickTop="1" x14ac:dyDescent="0.25"/>
    <row r="51" spans="1:17" s="4" customFormat="1" x14ac:dyDescent="0.25">
      <c r="A51" s="4" t="s">
        <v>35</v>
      </c>
      <c r="B51" s="2"/>
      <c r="D51" s="10">
        <f>D49+D43</f>
        <v>85000</v>
      </c>
      <c r="E51" s="10">
        <f t="shared" ref="E51:N51" si="2">E49+E43</f>
        <v>1253750</v>
      </c>
      <c r="F51" s="10">
        <f t="shared" si="2"/>
        <v>481500</v>
      </c>
      <c r="G51" s="10">
        <f t="shared" si="2"/>
        <v>114500</v>
      </c>
      <c r="H51" s="10">
        <f t="shared" si="2"/>
        <v>187000</v>
      </c>
      <c r="I51" s="10">
        <f t="shared" si="2"/>
        <v>1605000</v>
      </c>
      <c r="J51" s="10">
        <f t="shared" si="2"/>
        <v>325425</v>
      </c>
      <c r="K51" s="10">
        <f t="shared" si="2"/>
        <v>45000</v>
      </c>
      <c r="L51" s="10">
        <f t="shared" si="2"/>
        <v>45000</v>
      </c>
      <c r="M51" s="10">
        <f t="shared" si="2"/>
        <v>60000</v>
      </c>
      <c r="N51" s="10">
        <f t="shared" si="2"/>
        <v>545000</v>
      </c>
    </row>
    <row r="52" spans="1:17" x14ac:dyDescent="0.25">
      <c r="D52" s="8"/>
      <c r="P52" s="6"/>
      <c r="Q52" s="8"/>
    </row>
    <row r="53" spans="1:17" x14ac:dyDescent="0.25">
      <c r="A53" s="28" t="s">
        <v>395</v>
      </c>
      <c r="B53" s="27"/>
      <c r="C53" s="28"/>
      <c r="D53" s="29">
        <f>SUM(D10:D25)</f>
        <v>0</v>
      </c>
      <c r="E53" s="29">
        <f t="shared" ref="E53:N53" si="3">SUM(E10:E25)</f>
        <v>70000</v>
      </c>
      <c r="F53" s="29">
        <f t="shared" si="3"/>
        <v>186500</v>
      </c>
      <c r="G53" s="29">
        <f t="shared" si="3"/>
        <v>114500</v>
      </c>
      <c r="H53" s="29">
        <f t="shared" si="3"/>
        <v>107000</v>
      </c>
      <c r="I53" s="29">
        <f t="shared" si="3"/>
        <v>45000</v>
      </c>
      <c r="J53" s="29">
        <f t="shared" si="3"/>
        <v>60000</v>
      </c>
      <c r="K53" s="29">
        <f t="shared" si="3"/>
        <v>45000</v>
      </c>
      <c r="L53" s="29">
        <f t="shared" si="3"/>
        <v>45000</v>
      </c>
      <c r="M53" s="29">
        <f t="shared" si="3"/>
        <v>60000</v>
      </c>
      <c r="N53" s="29">
        <f t="shared" si="3"/>
        <v>45000</v>
      </c>
      <c r="Q53" s="8"/>
    </row>
    <row r="54" spans="1:17" x14ac:dyDescent="0.25">
      <c r="A54" s="28" t="s">
        <v>396</v>
      </c>
      <c r="B54" s="27"/>
      <c r="C54" s="28"/>
      <c r="D54" s="29">
        <f>SUM(D27:D35)+SUM(D46:D48)</f>
        <v>85000</v>
      </c>
      <c r="E54" s="29">
        <f t="shared" ref="E54:N54" si="4">SUM(E27:E35)+SUM(E46:E48)</f>
        <v>1183750</v>
      </c>
      <c r="F54" s="29">
        <f t="shared" si="4"/>
        <v>295000</v>
      </c>
      <c r="G54" s="29">
        <f t="shared" si="4"/>
        <v>0</v>
      </c>
      <c r="H54" s="29">
        <f t="shared" si="4"/>
        <v>80000</v>
      </c>
      <c r="I54" s="29">
        <f t="shared" si="4"/>
        <v>1560000</v>
      </c>
      <c r="J54" s="29">
        <f t="shared" si="4"/>
        <v>265425</v>
      </c>
      <c r="K54" s="29">
        <f t="shared" si="4"/>
        <v>0</v>
      </c>
      <c r="L54" s="29">
        <f t="shared" si="4"/>
        <v>0</v>
      </c>
      <c r="M54" s="29">
        <f t="shared" si="4"/>
        <v>0</v>
      </c>
      <c r="N54" s="29">
        <f t="shared" si="4"/>
        <v>500000</v>
      </c>
      <c r="Q54" s="8"/>
    </row>
    <row r="55" spans="1:17" x14ac:dyDescent="0.25">
      <c r="Q55" s="8"/>
    </row>
    <row r="56" spans="1:17" x14ac:dyDescent="0.25">
      <c r="Q56" s="8"/>
    </row>
    <row r="57" spans="1:17" x14ac:dyDescent="0.25">
      <c r="A57" t="s">
        <v>16</v>
      </c>
      <c r="D57" s="6">
        <f t="shared" ref="D57:N63" si="5">SUMIF($B$11:$B$48,$A57,D$11:D$48)</f>
        <v>0</v>
      </c>
      <c r="E57" s="6">
        <f t="shared" si="5"/>
        <v>1067000</v>
      </c>
      <c r="F57" s="6">
        <f t="shared" si="5"/>
        <v>481500</v>
      </c>
      <c r="G57" s="6">
        <f t="shared" si="5"/>
        <v>114500</v>
      </c>
      <c r="H57" s="6">
        <f t="shared" si="5"/>
        <v>187000</v>
      </c>
      <c r="I57" s="6">
        <f t="shared" si="5"/>
        <v>105000</v>
      </c>
      <c r="J57" s="6">
        <f t="shared" si="5"/>
        <v>120000</v>
      </c>
      <c r="K57" s="6">
        <f t="shared" si="5"/>
        <v>45000</v>
      </c>
      <c r="L57" s="6">
        <f t="shared" si="5"/>
        <v>45000</v>
      </c>
      <c r="M57" s="6">
        <f t="shared" si="5"/>
        <v>60000</v>
      </c>
      <c r="N57" s="6">
        <f t="shared" si="5"/>
        <v>545000</v>
      </c>
      <c r="Q57" s="8"/>
    </row>
    <row r="58" spans="1:17" x14ac:dyDescent="0.25">
      <c r="A58" t="s">
        <v>37</v>
      </c>
      <c r="D58" s="6">
        <f t="shared" si="5"/>
        <v>0</v>
      </c>
      <c r="E58" s="6">
        <f t="shared" si="5"/>
        <v>186750</v>
      </c>
      <c r="F58" s="6">
        <f t="shared" si="5"/>
        <v>0</v>
      </c>
      <c r="G58" s="6">
        <f t="shared" si="5"/>
        <v>0</v>
      </c>
      <c r="H58" s="6">
        <f t="shared" si="5"/>
        <v>0</v>
      </c>
      <c r="I58" s="6">
        <f t="shared" si="5"/>
        <v>0</v>
      </c>
      <c r="J58" s="6">
        <f t="shared" si="5"/>
        <v>205425.00000000003</v>
      </c>
      <c r="K58" s="6">
        <f t="shared" si="5"/>
        <v>0</v>
      </c>
      <c r="L58" s="6">
        <f t="shared" si="5"/>
        <v>0</v>
      </c>
      <c r="M58" s="6">
        <f t="shared" si="5"/>
        <v>0</v>
      </c>
      <c r="N58" s="6">
        <f t="shared" si="5"/>
        <v>0</v>
      </c>
      <c r="Q58" s="8"/>
    </row>
    <row r="59" spans="1:17" x14ac:dyDescent="0.25">
      <c r="A59" t="s">
        <v>38</v>
      </c>
      <c r="D59" s="6">
        <f t="shared" si="5"/>
        <v>0</v>
      </c>
      <c r="E59" s="6">
        <f t="shared" si="5"/>
        <v>0</v>
      </c>
      <c r="F59" s="6">
        <f t="shared" si="5"/>
        <v>0</v>
      </c>
      <c r="G59" s="6">
        <f t="shared" si="5"/>
        <v>0</v>
      </c>
      <c r="H59" s="6">
        <f t="shared" si="5"/>
        <v>0</v>
      </c>
      <c r="I59" s="6">
        <f t="shared" si="5"/>
        <v>0</v>
      </c>
      <c r="J59" s="6">
        <f t="shared" si="5"/>
        <v>0</v>
      </c>
      <c r="K59" s="6">
        <f t="shared" si="5"/>
        <v>0</v>
      </c>
      <c r="L59" s="6">
        <f t="shared" si="5"/>
        <v>0</v>
      </c>
      <c r="M59" s="6">
        <f t="shared" si="5"/>
        <v>0</v>
      </c>
      <c r="N59" s="6">
        <f t="shared" si="5"/>
        <v>0</v>
      </c>
      <c r="Q59" s="8"/>
    </row>
    <row r="60" spans="1:17" x14ac:dyDescent="0.25">
      <c r="A60" t="s">
        <v>19</v>
      </c>
      <c r="D60" s="6">
        <f t="shared" si="5"/>
        <v>0</v>
      </c>
      <c r="E60" s="6">
        <f t="shared" si="5"/>
        <v>0</v>
      </c>
      <c r="F60" s="6">
        <f t="shared" si="5"/>
        <v>0</v>
      </c>
      <c r="G60" s="6">
        <f t="shared" si="5"/>
        <v>0</v>
      </c>
      <c r="H60" s="6">
        <f t="shared" si="5"/>
        <v>0</v>
      </c>
      <c r="I60" s="6">
        <f t="shared" si="5"/>
        <v>1500000</v>
      </c>
      <c r="J60" s="6">
        <f t="shared" si="5"/>
        <v>0</v>
      </c>
      <c r="K60" s="6">
        <f t="shared" si="5"/>
        <v>0</v>
      </c>
      <c r="L60" s="6">
        <f t="shared" si="5"/>
        <v>0</v>
      </c>
      <c r="M60" s="6">
        <f t="shared" si="5"/>
        <v>0</v>
      </c>
      <c r="N60" s="6">
        <f t="shared" si="5"/>
        <v>0</v>
      </c>
      <c r="Q60" s="8"/>
    </row>
    <row r="61" spans="1:17" x14ac:dyDescent="0.25">
      <c r="A61" t="s">
        <v>243</v>
      </c>
      <c r="D61" s="6">
        <f t="shared" si="5"/>
        <v>85000</v>
      </c>
      <c r="E61" s="6">
        <f t="shared" si="5"/>
        <v>0</v>
      </c>
      <c r="F61" s="6">
        <f t="shared" si="5"/>
        <v>0</v>
      </c>
      <c r="G61" s="6">
        <f t="shared" si="5"/>
        <v>0</v>
      </c>
      <c r="H61" s="6">
        <f t="shared" si="5"/>
        <v>0</v>
      </c>
      <c r="I61" s="6">
        <f t="shared" si="5"/>
        <v>0</v>
      </c>
      <c r="J61" s="6">
        <f t="shared" si="5"/>
        <v>0</v>
      </c>
      <c r="K61" s="6">
        <f t="shared" si="5"/>
        <v>0</v>
      </c>
      <c r="L61" s="6">
        <f t="shared" si="5"/>
        <v>0</v>
      </c>
      <c r="M61" s="6">
        <f t="shared" si="5"/>
        <v>0</v>
      </c>
      <c r="N61" s="6">
        <f t="shared" si="5"/>
        <v>0</v>
      </c>
      <c r="Q61" s="8"/>
    </row>
    <row r="62" spans="1:17" x14ac:dyDescent="0.25">
      <c r="A62" t="s">
        <v>13</v>
      </c>
      <c r="D62" s="6">
        <f t="shared" si="5"/>
        <v>0</v>
      </c>
      <c r="E62" s="6">
        <f t="shared" si="5"/>
        <v>0</v>
      </c>
      <c r="F62" s="6">
        <f t="shared" si="5"/>
        <v>0</v>
      </c>
      <c r="G62" s="6">
        <f t="shared" si="5"/>
        <v>0</v>
      </c>
      <c r="H62" s="6">
        <f t="shared" si="5"/>
        <v>0</v>
      </c>
      <c r="I62" s="6">
        <f t="shared" si="5"/>
        <v>0</v>
      </c>
      <c r="J62" s="6">
        <f t="shared" si="5"/>
        <v>0</v>
      </c>
      <c r="K62" s="6">
        <f t="shared" si="5"/>
        <v>0</v>
      </c>
      <c r="L62" s="6">
        <f t="shared" si="5"/>
        <v>0</v>
      </c>
      <c r="M62" s="6">
        <f t="shared" si="5"/>
        <v>0</v>
      </c>
      <c r="N62" s="6">
        <f t="shared" si="5"/>
        <v>0</v>
      </c>
      <c r="Q62" s="8"/>
    </row>
    <row r="63" spans="1:17" x14ac:dyDescent="0.25">
      <c r="A63" t="s">
        <v>50</v>
      </c>
      <c r="D63" s="6">
        <f t="shared" si="5"/>
        <v>0</v>
      </c>
      <c r="E63" s="6">
        <f t="shared" si="5"/>
        <v>0</v>
      </c>
      <c r="F63" s="6">
        <f t="shared" si="5"/>
        <v>0</v>
      </c>
      <c r="G63" s="6">
        <f t="shared" si="5"/>
        <v>0</v>
      </c>
      <c r="H63" s="6">
        <f t="shared" si="5"/>
        <v>0</v>
      </c>
      <c r="I63" s="6">
        <f t="shared" si="5"/>
        <v>0</v>
      </c>
      <c r="J63" s="6">
        <f t="shared" si="5"/>
        <v>0</v>
      </c>
      <c r="K63" s="6">
        <f t="shared" si="5"/>
        <v>0</v>
      </c>
      <c r="L63" s="6">
        <f t="shared" si="5"/>
        <v>0</v>
      </c>
      <c r="M63" s="6">
        <f t="shared" si="5"/>
        <v>0</v>
      </c>
      <c r="N63" s="6">
        <f t="shared" si="5"/>
        <v>0</v>
      </c>
      <c r="Q63" s="8"/>
    </row>
    <row r="64" spans="1:17" ht="15.75" thickBot="1" x14ac:dyDescent="0.3">
      <c r="D64" s="7">
        <f t="shared" ref="D64:N64" si="6">SUM(D57:D63)</f>
        <v>85000</v>
      </c>
      <c r="E64" s="7">
        <f t="shared" si="6"/>
        <v>1253750</v>
      </c>
      <c r="F64" s="7">
        <f t="shared" si="6"/>
        <v>481500</v>
      </c>
      <c r="G64" s="7">
        <f t="shared" si="6"/>
        <v>114500</v>
      </c>
      <c r="H64" s="7">
        <f t="shared" si="6"/>
        <v>187000</v>
      </c>
      <c r="I64" s="7">
        <f t="shared" si="6"/>
        <v>1605000</v>
      </c>
      <c r="J64" s="7">
        <f t="shared" si="6"/>
        <v>325425</v>
      </c>
      <c r="K64" s="7">
        <f t="shared" si="6"/>
        <v>45000</v>
      </c>
      <c r="L64" s="7">
        <f t="shared" si="6"/>
        <v>45000</v>
      </c>
      <c r="M64" s="7">
        <f t="shared" si="6"/>
        <v>60000</v>
      </c>
      <c r="N64" s="7">
        <f t="shared" si="6"/>
        <v>545000</v>
      </c>
      <c r="P64" s="6"/>
      <c r="Q64" s="8"/>
    </row>
    <row r="65" spans="1:14" ht="15.75" thickTop="1" x14ac:dyDescent="0.25">
      <c r="D65" s="8">
        <f>D64-D51</f>
        <v>0</v>
      </c>
      <c r="E65" s="8">
        <f t="shared" ref="E65:N65" si="7">E64-E51</f>
        <v>0</v>
      </c>
      <c r="F65" s="8">
        <f t="shared" si="7"/>
        <v>0</v>
      </c>
      <c r="G65" s="8">
        <f t="shared" si="7"/>
        <v>0</v>
      </c>
      <c r="H65" s="8">
        <f t="shared" si="7"/>
        <v>0</v>
      </c>
      <c r="I65" s="8">
        <f t="shared" si="7"/>
        <v>0</v>
      </c>
      <c r="J65" s="8">
        <f t="shared" si="7"/>
        <v>0</v>
      </c>
      <c r="K65" s="8">
        <f t="shared" si="7"/>
        <v>0</v>
      </c>
      <c r="L65" s="8">
        <f t="shared" si="7"/>
        <v>0</v>
      </c>
      <c r="M65" s="8">
        <f t="shared" si="7"/>
        <v>0</v>
      </c>
      <c r="N65" s="8">
        <f t="shared" si="7"/>
        <v>0</v>
      </c>
    </row>
    <row r="68" spans="1:14" x14ac:dyDescent="0.25">
      <c r="A68" s="72" t="s">
        <v>315</v>
      </c>
    </row>
    <row r="69" spans="1:14" x14ac:dyDescent="0.25">
      <c r="A69" s="72" t="s">
        <v>317</v>
      </c>
    </row>
    <row r="70" spans="1:14" x14ac:dyDescent="0.25">
      <c r="A70" s="72" t="s">
        <v>316</v>
      </c>
    </row>
    <row r="71" spans="1:14" x14ac:dyDescent="0.25">
      <c r="A71" s="72" t="s">
        <v>366</v>
      </c>
    </row>
    <row r="72" spans="1:14" x14ac:dyDescent="0.25">
      <c r="A72" s="72" t="s">
        <v>367</v>
      </c>
      <c r="D72" s="6">
        <f>D64</f>
        <v>85000</v>
      </c>
      <c r="E72" s="6">
        <f t="shared" ref="E72:N72" si="8">E64</f>
        <v>1253750</v>
      </c>
      <c r="F72" s="6">
        <f t="shared" si="8"/>
        <v>481500</v>
      </c>
      <c r="G72" s="6">
        <f t="shared" si="8"/>
        <v>114500</v>
      </c>
      <c r="H72" s="6">
        <f t="shared" si="8"/>
        <v>187000</v>
      </c>
      <c r="I72" s="6">
        <f t="shared" si="8"/>
        <v>1605000</v>
      </c>
      <c r="J72" s="6">
        <f t="shared" si="8"/>
        <v>325425</v>
      </c>
      <c r="K72" s="6">
        <f t="shared" si="8"/>
        <v>45000</v>
      </c>
      <c r="L72" s="6">
        <f t="shared" si="8"/>
        <v>45000</v>
      </c>
      <c r="M72" s="6">
        <f t="shared" si="8"/>
        <v>60000</v>
      </c>
      <c r="N72" s="6">
        <f t="shared" si="8"/>
        <v>545000</v>
      </c>
    </row>
    <row r="73" spans="1:14" x14ac:dyDescent="0.25">
      <c r="A73" s="72" t="s">
        <v>368</v>
      </c>
    </row>
    <row r="74" spans="1:14" x14ac:dyDescent="0.25">
      <c r="A74" s="72" t="s">
        <v>1</v>
      </c>
    </row>
    <row r="78" spans="1:14" x14ac:dyDescent="0.25">
      <c r="A78" t="s">
        <v>55</v>
      </c>
    </row>
    <row r="79" spans="1:14" x14ac:dyDescent="0.25">
      <c r="A79" t="s">
        <v>56</v>
      </c>
    </row>
    <row r="80" spans="1:14" x14ac:dyDescent="0.25">
      <c r="A80" t="s">
        <v>371</v>
      </c>
    </row>
    <row r="81" spans="1:1" x14ac:dyDescent="0.25">
      <c r="A81" t="s">
        <v>57</v>
      </c>
    </row>
    <row r="82" spans="1:1" x14ac:dyDescent="0.25">
      <c r="A82" t="s">
        <v>244</v>
      </c>
    </row>
    <row r="83" spans="1:1" x14ac:dyDescent="0.25">
      <c r="A83" t="s">
        <v>58</v>
      </c>
    </row>
    <row r="84" spans="1:1" x14ac:dyDescent="0.25">
      <c r="A84" t="s">
        <v>59</v>
      </c>
    </row>
  </sheetData>
  <pageMargins left="0.4" right="0.4" top="0.4" bottom="0.4" header="0" footer="0"/>
  <pageSetup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131"/>
  <sheetViews>
    <sheetView topLeftCell="A4" workbookViewId="0">
      <selection activeCell="G68" sqref="G68"/>
    </sheetView>
  </sheetViews>
  <sheetFormatPr defaultRowHeight="15" x14ac:dyDescent="0.25"/>
  <cols>
    <col min="1" max="1" width="81.140625" customWidth="1"/>
    <col min="2" max="2" width="8.28515625" style="1" customWidth="1"/>
    <col min="3" max="3" width="2.85546875" customWidth="1"/>
    <col min="4" max="4" width="11.140625" style="6" customWidth="1"/>
    <col min="5" max="6" width="10.140625" style="6" customWidth="1"/>
    <col min="7" max="7" width="10.42578125" style="6" customWidth="1"/>
    <col min="8" max="11" width="10.140625" style="6" customWidth="1"/>
    <col min="12" max="12" width="9.140625" style="6"/>
    <col min="13" max="14" width="10.140625" style="6" customWidth="1"/>
    <col min="17" max="17" width="13.28515625" bestFit="1" customWidth="1"/>
  </cols>
  <sheetData>
    <row r="1" spans="1:16" ht="21" x14ac:dyDescent="0.35">
      <c r="A1" s="17" t="s">
        <v>62</v>
      </c>
    </row>
    <row r="2" spans="1:16" ht="21" x14ac:dyDescent="0.35">
      <c r="A2" s="17" t="s">
        <v>67</v>
      </c>
      <c r="G2" s="19"/>
    </row>
    <row r="3" spans="1:16" ht="21" x14ac:dyDescent="0.35">
      <c r="A3" s="17" t="s">
        <v>64</v>
      </c>
      <c r="D3"/>
      <c r="E3"/>
      <c r="F3"/>
      <c r="G3"/>
      <c r="H3"/>
      <c r="I3"/>
      <c r="J3"/>
      <c r="K3"/>
      <c r="L3"/>
      <c r="M3"/>
      <c r="N3"/>
    </row>
    <row r="4" spans="1:16" x14ac:dyDescent="0.25">
      <c r="D4"/>
      <c r="E4"/>
      <c r="F4"/>
      <c r="G4"/>
      <c r="H4"/>
      <c r="I4"/>
      <c r="J4"/>
      <c r="K4"/>
      <c r="L4"/>
      <c r="M4"/>
      <c r="N4"/>
    </row>
    <row r="5" spans="1:16" x14ac:dyDescent="0.25">
      <c r="D5"/>
      <c r="E5"/>
      <c r="F5"/>
      <c r="G5"/>
      <c r="H5"/>
      <c r="I5"/>
      <c r="J5"/>
      <c r="K5"/>
      <c r="L5"/>
      <c r="M5"/>
      <c r="N5"/>
    </row>
    <row r="6" spans="1:16" x14ac:dyDescent="0.25"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45</v>
      </c>
    </row>
    <row r="7" spans="1:16" x14ac:dyDescent="0.25">
      <c r="D7"/>
      <c r="E7"/>
      <c r="F7"/>
      <c r="G7"/>
      <c r="H7"/>
      <c r="I7"/>
      <c r="J7"/>
      <c r="K7"/>
      <c r="L7"/>
      <c r="M7"/>
      <c r="N7"/>
    </row>
    <row r="8" spans="1:16" x14ac:dyDescent="0.25">
      <c r="A8" s="5" t="s">
        <v>0</v>
      </c>
      <c r="D8"/>
      <c r="E8"/>
      <c r="F8"/>
      <c r="G8"/>
      <c r="H8"/>
      <c r="I8"/>
      <c r="J8"/>
      <c r="K8"/>
      <c r="L8"/>
      <c r="M8"/>
      <c r="N8"/>
    </row>
    <row r="9" spans="1:16" x14ac:dyDescent="0.25">
      <c r="A9" s="5" t="s">
        <v>393</v>
      </c>
      <c r="D9"/>
      <c r="E9"/>
      <c r="F9"/>
      <c r="G9"/>
      <c r="H9"/>
      <c r="I9"/>
      <c r="J9"/>
      <c r="K9"/>
      <c r="L9"/>
      <c r="M9"/>
      <c r="N9"/>
    </row>
    <row r="10" spans="1:16" x14ac:dyDescent="0.25">
      <c r="A10" s="26" t="s">
        <v>212</v>
      </c>
      <c r="B10" s="31" t="s">
        <v>16</v>
      </c>
      <c r="C10" s="26"/>
      <c r="D10" s="30"/>
      <c r="E10" s="30"/>
      <c r="F10" s="30">
        <v>35000</v>
      </c>
      <c r="G10" s="30"/>
      <c r="H10" s="30"/>
      <c r="I10" s="30"/>
      <c r="J10" s="30"/>
      <c r="K10" s="30"/>
      <c r="L10" s="30"/>
      <c r="M10" s="30"/>
      <c r="N10" s="30"/>
      <c r="P10" s="52" t="s">
        <v>332</v>
      </c>
    </row>
    <row r="11" spans="1:16" x14ac:dyDescent="0.25">
      <c r="A11" s="26" t="s">
        <v>224</v>
      </c>
      <c r="B11" s="31" t="s">
        <v>16</v>
      </c>
      <c r="C11" s="26"/>
      <c r="D11" s="30"/>
      <c r="E11" s="30">
        <v>45000</v>
      </c>
      <c r="F11" s="30">
        <v>45000</v>
      </c>
      <c r="G11" s="30">
        <v>45000</v>
      </c>
      <c r="H11" s="30">
        <v>45000</v>
      </c>
      <c r="I11" s="30">
        <v>45000</v>
      </c>
      <c r="J11" s="30">
        <v>45000</v>
      </c>
      <c r="K11" s="30">
        <v>45000</v>
      </c>
      <c r="L11" s="30">
        <v>45000</v>
      </c>
      <c r="M11" s="30">
        <v>45000</v>
      </c>
      <c r="N11" s="30">
        <v>45000</v>
      </c>
    </row>
    <row r="12" spans="1:16" x14ac:dyDescent="0.25">
      <c r="A12" s="26" t="s">
        <v>333</v>
      </c>
      <c r="B12" s="31" t="s">
        <v>16</v>
      </c>
      <c r="C12" s="26"/>
      <c r="D12" s="30"/>
      <c r="E12" s="30"/>
      <c r="F12" s="30"/>
      <c r="G12" s="30"/>
      <c r="H12" s="30">
        <v>18000</v>
      </c>
      <c r="I12" s="30"/>
      <c r="J12" s="30"/>
      <c r="K12" s="30"/>
      <c r="L12" s="30"/>
      <c r="M12" s="30"/>
      <c r="N12" s="30"/>
    </row>
    <row r="13" spans="1:16" x14ac:dyDescent="0.25">
      <c r="A13" s="26" t="s">
        <v>341</v>
      </c>
      <c r="B13" s="31" t="s">
        <v>16</v>
      </c>
      <c r="C13" s="26"/>
      <c r="D13" s="30"/>
      <c r="E13" s="30">
        <v>10000</v>
      </c>
      <c r="F13" s="30">
        <v>10000</v>
      </c>
      <c r="G13" s="30">
        <v>10000</v>
      </c>
      <c r="H13" s="30">
        <v>10000</v>
      </c>
      <c r="I13" s="30">
        <v>10000</v>
      </c>
      <c r="J13" s="30">
        <v>10000</v>
      </c>
      <c r="K13" s="30">
        <v>10000</v>
      </c>
      <c r="L13" s="30">
        <v>10000</v>
      </c>
      <c r="M13" s="30">
        <v>10000</v>
      </c>
      <c r="N13" s="30">
        <v>10000</v>
      </c>
    </row>
    <row r="14" spans="1:16" x14ac:dyDescent="0.25">
      <c r="A14" s="26" t="s">
        <v>348</v>
      </c>
      <c r="B14" s="31" t="s">
        <v>16</v>
      </c>
      <c r="C14" s="26"/>
      <c r="D14" s="30"/>
      <c r="E14" s="30">
        <v>5000</v>
      </c>
      <c r="F14" s="30">
        <v>5000</v>
      </c>
      <c r="G14" s="30">
        <v>5000</v>
      </c>
      <c r="H14" s="30">
        <v>5000</v>
      </c>
      <c r="I14" s="30">
        <v>5000</v>
      </c>
      <c r="J14" s="30">
        <v>5000</v>
      </c>
      <c r="K14" s="30">
        <v>5000</v>
      </c>
      <c r="L14" s="30">
        <v>5000</v>
      </c>
      <c r="M14" s="30">
        <v>5000</v>
      </c>
      <c r="N14" s="30">
        <v>5000</v>
      </c>
      <c r="P14" s="52"/>
    </row>
    <row r="15" spans="1:16" x14ac:dyDescent="0.25">
      <c r="A15" s="34" t="s">
        <v>218</v>
      </c>
      <c r="B15" s="31"/>
      <c r="C15" s="26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P15" s="52"/>
    </row>
    <row r="16" spans="1:16" x14ac:dyDescent="0.25">
      <c r="A16" s="24" t="s">
        <v>338</v>
      </c>
      <c r="B16" s="1" t="s">
        <v>16</v>
      </c>
      <c r="E16" s="6">
        <v>25000</v>
      </c>
      <c r="F16" s="6">
        <v>25000</v>
      </c>
      <c r="G16" s="6">
        <v>25000</v>
      </c>
      <c r="H16" s="6">
        <v>25000</v>
      </c>
      <c r="I16" s="6">
        <v>25000</v>
      </c>
      <c r="J16" s="6">
        <v>25000</v>
      </c>
      <c r="K16" s="6">
        <v>25000</v>
      </c>
      <c r="L16" s="6">
        <v>25000</v>
      </c>
      <c r="M16" s="6">
        <v>25000</v>
      </c>
      <c r="N16" s="6">
        <v>25000</v>
      </c>
      <c r="P16" s="52"/>
    </row>
    <row r="17" spans="1:30" x14ac:dyDescent="0.25">
      <c r="A17" s="23" t="s">
        <v>233</v>
      </c>
      <c r="B17" s="31"/>
      <c r="C17" s="26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P17" s="52"/>
    </row>
    <row r="18" spans="1:30" x14ac:dyDescent="0.25">
      <c r="A18" s="25" t="s">
        <v>239</v>
      </c>
      <c r="B18" s="1" t="s">
        <v>16</v>
      </c>
      <c r="D18" s="30"/>
      <c r="E18" s="30">
        <v>30000</v>
      </c>
      <c r="F18" s="30"/>
      <c r="G18" s="30"/>
      <c r="H18" s="30"/>
      <c r="I18" s="30"/>
      <c r="J18" s="30"/>
      <c r="K18" s="30"/>
      <c r="L18" s="30"/>
      <c r="M18" s="30"/>
      <c r="N18" s="30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30" x14ac:dyDescent="0.25">
      <c r="A19" s="24" t="s">
        <v>234</v>
      </c>
      <c r="B19" s="1" t="s">
        <v>16</v>
      </c>
      <c r="D19" s="30"/>
      <c r="E19" s="30">
        <v>8000</v>
      </c>
      <c r="F19" s="30"/>
      <c r="G19" s="30"/>
      <c r="H19" s="30"/>
      <c r="I19" s="30"/>
      <c r="J19" s="30"/>
      <c r="K19" s="30"/>
      <c r="L19" s="30"/>
      <c r="M19" s="30"/>
      <c r="N19" s="30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30" x14ac:dyDescent="0.25">
      <c r="A20" s="23" t="s">
        <v>235</v>
      </c>
      <c r="B20" s="31"/>
      <c r="C20" s="26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P20" s="52"/>
    </row>
    <row r="21" spans="1:30" x14ac:dyDescent="0.25">
      <c r="A21" s="24" t="s">
        <v>236</v>
      </c>
      <c r="B21" s="1" t="s">
        <v>16</v>
      </c>
      <c r="D21" s="30">
        <v>35000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x14ac:dyDescent="0.25">
      <c r="A22" s="24" t="s">
        <v>237</v>
      </c>
      <c r="B22" s="1" t="s">
        <v>16</v>
      </c>
      <c r="D22" s="30"/>
      <c r="E22" s="30">
        <v>35000</v>
      </c>
      <c r="F22" s="30"/>
      <c r="G22" s="30"/>
      <c r="H22" s="30"/>
      <c r="I22" s="30"/>
      <c r="J22" s="30"/>
      <c r="K22" s="30"/>
      <c r="L22" s="30"/>
      <c r="M22" s="30"/>
      <c r="N22" s="30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x14ac:dyDescent="0.25">
      <c r="A23" s="69" t="s">
        <v>337</v>
      </c>
      <c r="B23" s="31"/>
      <c r="C23" s="26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P23" s="52"/>
    </row>
    <row r="24" spans="1:30" x14ac:dyDescent="0.25">
      <c r="A24" s="24" t="s">
        <v>338</v>
      </c>
      <c r="B24" s="1" t="s">
        <v>16</v>
      </c>
      <c r="C24" s="26"/>
      <c r="D24" s="30"/>
      <c r="E24" s="30"/>
      <c r="F24" s="30">
        <v>25000</v>
      </c>
      <c r="G24" s="30"/>
      <c r="H24" s="30"/>
      <c r="I24" s="30"/>
      <c r="J24" s="30"/>
      <c r="K24" s="30"/>
      <c r="L24" s="30"/>
      <c r="M24" s="30"/>
      <c r="N24" s="30"/>
      <c r="Q24" s="8"/>
    </row>
    <row r="25" spans="1:30" x14ac:dyDescent="0.25">
      <c r="A25" s="25" t="s">
        <v>343</v>
      </c>
      <c r="B25" s="1" t="s">
        <v>16</v>
      </c>
      <c r="C25" s="26"/>
      <c r="D25" s="30"/>
      <c r="E25" s="30"/>
      <c r="F25" s="30"/>
      <c r="G25" s="30"/>
      <c r="H25" s="30">
        <v>30000</v>
      </c>
      <c r="I25" s="30"/>
      <c r="J25" s="30"/>
      <c r="K25" s="30"/>
      <c r="L25" s="30"/>
      <c r="M25" s="30"/>
      <c r="N25" s="30"/>
      <c r="Q25" s="8"/>
    </row>
    <row r="26" spans="1:30" x14ac:dyDescent="0.25">
      <c r="A26" s="25" t="s">
        <v>346</v>
      </c>
      <c r="B26" s="1" t="s">
        <v>16</v>
      </c>
      <c r="C26" s="26"/>
      <c r="D26" s="30"/>
      <c r="E26" s="30"/>
      <c r="F26" s="30"/>
      <c r="G26" s="30"/>
      <c r="H26" s="30"/>
      <c r="I26" s="30">
        <v>35000</v>
      </c>
      <c r="J26" s="30"/>
      <c r="K26" s="30"/>
      <c r="L26" s="30"/>
      <c r="M26" s="30"/>
      <c r="N26" s="30"/>
      <c r="Q26" s="8"/>
    </row>
    <row r="27" spans="1:30" x14ac:dyDescent="0.25">
      <c r="A27" t="s">
        <v>225</v>
      </c>
      <c r="B27" s="1" t="s">
        <v>16</v>
      </c>
      <c r="E27" s="6">
        <v>25000</v>
      </c>
      <c r="F27" s="6">
        <v>25000</v>
      </c>
      <c r="G27" s="6">
        <v>25000</v>
      </c>
      <c r="H27" s="6">
        <v>25000</v>
      </c>
      <c r="I27" s="6">
        <v>25000</v>
      </c>
      <c r="J27" s="6">
        <v>25000</v>
      </c>
      <c r="K27" s="6">
        <v>25000</v>
      </c>
      <c r="L27" s="6">
        <v>25000</v>
      </c>
      <c r="M27" s="6">
        <v>25000</v>
      </c>
      <c r="N27" s="6">
        <v>25000</v>
      </c>
      <c r="P27" s="6"/>
      <c r="Q27" s="8"/>
    </row>
    <row r="28" spans="1:30" x14ac:dyDescent="0.25">
      <c r="A28" s="26"/>
      <c r="B28" s="31"/>
      <c r="C28" s="26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P28" s="52"/>
    </row>
    <row r="29" spans="1:30" x14ac:dyDescent="0.25">
      <c r="A29" s="5" t="s">
        <v>394</v>
      </c>
      <c r="B29" s="31"/>
      <c r="C29" s="26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P29" s="52"/>
    </row>
    <row r="30" spans="1:30" x14ac:dyDescent="0.25">
      <c r="A30" s="26" t="s">
        <v>264</v>
      </c>
      <c r="B30" s="31" t="s">
        <v>13</v>
      </c>
      <c r="C30" s="26"/>
      <c r="D30" s="30"/>
      <c r="E30" s="30"/>
      <c r="F30" s="30"/>
      <c r="G30" s="30">
        <v>450000</v>
      </c>
      <c r="H30" s="30"/>
      <c r="I30" s="30"/>
      <c r="J30" s="30"/>
      <c r="K30" s="30"/>
      <c r="L30" s="30"/>
      <c r="M30" s="30"/>
      <c r="N30" s="30"/>
    </row>
    <row r="31" spans="1:30" x14ac:dyDescent="0.25">
      <c r="A31" s="26" t="s">
        <v>265</v>
      </c>
      <c r="B31" s="31" t="s">
        <v>13</v>
      </c>
      <c r="C31" s="26"/>
      <c r="D31" s="30"/>
      <c r="E31" s="30"/>
      <c r="F31" s="30"/>
      <c r="G31" s="30">
        <v>350000</v>
      </c>
      <c r="H31" s="30"/>
      <c r="I31" s="30"/>
      <c r="J31" s="30"/>
      <c r="K31" s="30"/>
      <c r="L31" s="30"/>
      <c r="M31" s="30"/>
      <c r="N31" s="30"/>
    </row>
    <row r="32" spans="1:30" x14ac:dyDescent="0.25">
      <c r="A32" s="26" t="s">
        <v>213</v>
      </c>
      <c r="B32" s="31" t="s">
        <v>16</v>
      </c>
      <c r="C32" s="26"/>
      <c r="D32" s="30"/>
      <c r="E32" s="30"/>
      <c r="F32" s="30">
        <v>75000</v>
      </c>
      <c r="G32" s="30"/>
      <c r="H32" s="30"/>
      <c r="I32" s="30"/>
      <c r="J32" s="30"/>
      <c r="K32" s="30"/>
      <c r="L32" s="30"/>
      <c r="M32" s="30"/>
      <c r="N32" s="30"/>
    </row>
    <row r="33" spans="1:16" x14ac:dyDescent="0.25">
      <c r="A33" s="26" t="s">
        <v>217</v>
      </c>
      <c r="B33" s="31" t="s">
        <v>16</v>
      </c>
      <c r="C33" s="26"/>
      <c r="D33" s="30"/>
      <c r="E33" s="30"/>
      <c r="F33" s="30">
        <v>475000</v>
      </c>
      <c r="G33" s="30"/>
      <c r="H33" s="30"/>
      <c r="I33" s="30"/>
      <c r="J33" s="30"/>
      <c r="K33" s="30"/>
      <c r="L33" s="30"/>
      <c r="M33" s="30"/>
      <c r="N33" s="30"/>
      <c r="P33" s="52"/>
    </row>
    <row r="34" spans="1:16" x14ac:dyDescent="0.25">
      <c r="A34" s="26" t="s">
        <v>347</v>
      </c>
      <c r="B34" s="31" t="s">
        <v>16</v>
      </c>
      <c r="C34" s="26"/>
      <c r="D34" s="30"/>
      <c r="E34" s="30"/>
      <c r="F34" s="30">
        <v>85000</v>
      </c>
      <c r="G34" s="30"/>
      <c r="H34" s="30"/>
      <c r="I34" s="30"/>
      <c r="J34" s="30"/>
      <c r="K34" s="30"/>
      <c r="L34" s="30"/>
      <c r="M34" s="30"/>
      <c r="N34" s="30"/>
    </row>
    <row r="35" spans="1:16" x14ac:dyDescent="0.25">
      <c r="A35" s="34" t="s">
        <v>218</v>
      </c>
      <c r="B35" s="31"/>
      <c r="C35" s="2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6" x14ac:dyDescent="0.25">
      <c r="A36" s="26" t="s">
        <v>219</v>
      </c>
      <c r="B36" s="31" t="s">
        <v>16</v>
      </c>
      <c r="C36" s="26"/>
      <c r="D36" s="30"/>
      <c r="E36" s="30">
        <v>325000</v>
      </c>
      <c r="F36" s="30"/>
      <c r="G36" s="30"/>
      <c r="H36" s="30"/>
      <c r="I36" s="30"/>
      <c r="J36" s="30"/>
      <c r="K36" s="30"/>
      <c r="L36" s="30"/>
      <c r="M36" s="30"/>
      <c r="N36" s="30"/>
    </row>
    <row r="37" spans="1:16" x14ac:dyDescent="0.25">
      <c r="A37" s="26" t="s">
        <v>220</v>
      </c>
      <c r="B37" s="31" t="s">
        <v>16</v>
      </c>
      <c r="C37" s="26"/>
      <c r="D37" s="30"/>
      <c r="E37" s="30"/>
      <c r="F37" s="30"/>
      <c r="G37" s="30">
        <v>308333</v>
      </c>
      <c r="H37" s="30">
        <v>308333</v>
      </c>
      <c r="I37" s="30">
        <v>308333</v>
      </c>
      <c r="J37" s="30"/>
      <c r="K37" s="30"/>
      <c r="L37" s="30"/>
      <c r="M37" s="30"/>
      <c r="N37" s="30"/>
    </row>
    <row r="38" spans="1:16" x14ac:dyDescent="0.25">
      <c r="A38" t="s">
        <v>221</v>
      </c>
      <c r="B38" s="1" t="s">
        <v>19</v>
      </c>
      <c r="H38" s="6">
        <v>850000</v>
      </c>
    </row>
    <row r="39" spans="1:16" x14ac:dyDescent="0.25">
      <c r="A39" s="24" t="s">
        <v>335</v>
      </c>
      <c r="B39" s="1" t="s">
        <v>16</v>
      </c>
      <c r="E39" s="6">
        <v>50000</v>
      </c>
    </row>
    <row r="40" spans="1:16" x14ac:dyDescent="0.25">
      <c r="A40" t="s">
        <v>222</v>
      </c>
      <c r="B40" s="1" t="s">
        <v>16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6" x14ac:dyDescent="0.25">
      <c r="A41" t="s">
        <v>223</v>
      </c>
      <c r="B41" s="1" t="s">
        <v>16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6" x14ac:dyDescent="0.25">
      <c r="A42" s="23" t="s">
        <v>226</v>
      </c>
    </row>
    <row r="43" spans="1:16" x14ac:dyDescent="0.25">
      <c r="A43" s="24" t="s">
        <v>227</v>
      </c>
      <c r="B43" s="1" t="s">
        <v>16</v>
      </c>
      <c r="E43" s="6">
        <v>150000</v>
      </c>
    </row>
    <row r="44" spans="1:16" x14ac:dyDescent="0.25">
      <c r="A44" s="24" t="s">
        <v>232</v>
      </c>
      <c r="B44" s="1" t="s">
        <v>16</v>
      </c>
      <c r="F44" s="6">
        <v>95000</v>
      </c>
    </row>
    <row r="45" spans="1:16" x14ac:dyDescent="0.25">
      <c r="A45" s="24" t="s">
        <v>228</v>
      </c>
      <c r="B45" s="1" t="s">
        <v>16</v>
      </c>
      <c r="D45" s="30"/>
      <c r="E45" s="30"/>
      <c r="F45" s="30">
        <v>50000</v>
      </c>
      <c r="G45" s="30"/>
      <c r="H45" s="30"/>
      <c r="I45" s="30"/>
      <c r="J45" s="30"/>
      <c r="K45" s="30"/>
      <c r="L45" s="30"/>
      <c r="M45" s="30"/>
      <c r="N45" s="30"/>
    </row>
    <row r="46" spans="1:16" x14ac:dyDescent="0.25">
      <c r="A46" s="24" t="s">
        <v>376</v>
      </c>
      <c r="B46" s="1" t="s">
        <v>19</v>
      </c>
      <c r="D46" s="30"/>
      <c r="E46" s="30"/>
      <c r="F46" s="30"/>
      <c r="G46" s="30">
        <f>1900000/2</f>
        <v>950000</v>
      </c>
      <c r="H46" s="30"/>
      <c r="I46" s="30"/>
      <c r="J46" s="30"/>
      <c r="K46" s="30"/>
      <c r="L46" s="30"/>
      <c r="M46" s="30"/>
      <c r="N46" s="30"/>
      <c r="P46" s="68" t="s">
        <v>334</v>
      </c>
    </row>
    <row r="47" spans="1:16" x14ac:dyDescent="0.25">
      <c r="A47" s="24" t="s">
        <v>230</v>
      </c>
      <c r="B47" s="1" t="s">
        <v>19</v>
      </c>
      <c r="D47" s="30"/>
      <c r="E47" s="30"/>
      <c r="F47" s="30"/>
      <c r="G47" s="30"/>
      <c r="H47" s="30">
        <v>850000</v>
      </c>
      <c r="I47" s="30"/>
      <c r="J47" s="30"/>
      <c r="K47" s="30"/>
      <c r="L47" s="30"/>
      <c r="M47" s="30"/>
      <c r="N47" s="30"/>
      <c r="P47" s="68"/>
    </row>
    <row r="48" spans="1:16" x14ac:dyDescent="0.25">
      <c r="A48" s="24" t="s">
        <v>231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1:17" x14ac:dyDescent="0.25">
      <c r="A49" s="23" t="s">
        <v>233</v>
      </c>
      <c r="Q49" s="8"/>
    </row>
    <row r="50" spans="1:17" s="26" customFormat="1" x14ac:dyDescent="0.25">
      <c r="A50" s="24" t="s">
        <v>377</v>
      </c>
      <c r="B50" s="1" t="s">
        <v>19</v>
      </c>
      <c r="C50"/>
      <c r="D50" s="30"/>
      <c r="E50" s="30"/>
      <c r="F50" s="30"/>
      <c r="G50" s="30">
        <f>1900000/2</f>
        <v>950000</v>
      </c>
      <c r="H50" s="30"/>
      <c r="I50" s="30"/>
      <c r="J50" s="30"/>
      <c r="K50" s="30"/>
      <c r="L50" s="30"/>
      <c r="M50" s="30"/>
      <c r="N50" s="30"/>
      <c r="P50" s="68" t="s">
        <v>334</v>
      </c>
    </row>
    <row r="51" spans="1:17" x14ac:dyDescent="0.25">
      <c r="A51" s="23" t="s">
        <v>235</v>
      </c>
    </row>
    <row r="52" spans="1:17" s="26" customFormat="1" x14ac:dyDescent="0.25">
      <c r="A52" s="24" t="s">
        <v>230</v>
      </c>
      <c r="B52" s="1" t="s">
        <v>19</v>
      </c>
      <c r="C52"/>
      <c r="D52" s="30"/>
      <c r="E52" s="30"/>
      <c r="F52" s="30"/>
      <c r="G52" s="30"/>
      <c r="H52" s="30">
        <v>125000</v>
      </c>
      <c r="I52" s="30"/>
      <c r="J52" s="30"/>
      <c r="K52" s="30"/>
      <c r="L52" s="30"/>
      <c r="M52" s="30"/>
      <c r="N52" s="30"/>
    </row>
    <row r="53" spans="1:17" s="26" customFormat="1" x14ac:dyDescent="0.25">
      <c r="A53" s="24" t="s">
        <v>340</v>
      </c>
      <c r="B53" s="1" t="s">
        <v>16</v>
      </c>
      <c r="C53"/>
      <c r="D53" s="30"/>
      <c r="E53" s="30"/>
      <c r="F53" s="30">
        <v>50000</v>
      </c>
      <c r="G53" s="30"/>
      <c r="H53" s="30"/>
      <c r="I53" s="30"/>
      <c r="J53" s="30"/>
      <c r="K53" s="30"/>
      <c r="L53" s="30"/>
      <c r="M53" s="30"/>
      <c r="N53" s="30"/>
    </row>
    <row r="54" spans="1:17" s="26" customFormat="1" x14ac:dyDescent="0.25">
      <c r="A54" s="24" t="s">
        <v>344</v>
      </c>
      <c r="B54" s="1" t="s">
        <v>16</v>
      </c>
      <c r="C54"/>
      <c r="D54" s="30"/>
      <c r="E54" s="30"/>
      <c r="F54" s="30"/>
      <c r="G54" s="30"/>
      <c r="H54" s="30">
        <v>50000</v>
      </c>
      <c r="I54" s="30"/>
      <c r="J54" s="30"/>
      <c r="K54" s="30"/>
      <c r="L54" s="30"/>
      <c r="M54" s="30"/>
      <c r="N54" s="30"/>
    </row>
    <row r="55" spans="1:17" s="26" customFormat="1" x14ac:dyDescent="0.25">
      <c r="A55" s="24" t="s">
        <v>238</v>
      </c>
      <c r="B55" s="1" t="s">
        <v>16</v>
      </c>
      <c r="C55"/>
      <c r="D55" s="30"/>
      <c r="E55" s="30"/>
      <c r="F55" s="30"/>
      <c r="G55" s="30"/>
      <c r="H55" s="30"/>
      <c r="I55" s="30">
        <v>250000</v>
      </c>
      <c r="J55" s="30"/>
      <c r="K55" s="30"/>
      <c r="L55" s="30"/>
      <c r="M55" s="30"/>
      <c r="N55" s="30"/>
      <c r="P55" s="6"/>
      <c r="Q55" s="38"/>
    </row>
    <row r="56" spans="1:17" x14ac:dyDescent="0.25">
      <c r="A56" s="69" t="s">
        <v>336</v>
      </c>
      <c r="C56" s="2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Q56" s="8"/>
    </row>
    <row r="57" spans="1:17" x14ac:dyDescent="0.25">
      <c r="A57" s="24" t="s">
        <v>230</v>
      </c>
      <c r="B57" s="1" t="s">
        <v>16</v>
      </c>
      <c r="C57" s="26"/>
      <c r="D57" s="30"/>
      <c r="E57" s="30"/>
      <c r="F57" s="30">
        <v>200000</v>
      </c>
      <c r="G57" s="30"/>
      <c r="H57" s="30"/>
      <c r="I57" s="30"/>
      <c r="J57" s="30"/>
      <c r="K57" s="30"/>
      <c r="L57" s="30"/>
      <c r="M57" s="30"/>
      <c r="N57" s="30"/>
      <c r="Q57" s="8"/>
    </row>
    <row r="58" spans="1:17" x14ac:dyDescent="0.25">
      <c r="A58" s="69" t="s">
        <v>337</v>
      </c>
      <c r="C58" s="26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Q58" s="8"/>
    </row>
    <row r="59" spans="1:17" x14ac:dyDescent="0.25">
      <c r="A59" s="25" t="s">
        <v>339</v>
      </c>
      <c r="B59" s="1" t="s">
        <v>16</v>
      </c>
      <c r="C59" s="26"/>
      <c r="D59" s="30"/>
      <c r="E59" s="30"/>
      <c r="F59" s="30">
        <v>50000</v>
      </c>
      <c r="G59" s="30"/>
      <c r="H59" s="30"/>
      <c r="I59" s="30"/>
      <c r="J59" s="30"/>
      <c r="K59" s="30"/>
      <c r="L59" s="30"/>
      <c r="M59" s="30"/>
      <c r="N59" s="30"/>
      <c r="Q59" s="8"/>
    </row>
    <row r="60" spans="1:17" x14ac:dyDescent="0.25">
      <c r="A60" s="25" t="s">
        <v>342</v>
      </c>
      <c r="B60" s="1" t="s">
        <v>16</v>
      </c>
      <c r="C60" s="26"/>
      <c r="D60" s="30"/>
      <c r="E60" s="30"/>
      <c r="F60" s="30"/>
      <c r="G60" s="30">
        <v>100000</v>
      </c>
      <c r="H60" s="30"/>
      <c r="I60" s="30"/>
      <c r="J60" s="30"/>
      <c r="K60" s="30"/>
      <c r="L60" s="30"/>
      <c r="M60" s="30"/>
      <c r="N60" s="30"/>
      <c r="Q60" s="8"/>
    </row>
    <row r="61" spans="1:17" x14ac:dyDescent="0.25">
      <c r="A61" s="25" t="s">
        <v>345</v>
      </c>
      <c r="B61" s="1" t="s">
        <v>16</v>
      </c>
      <c r="C61" s="26"/>
      <c r="D61" s="30"/>
      <c r="E61" s="30"/>
      <c r="F61" s="30"/>
      <c r="G61" s="30"/>
      <c r="H61" s="30"/>
      <c r="I61" s="30">
        <v>250000</v>
      </c>
      <c r="J61" s="30"/>
      <c r="K61" s="30"/>
      <c r="L61" s="30"/>
      <c r="M61" s="30"/>
      <c r="N61" s="30"/>
      <c r="Q61" s="8"/>
    </row>
    <row r="63" spans="1:17" s="4" customFormat="1" ht="15.75" thickBot="1" x14ac:dyDescent="0.3">
      <c r="A63" s="4" t="s">
        <v>36</v>
      </c>
      <c r="B63" s="2"/>
      <c r="D63" s="9">
        <f t="shared" ref="D63:N63" si="0">SUM(D10:D62)</f>
        <v>35000</v>
      </c>
      <c r="E63" s="9">
        <f t="shared" si="0"/>
        <v>708000</v>
      </c>
      <c r="F63" s="9">
        <f t="shared" si="0"/>
        <v>1250000</v>
      </c>
      <c r="G63" s="9">
        <f t="shared" si="0"/>
        <v>3218333</v>
      </c>
      <c r="H63" s="9">
        <f t="shared" si="0"/>
        <v>2341333</v>
      </c>
      <c r="I63" s="9">
        <f t="shared" si="0"/>
        <v>953333</v>
      </c>
      <c r="J63" s="9">
        <f t="shared" si="0"/>
        <v>110000</v>
      </c>
      <c r="K63" s="9">
        <f t="shared" si="0"/>
        <v>110000</v>
      </c>
      <c r="L63" s="9">
        <f t="shared" si="0"/>
        <v>110000</v>
      </c>
      <c r="M63" s="9">
        <f t="shared" si="0"/>
        <v>110000</v>
      </c>
      <c r="N63" s="9">
        <f t="shared" si="0"/>
        <v>110000</v>
      </c>
    </row>
    <row r="64" spans="1:17" ht="15.75" thickTop="1" x14ac:dyDescent="0.25"/>
    <row r="65" spans="1:14" x14ac:dyDescent="0.25">
      <c r="A65" s="5" t="s">
        <v>1</v>
      </c>
    </row>
    <row r="66" spans="1:14" x14ac:dyDescent="0.25">
      <c r="A66" s="5" t="s">
        <v>393</v>
      </c>
    </row>
    <row r="68" spans="1:14" x14ac:dyDescent="0.25">
      <c r="A68" t="s">
        <v>108</v>
      </c>
      <c r="B68" s="1" t="s">
        <v>16</v>
      </c>
      <c r="D68" s="21">
        <v>0</v>
      </c>
    </row>
    <row r="69" spans="1:14" x14ac:dyDescent="0.25">
      <c r="A69" t="s">
        <v>109</v>
      </c>
      <c r="B69" s="1" t="s">
        <v>16</v>
      </c>
      <c r="D69" s="21">
        <v>0</v>
      </c>
    </row>
    <row r="70" spans="1:14" x14ac:dyDescent="0.25">
      <c r="A70" t="s">
        <v>432</v>
      </c>
      <c r="B70" s="1" t="s">
        <v>16</v>
      </c>
      <c r="D70" s="30"/>
      <c r="E70" s="6">
        <v>25000</v>
      </c>
    </row>
    <row r="71" spans="1:14" x14ac:dyDescent="0.25">
      <c r="A71" t="s">
        <v>434</v>
      </c>
      <c r="B71" s="1" t="s">
        <v>16</v>
      </c>
      <c r="D71" s="30"/>
      <c r="E71" s="6">
        <v>20000</v>
      </c>
    </row>
    <row r="72" spans="1:14" x14ac:dyDescent="0.25">
      <c r="A72" t="s">
        <v>435</v>
      </c>
      <c r="B72" s="1" t="s">
        <v>16</v>
      </c>
      <c r="D72" s="30"/>
      <c r="E72" s="6">
        <v>10000</v>
      </c>
    </row>
    <row r="73" spans="1:14" x14ac:dyDescent="0.25">
      <c r="A73" s="26" t="s">
        <v>201</v>
      </c>
      <c r="B73" s="31" t="s">
        <v>16</v>
      </c>
      <c r="C73" s="26"/>
      <c r="D73" s="30"/>
      <c r="E73" s="30"/>
      <c r="F73" s="30">
        <v>35000</v>
      </c>
      <c r="G73" s="30"/>
      <c r="H73" s="30"/>
      <c r="I73" s="30"/>
      <c r="J73" s="30"/>
      <c r="K73" s="30"/>
    </row>
    <row r="74" spans="1:14" x14ac:dyDescent="0.25">
      <c r="A74" t="s">
        <v>202</v>
      </c>
      <c r="B74" s="1" t="s">
        <v>16</v>
      </c>
      <c r="G74" s="6">
        <v>40000</v>
      </c>
    </row>
    <row r="75" spans="1:14" x14ac:dyDescent="0.25">
      <c r="A75" t="s">
        <v>203</v>
      </c>
      <c r="B75" s="1" t="s">
        <v>16</v>
      </c>
      <c r="H75" s="6">
        <v>45000</v>
      </c>
    </row>
    <row r="76" spans="1:14" x14ac:dyDescent="0.25">
      <c r="A76" s="26" t="s">
        <v>361</v>
      </c>
      <c r="B76" s="31" t="s">
        <v>16</v>
      </c>
      <c r="C76" s="26"/>
      <c r="D76" s="30"/>
      <c r="E76" s="30">
        <v>5000</v>
      </c>
      <c r="F76" s="30">
        <v>5000</v>
      </c>
      <c r="G76" s="30"/>
      <c r="H76" s="30"/>
      <c r="I76" s="30"/>
      <c r="J76" s="30"/>
      <c r="K76" s="30"/>
    </row>
    <row r="77" spans="1:14" x14ac:dyDescent="0.25">
      <c r="A77" s="26" t="s">
        <v>191</v>
      </c>
      <c r="B77" s="31" t="s">
        <v>16</v>
      </c>
      <c r="C77" s="26"/>
      <c r="D77" s="30"/>
      <c r="E77" s="30">
        <v>10000</v>
      </c>
      <c r="F77" s="30">
        <v>10000</v>
      </c>
      <c r="G77" s="30">
        <v>10000</v>
      </c>
      <c r="H77" s="30">
        <v>10000</v>
      </c>
      <c r="I77" s="30">
        <v>10000</v>
      </c>
      <c r="J77" s="30">
        <v>10000</v>
      </c>
      <c r="K77" s="30">
        <v>10000</v>
      </c>
      <c r="L77" s="6">
        <v>10000</v>
      </c>
      <c r="M77" s="6">
        <v>10000</v>
      </c>
      <c r="N77" s="6">
        <v>10000</v>
      </c>
    </row>
    <row r="78" spans="1:14" x14ac:dyDescent="0.25">
      <c r="A78" s="26" t="s">
        <v>192</v>
      </c>
      <c r="B78" s="31" t="s">
        <v>16</v>
      </c>
      <c r="C78" s="26"/>
      <c r="D78" s="30"/>
      <c r="E78" s="30">
        <v>25000</v>
      </c>
      <c r="F78" s="30">
        <v>25000</v>
      </c>
      <c r="G78" s="30">
        <v>25000</v>
      </c>
      <c r="H78" s="30">
        <v>25000</v>
      </c>
      <c r="I78" s="30">
        <v>25000</v>
      </c>
      <c r="J78" s="30">
        <v>25000</v>
      </c>
      <c r="K78" s="30">
        <v>25000</v>
      </c>
      <c r="L78" s="6">
        <v>25000</v>
      </c>
      <c r="M78" s="6">
        <v>25000</v>
      </c>
      <c r="N78" s="6">
        <v>25000</v>
      </c>
    </row>
    <row r="79" spans="1:14" x14ac:dyDescent="0.25">
      <c r="A79" s="26" t="s">
        <v>193</v>
      </c>
      <c r="B79" s="31" t="s">
        <v>16</v>
      </c>
      <c r="C79" s="26"/>
      <c r="D79" s="30"/>
      <c r="E79" s="30">
        <v>10000</v>
      </c>
      <c r="F79" s="30">
        <v>10000</v>
      </c>
      <c r="G79" s="30">
        <v>10000</v>
      </c>
      <c r="H79" s="30">
        <v>10000</v>
      </c>
      <c r="I79" s="30">
        <v>10000</v>
      </c>
      <c r="J79" s="30">
        <v>10000</v>
      </c>
      <c r="K79" s="30">
        <v>10000</v>
      </c>
      <c r="L79" s="6">
        <v>10000</v>
      </c>
      <c r="M79" s="6">
        <v>10000</v>
      </c>
      <c r="N79" s="6">
        <v>10000</v>
      </c>
    </row>
    <row r="80" spans="1:14" x14ac:dyDescent="0.25">
      <c r="A80" s="26"/>
      <c r="B80" s="31"/>
      <c r="C80" s="26"/>
      <c r="D80" s="30"/>
      <c r="E80" s="30"/>
      <c r="F80" s="30"/>
      <c r="G80" s="30"/>
      <c r="H80" s="30"/>
      <c r="I80" s="30"/>
      <c r="J80" s="30"/>
      <c r="K80" s="30"/>
    </row>
    <row r="81" spans="1:14" x14ac:dyDescent="0.25">
      <c r="A81" s="5" t="s">
        <v>394</v>
      </c>
      <c r="B81" s="31"/>
      <c r="C81" s="26"/>
      <c r="D81" s="30"/>
      <c r="E81" s="30"/>
      <c r="F81" s="30"/>
      <c r="G81" s="30"/>
      <c r="H81" s="30"/>
      <c r="I81" s="30"/>
      <c r="J81" s="30"/>
      <c r="K81" s="30"/>
    </row>
    <row r="82" spans="1:14" x14ac:dyDescent="0.25">
      <c r="A82" t="s">
        <v>104</v>
      </c>
      <c r="B82" s="1" t="s">
        <v>19</v>
      </c>
      <c r="D82" s="6">
        <v>515000</v>
      </c>
    </row>
    <row r="83" spans="1:14" x14ac:dyDescent="0.25">
      <c r="A83" s="26" t="s">
        <v>245</v>
      </c>
      <c r="B83" s="31" t="s">
        <v>243</v>
      </c>
      <c r="C83" s="26"/>
      <c r="D83" s="30">
        <v>185000</v>
      </c>
      <c r="E83" s="30"/>
      <c r="F83" s="30"/>
      <c r="G83" s="30"/>
      <c r="H83" s="30"/>
      <c r="I83" s="30"/>
      <c r="J83" s="30"/>
      <c r="K83" s="30"/>
    </row>
    <row r="84" spans="1:14" x14ac:dyDescent="0.25">
      <c r="A84" s="26" t="s">
        <v>358</v>
      </c>
      <c r="B84" s="31" t="s">
        <v>16</v>
      </c>
      <c r="C84" s="26"/>
      <c r="D84" s="30"/>
      <c r="E84" s="30">
        <v>125000</v>
      </c>
      <c r="F84" s="30"/>
      <c r="G84" s="30"/>
      <c r="H84" s="30"/>
      <c r="I84" s="30"/>
      <c r="J84" s="30"/>
      <c r="K84" s="30"/>
    </row>
    <row r="85" spans="1:14" x14ac:dyDescent="0.25">
      <c r="A85" s="26" t="s">
        <v>359</v>
      </c>
      <c r="B85" s="31" t="s">
        <v>16</v>
      </c>
      <c r="C85" s="26"/>
      <c r="D85" s="30"/>
      <c r="E85" s="30">
        <v>75000</v>
      </c>
      <c r="F85" s="30"/>
      <c r="G85" s="30"/>
      <c r="H85" s="30"/>
      <c r="I85" s="30"/>
      <c r="J85" s="30"/>
      <c r="K85" s="30"/>
    </row>
    <row r="86" spans="1:14" x14ac:dyDescent="0.25">
      <c r="A86" s="26" t="s">
        <v>433</v>
      </c>
      <c r="B86" s="31" t="s">
        <v>16</v>
      </c>
      <c r="C86" s="26"/>
      <c r="D86" s="30"/>
      <c r="E86" s="30">
        <v>110000</v>
      </c>
      <c r="F86" s="30"/>
      <c r="G86" s="30"/>
      <c r="H86" s="30"/>
      <c r="I86" s="30"/>
      <c r="J86" s="30"/>
      <c r="K86" s="30"/>
    </row>
    <row r="87" spans="1:14" x14ac:dyDescent="0.25">
      <c r="A87" s="26" t="s">
        <v>195</v>
      </c>
      <c r="B87" s="31" t="s">
        <v>16</v>
      </c>
      <c r="C87" s="26"/>
      <c r="D87" s="30"/>
      <c r="E87" s="30"/>
      <c r="F87" s="30"/>
      <c r="G87" s="30">
        <v>500000</v>
      </c>
      <c r="H87" s="30"/>
      <c r="I87" s="30"/>
      <c r="J87" s="30"/>
      <c r="K87" s="30"/>
    </row>
    <row r="88" spans="1:14" x14ac:dyDescent="0.25">
      <c r="A88" s="26" t="s">
        <v>194</v>
      </c>
      <c r="B88" s="31" t="s">
        <v>16</v>
      </c>
      <c r="C88" s="26"/>
      <c r="D88" s="30"/>
      <c r="E88" s="30"/>
      <c r="F88" s="30"/>
      <c r="G88" s="30"/>
      <c r="H88" s="30">
        <v>500000</v>
      </c>
      <c r="I88" s="30"/>
      <c r="J88" s="30"/>
      <c r="K88" s="30"/>
    </row>
    <row r="89" spans="1:14" x14ac:dyDescent="0.25">
      <c r="A89" s="26" t="s">
        <v>196</v>
      </c>
      <c r="B89" s="31" t="s">
        <v>19</v>
      </c>
      <c r="C89" s="26"/>
      <c r="D89" s="30"/>
      <c r="E89" s="30"/>
      <c r="F89" s="30"/>
      <c r="G89" s="30"/>
      <c r="H89" s="30">
        <v>950000</v>
      </c>
      <c r="I89" s="30"/>
      <c r="J89" s="30"/>
      <c r="K89" s="30"/>
    </row>
    <row r="90" spans="1:14" x14ac:dyDescent="0.25">
      <c r="A90" s="26" t="s">
        <v>197</v>
      </c>
      <c r="B90" s="31" t="s">
        <v>16</v>
      </c>
      <c r="C90" s="26"/>
      <c r="D90" s="30"/>
      <c r="E90" s="30"/>
      <c r="F90" s="30"/>
      <c r="G90" s="30">
        <v>175000</v>
      </c>
      <c r="H90" s="30">
        <v>200000</v>
      </c>
      <c r="I90" s="30"/>
      <c r="J90" s="30"/>
      <c r="K90" s="30"/>
    </row>
    <row r="91" spans="1:14" x14ac:dyDescent="0.25">
      <c r="A91" s="26" t="s">
        <v>198</v>
      </c>
      <c r="B91" s="31" t="s">
        <v>19</v>
      </c>
      <c r="C91" s="26"/>
      <c r="D91" s="30"/>
      <c r="E91" s="30"/>
      <c r="F91" s="30"/>
      <c r="G91" s="30"/>
      <c r="H91" s="30"/>
      <c r="I91" s="30"/>
      <c r="J91" s="30"/>
      <c r="K91" s="30">
        <f>G93</f>
        <v>1100000</v>
      </c>
    </row>
    <row r="92" spans="1:14" x14ac:dyDescent="0.25">
      <c r="A92" s="26" t="s">
        <v>199</v>
      </c>
      <c r="B92" s="31" t="s">
        <v>19</v>
      </c>
      <c r="C92" s="26"/>
      <c r="D92" s="30"/>
      <c r="E92" s="30"/>
      <c r="F92" s="30"/>
      <c r="G92" s="30"/>
      <c r="H92" s="30"/>
      <c r="I92" s="30">
        <f>G93</f>
        <v>1100000</v>
      </c>
      <c r="J92" s="30"/>
      <c r="K92" s="30"/>
    </row>
    <row r="93" spans="1:14" s="26" customFormat="1" x14ac:dyDescent="0.25">
      <c r="A93" s="26" t="s">
        <v>240</v>
      </c>
      <c r="B93" s="31" t="s">
        <v>19</v>
      </c>
      <c r="D93" s="30"/>
      <c r="E93" s="30"/>
      <c r="F93" s="30"/>
      <c r="G93" s="30">
        <v>1100000</v>
      </c>
      <c r="H93" s="30"/>
      <c r="I93" s="30"/>
      <c r="J93" s="30"/>
      <c r="K93" s="30"/>
      <c r="L93" s="30"/>
      <c r="M93" s="30"/>
      <c r="N93" s="30"/>
    </row>
    <row r="94" spans="1:14" x14ac:dyDescent="0.25">
      <c r="A94" s="26" t="s">
        <v>200</v>
      </c>
      <c r="B94" s="31" t="s">
        <v>16</v>
      </c>
      <c r="C94" s="26"/>
      <c r="D94" s="30"/>
      <c r="E94" s="30">
        <v>50000</v>
      </c>
      <c r="F94" s="30"/>
      <c r="G94" s="30"/>
      <c r="H94" s="30"/>
      <c r="I94" s="30"/>
      <c r="J94" s="30"/>
      <c r="K94" s="30"/>
    </row>
    <row r="96" spans="1:14" s="4" customFormat="1" ht="15.75" thickBot="1" x14ac:dyDescent="0.3">
      <c r="A96" s="4" t="s">
        <v>34</v>
      </c>
      <c r="B96" s="2"/>
      <c r="D96" s="9">
        <f t="shared" ref="D96:N96" si="1">SUM(D68:D95)</f>
        <v>700000</v>
      </c>
      <c r="E96" s="9">
        <f t="shared" si="1"/>
        <v>465000</v>
      </c>
      <c r="F96" s="9">
        <f t="shared" si="1"/>
        <v>85000</v>
      </c>
      <c r="G96" s="9">
        <f t="shared" si="1"/>
        <v>1860000</v>
      </c>
      <c r="H96" s="9">
        <f t="shared" si="1"/>
        <v>1740000</v>
      </c>
      <c r="I96" s="9">
        <f t="shared" si="1"/>
        <v>1145000</v>
      </c>
      <c r="J96" s="9">
        <f t="shared" si="1"/>
        <v>45000</v>
      </c>
      <c r="K96" s="9">
        <f t="shared" si="1"/>
        <v>1145000</v>
      </c>
      <c r="L96" s="9">
        <f t="shared" si="1"/>
        <v>45000</v>
      </c>
      <c r="M96" s="9">
        <f t="shared" si="1"/>
        <v>45000</v>
      </c>
      <c r="N96" s="9">
        <f t="shared" si="1"/>
        <v>45000</v>
      </c>
    </row>
    <row r="97" spans="1:14" ht="15.75" thickTop="1" x14ac:dyDescent="0.25"/>
    <row r="98" spans="1:14" s="4" customFormat="1" x14ac:dyDescent="0.25">
      <c r="A98" s="4" t="s">
        <v>35</v>
      </c>
      <c r="B98" s="2"/>
      <c r="D98" s="10">
        <f t="shared" ref="D98:N98" si="2">D96+D63</f>
        <v>735000</v>
      </c>
      <c r="E98" s="10">
        <f t="shared" si="2"/>
        <v>1173000</v>
      </c>
      <c r="F98" s="10">
        <f t="shared" si="2"/>
        <v>1335000</v>
      </c>
      <c r="G98" s="10">
        <f t="shared" si="2"/>
        <v>5078333</v>
      </c>
      <c r="H98" s="10">
        <f t="shared" si="2"/>
        <v>4081333</v>
      </c>
      <c r="I98" s="10">
        <f t="shared" si="2"/>
        <v>2098333</v>
      </c>
      <c r="J98" s="10">
        <f t="shared" si="2"/>
        <v>155000</v>
      </c>
      <c r="K98" s="10">
        <f t="shared" si="2"/>
        <v>1255000</v>
      </c>
      <c r="L98" s="10">
        <f t="shared" si="2"/>
        <v>155000</v>
      </c>
      <c r="M98" s="10">
        <f t="shared" si="2"/>
        <v>155000</v>
      </c>
      <c r="N98" s="10">
        <f t="shared" si="2"/>
        <v>155000</v>
      </c>
    </row>
    <row r="99" spans="1:14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 x14ac:dyDescent="0.25">
      <c r="A100" s="28" t="s">
        <v>395</v>
      </c>
      <c r="B100" s="27"/>
      <c r="C100" s="28"/>
      <c r="D100" s="29">
        <f>SUM(D9:D27)+SUM(D66:D79)</f>
        <v>35000</v>
      </c>
      <c r="E100" s="29">
        <f t="shared" ref="E100:N100" si="3">SUM(E9:E27)+SUM(E66:E79)</f>
        <v>288000</v>
      </c>
      <c r="F100" s="29">
        <f t="shared" si="3"/>
        <v>255000</v>
      </c>
      <c r="G100" s="29">
        <f t="shared" si="3"/>
        <v>195000</v>
      </c>
      <c r="H100" s="29">
        <f t="shared" si="3"/>
        <v>248000</v>
      </c>
      <c r="I100" s="29">
        <f t="shared" si="3"/>
        <v>190000</v>
      </c>
      <c r="J100" s="29">
        <f t="shared" si="3"/>
        <v>155000</v>
      </c>
      <c r="K100" s="29">
        <f t="shared" si="3"/>
        <v>155000</v>
      </c>
      <c r="L100" s="29">
        <f t="shared" si="3"/>
        <v>155000</v>
      </c>
      <c r="M100" s="29">
        <f t="shared" si="3"/>
        <v>155000</v>
      </c>
      <c r="N100" s="29">
        <f t="shared" si="3"/>
        <v>155000</v>
      </c>
    </row>
    <row r="101" spans="1:14" x14ac:dyDescent="0.25">
      <c r="A101" s="28" t="s">
        <v>396</v>
      </c>
      <c r="B101" s="27"/>
      <c r="C101" s="28"/>
      <c r="D101" s="29">
        <f>SUM(D30:D61)+SUM(D82:D94)</f>
        <v>700000</v>
      </c>
      <c r="E101" s="29">
        <f t="shared" ref="E101:N101" si="4">SUM(E30:E61)+SUM(E82:E94)</f>
        <v>885000</v>
      </c>
      <c r="F101" s="29">
        <f t="shared" si="4"/>
        <v>1080000</v>
      </c>
      <c r="G101" s="29">
        <f t="shared" si="4"/>
        <v>4883333</v>
      </c>
      <c r="H101" s="29">
        <f t="shared" si="4"/>
        <v>3833333</v>
      </c>
      <c r="I101" s="29">
        <f t="shared" si="4"/>
        <v>1908333</v>
      </c>
      <c r="J101" s="29">
        <f t="shared" si="4"/>
        <v>0</v>
      </c>
      <c r="K101" s="29">
        <f t="shared" si="4"/>
        <v>1100000</v>
      </c>
      <c r="L101" s="29">
        <f t="shared" si="4"/>
        <v>0</v>
      </c>
      <c r="M101" s="29">
        <f t="shared" si="4"/>
        <v>0</v>
      </c>
      <c r="N101" s="29">
        <f t="shared" si="4"/>
        <v>0</v>
      </c>
    </row>
    <row r="102" spans="1:14" ht="15.75" thickBot="1" x14ac:dyDescent="0.3">
      <c r="D102" s="7">
        <f>SUM(D100:D101)</f>
        <v>735000</v>
      </c>
      <c r="E102" s="7">
        <f t="shared" ref="E102:N102" si="5">SUM(E100:E101)</f>
        <v>1173000</v>
      </c>
      <c r="F102" s="7">
        <f t="shared" si="5"/>
        <v>1335000</v>
      </c>
      <c r="G102" s="7">
        <f t="shared" si="5"/>
        <v>5078333</v>
      </c>
      <c r="H102" s="7">
        <f t="shared" si="5"/>
        <v>4081333</v>
      </c>
      <c r="I102" s="7">
        <f t="shared" si="5"/>
        <v>2098333</v>
      </c>
      <c r="J102" s="7">
        <f t="shared" si="5"/>
        <v>155000</v>
      </c>
      <c r="K102" s="7">
        <f t="shared" si="5"/>
        <v>1255000</v>
      </c>
      <c r="L102" s="7">
        <f t="shared" si="5"/>
        <v>155000</v>
      </c>
      <c r="M102" s="7">
        <f t="shared" si="5"/>
        <v>155000</v>
      </c>
      <c r="N102" s="7">
        <f t="shared" si="5"/>
        <v>155000</v>
      </c>
    </row>
    <row r="103" spans="1:14" ht="15.75" thickTop="1" x14ac:dyDescent="0.25">
      <c r="D103" s="94">
        <f>D102-D98</f>
        <v>0</v>
      </c>
      <c r="E103" s="94">
        <f t="shared" ref="E103:N103" si="6">E102-E98</f>
        <v>0</v>
      </c>
      <c r="F103" s="94">
        <f t="shared" si="6"/>
        <v>0</v>
      </c>
      <c r="G103" s="94">
        <f t="shared" si="6"/>
        <v>0</v>
      </c>
      <c r="H103" s="94">
        <f t="shared" si="6"/>
        <v>0</v>
      </c>
      <c r="I103" s="94">
        <f t="shared" si="6"/>
        <v>0</v>
      </c>
      <c r="J103" s="94">
        <f t="shared" si="6"/>
        <v>0</v>
      </c>
      <c r="K103" s="94">
        <f t="shared" si="6"/>
        <v>0</v>
      </c>
      <c r="L103" s="94">
        <f t="shared" si="6"/>
        <v>0</v>
      </c>
      <c r="M103" s="94">
        <f t="shared" si="6"/>
        <v>0</v>
      </c>
      <c r="N103" s="94">
        <f t="shared" si="6"/>
        <v>0</v>
      </c>
    </row>
    <row r="105" spans="1:14" x14ac:dyDescent="0.25">
      <c r="A105" t="s">
        <v>16</v>
      </c>
      <c r="D105" s="6">
        <f t="shared" ref="D105:N111" si="7">SUMIF($B$10:$B$95,$A105,D$10:D$95)</f>
        <v>35000</v>
      </c>
      <c r="E105" s="6">
        <f t="shared" si="7"/>
        <v>1173000</v>
      </c>
      <c r="F105" s="6">
        <f t="shared" si="7"/>
        <v>1335000</v>
      </c>
      <c r="G105" s="6">
        <f t="shared" si="7"/>
        <v>1278333</v>
      </c>
      <c r="H105" s="6">
        <f t="shared" si="7"/>
        <v>1306333</v>
      </c>
      <c r="I105" s="6">
        <f t="shared" si="7"/>
        <v>998333</v>
      </c>
      <c r="J105" s="6">
        <f t="shared" si="7"/>
        <v>155000</v>
      </c>
      <c r="K105" s="6">
        <f t="shared" si="7"/>
        <v>155000</v>
      </c>
      <c r="L105" s="6">
        <f t="shared" si="7"/>
        <v>155000</v>
      </c>
      <c r="M105" s="6">
        <f t="shared" si="7"/>
        <v>155000</v>
      </c>
      <c r="N105" s="6">
        <f t="shared" si="7"/>
        <v>155000</v>
      </c>
    </row>
    <row r="106" spans="1:14" x14ac:dyDescent="0.25">
      <c r="A106" t="s">
        <v>37</v>
      </c>
      <c r="D106" s="6">
        <f t="shared" si="7"/>
        <v>0</v>
      </c>
      <c r="E106" s="6">
        <f t="shared" si="7"/>
        <v>0</v>
      </c>
      <c r="F106" s="6">
        <f t="shared" si="7"/>
        <v>0</v>
      </c>
      <c r="G106" s="6">
        <f t="shared" si="7"/>
        <v>0</v>
      </c>
      <c r="H106" s="6">
        <f t="shared" si="7"/>
        <v>0</v>
      </c>
      <c r="I106" s="6">
        <f t="shared" si="7"/>
        <v>0</v>
      </c>
      <c r="J106" s="6">
        <f t="shared" si="7"/>
        <v>0</v>
      </c>
      <c r="K106" s="6">
        <f t="shared" si="7"/>
        <v>0</v>
      </c>
      <c r="L106" s="6">
        <f t="shared" si="7"/>
        <v>0</v>
      </c>
      <c r="M106" s="6">
        <f t="shared" si="7"/>
        <v>0</v>
      </c>
      <c r="N106" s="6">
        <f t="shared" si="7"/>
        <v>0</v>
      </c>
    </row>
    <row r="107" spans="1:14" x14ac:dyDescent="0.25">
      <c r="A107" t="s">
        <v>38</v>
      </c>
      <c r="D107" s="6">
        <f t="shared" si="7"/>
        <v>0</v>
      </c>
      <c r="E107" s="6">
        <f t="shared" si="7"/>
        <v>0</v>
      </c>
      <c r="F107" s="6">
        <f t="shared" si="7"/>
        <v>0</v>
      </c>
      <c r="G107" s="6">
        <f t="shared" si="7"/>
        <v>0</v>
      </c>
      <c r="H107" s="6">
        <f t="shared" si="7"/>
        <v>0</v>
      </c>
      <c r="I107" s="6">
        <f t="shared" si="7"/>
        <v>0</v>
      </c>
      <c r="J107" s="6">
        <f t="shared" si="7"/>
        <v>0</v>
      </c>
      <c r="K107" s="6">
        <f t="shared" si="7"/>
        <v>0</v>
      </c>
      <c r="L107" s="6">
        <f t="shared" si="7"/>
        <v>0</v>
      </c>
      <c r="M107" s="6">
        <f t="shared" si="7"/>
        <v>0</v>
      </c>
      <c r="N107" s="6">
        <f t="shared" si="7"/>
        <v>0</v>
      </c>
    </row>
    <row r="108" spans="1:14" x14ac:dyDescent="0.25">
      <c r="A108" t="s">
        <v>19</v>
      </c>
      <c r="D108" s="6">
        <f t="shared" si="7"/>
        <v>515000</v>
      </c>
      <c r="E108" s="6">
        <f t="shared" si="7"/>
        <v>0</v>
      </c>
      <c r="F108" s="6">
        <f t="shared" si="7"/>
        <v>0</v>
      </c>
      <c r="G108" s="6">
        <f t="shared" si="7"/>
        <v>3000000</v>
      </c>
      <c r="H108" s="6">
        <f t="shared" si="7"/>
        <v>2775000</v>
      </c>
      <c r="I108" s="6">
        <f t="shared" si="7"/>
        <v>1100000</v>
      </c>
      <c r="J108" s="6">
        <f t="shared" si="7"/>
        <v>0</v>
      </c>
      <c r="K108" s="6">
        <f t="shared" si="7"/>
        <v>1100000</v>
      </c>
      <c r="L108" s="6">
        <f t="shared" si="7"/>
        <v>0</v>
      </c>
      <c r="M108" s="6">
        <f t="shared" si="7"/>
        <v>0</v>
      </c>
      <c r="N108" s="6">
        <f t="shared" si="7"/>
        <v>0</v>
      </c>
    </row>
    <row r="109" spans="1:14" x14ac:dyDescent="0.25">
      <c r="A109" t="s">
        <v>243</v>
      </c>
      <c r="D109" s="6">
        <f t="shared" si="7"/>
        <v>185000</v>
      </c>
      <c r="E109" s="6">
        <f t="shared" si="7"/>
        <v>0</v>
      </c>
      <c r="F109" s="6">
        <f t="shared" si="7"/>
        <v>0</v>
      </c>
      <c r="G109" s="6">
        <f t="shared" si="7"/>
        <v>0</v>
      </c>
      <c r="H109" s="6">
        <f t="shared" si="7"/>
        <v>0</v>
      </c>
      <c r="I109" s="6">
        <f t="shared" si="7"/>
        <v>0</v>
      </c>
      <c r="J109" s="6">
        <f t="shared" si="7"/>
        <v>0</v>
      </c>
      <c r="K109" s="6">
        <f t="shared" si="7"/>
        <v>0</v>
      </c>
      <c r="L109" s="6">
        <f t="shared" si="7"/>
        <v>0</v>
      </c>
      <c r="M109" s="6">
        <f t="shared" si="7"/>
        <v>0</v>
      </c>
      <c r="N109" s="6">
        <f t="shared" si="7"/>
        <v>0</v>
      </c>
    </row>
    <row r="110" spans="1:14" x14ac:dyDescent="0.25">
      <c r="A110" t="s">
        <v>13</v>
      </c>
      <c r="D110" s="6">
        <f t="shared" si="7"/>
        <v>0</v>
      </c>
      <c r="E110" s="6">
        <f t="shared" si="7"/>
        <v>0</v>
      </c>
      <c r="F110" s="6">
        <f t="shared" si="7"/>
        <v>0</v>
      </c>
      <c r="G110" s="6">
        <f t="shared" si="7"/>
        <v>800000</v>
      </c>
      <c r="H110" s="6">
        <f t="shared" si="7"/>
        <v>0</v>
      </c>
      <c r="I110" s="6">
        <f t="shared" si="7"/>
        <v>0</v>
      </c>
      <c r="J110" s="6">
        <f t="shared" si="7"/>
        <v>0</v>
      </c>
      <c r="K110" s="6">
        <f t="shared" si="7"/>
        <v>0</v>
      </c>
      <c r="L110" s="6">
        <f t="shared" si="7"/>
        <v>0</v>
      </c>
      <c r="M110" s="6">
        <f t="shared" si="7"/>
        <v>0</v>
      </c>
      <c r="N110" s="6">
        <f t="shared" si="7"/>
        <v>0</v>
      </c>
    </row>
    <row r="111" spans="1:14" x14ac:dyDescent="0.25">
      <c r="A111" t="s">
        <v>50</v>
      </c>
      <c r="D111" s="6">
        <f t="shared" si="7"/>
        <v>0</v>
      </c>
      <c r="E111" s="6">
        <f t="shared" si="7"/>
        <v>0</v>
      </c>
      <c r="F111" s="6">
        <f t="shared" si="7"/>
        <v>0</v>
      </c>
      <c r="G111" s="6">
        <f t="shared" si="7"/>
        <v>0</v>
      </c>
      <c r="H111" s="6">
        <f t="shared" si="7"/>
        <v>0</v>
      </c>
      <c r="I111" s="6">
        <f t="shared" si="7"/>
        <v>0</v>
      </c>
      <c r="J111" s="6">
        <f t="shared" si="7"/>
        <v>0</v>
      </c>
      <c r="K111" s="6">
        <f t="shared" si="7"/>
        <v>0</v>
      </c>
      <c r="L111" s="6">
        <f t="shared" si="7"/>
        <v>0</v>
      </c>
      <c r="M111" s="6">
        <f t="shared" si="7"/>
        <v>0</v>
      </c>
      <c r="N111" s="6">
        <f t="shared" si="7"/>
        <v>0</v>
      </c>
    </row>
    <row r="112" spans="1:14" ht="15.75" thickBot="1" x14ac:dyDescent="0.3">
      <c r="D112" s="7">
        <f t="shared" ref="D112:N112" si="8">SUM(D105:D111)</f>
        <v>735000</v>
      </c>
      <c r="E112" s="7">
        <f t="shared" si="8"/>
        <v>1173000</v>
      </c>
      <c r="F112" s="7">
        <f t="shared" si="8"/>
        <v>1335000</v>
      </c>
      <c r="G112" s="7">
        <f t="shared" si="8"/>
        <v>5078333</v>
      </c>
      <c r="H112" s="7">
        <f t="shared" si="8"/>
        <v>4081333</v>
      </c>
      <c r="I112" s="7">
        <f t="shared" si="8"/>
        <v>2098333</v>
      </c>
      <c r="J112" s="7">
        <f t="shared" si="8"/>
        <v>155000</v>
      </c>
      <c r="K112" s="7">
        <f t="shared" si="8"/>
        <v>1255000</v>
      </c>
      <c r="L112" s="7">
        <f t="shared" si="8"/>
        <v>155000</v>
      </c>
      <c r="M112" s="7">
        <f t="shared" si="8"/>
        <v>155000</v>
      </c>
      <c r="N112" s="7">
        <f t="shared" si="8"/>
        <v>155000</v>
      </c>
    </row>
    <row r="113" spans="1:14" ht="15.75" thickTop="1" x14ac:dyDescent="0.25">
      <c r="D113" s="8">
        <f>D112-D98</f>
        <v>0</v>
      </c>
      <c r="E113" s="8">
        <f t="shared" ref="E113:N113" si="9">E112-E98</f>
        <v>0</v>
      </c>
      <c r="F113" s="8">
        <f t="shared" si="9"/>
        <v>0</v>
      </c>
      <c r="G113" s="8">
        <f t="shared" si="9"/>
        <v>0</v>
      </c>
      <c r="H113" s="8">
        <f t="shared" si="9"/>
        <v>0</v>
      </c>
      <c r="I113" s="8">
        <f t="shared" si="9"/>
        <v>0</v>
      </c>
      <c r="J113" s="8">
        <f t="shared" si="9"/>
        <v>0</v>
      </c>
      <c r="K113" s="8">
        <f t="shared" si="9"/>
        <v>0</v>
      </c>
      <c r="L113" s="8">
        <f t="shared" si="9"/>
        <v>0</v>
      </c>
      <c r="M113" s="8">
        <f t="shared" si="9"/>
        <v>0</v>
      </c>
      <c r="N113" s="8">
        <f t="shared" si="9"/>
        <v>0</v>
      </c>
    </row>
    <row r="116" spans="1:14" x14ac:dyDescent="0.25">
      <c r="A116" s="72" t="s">
        <v>315</v>
      </c>
      <c r="B116" s="73"/>
      <c r="C116" s="74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</row>
    <row r="117" spans="1:14" x14ac:dyDescent="0.25">
      <c r="A117" s="72" t="s">
        <v>317</v>
      </c>
      <c r="B117" s="73"/>
      <c r="C117" s="74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</row>
    <row r="118" spans="1:14" x14ac:dyDescent="0.25">
      <c r="A118" s="72" t="s">
        <v>316</v>
      </c>
      <c r="B118" s="73"/>
      <c r="C118" s="74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</row>
    <row r="119" spans="1:14" x14ac:dyDescent="0.25">
      <c r="A119" s="72" t="s">
        <v>366</v>
      </c>
      <c r="B119" s="73"/>
      <c r="C119" s="74"/>
      <c r="D119" s="75">
        <f>D112</f>
        <v>735000</v>
      </c>
      <c r="E119" s="75">
        <f t="shared" ref="E119:N119" si="10">E112</f>
        <v>1173000</v>
      </c>
      <c r="F119" s="75">
        <f t="shared" si="10"/>
        <v>1335000</v>
      </c>
      <c r="G119" s="75">
        <f t="shared" si="10"/>
        <v>5078333</v>
      </c>
      <c r="H119" s="75">
        <f t="shared" si="10"/>
        <v>4081333</v>
      </c>
      <c r="I119" s="75">
        <f t="shared" si="10"/>
        <v>2098333</v>
      </c>
      <c r="J119" s="75">
        <f t="shared" si="10"/>
        <v>155000</v>
      </c>
      <c r="K119" s="75">
        <f t="shared" si="10"/>
        <v>1255000</v>
      </c>
      <c r="L119" s="75">
        <f t="shared" si="10"/>
        <v>155000</v>
      </c>
      <c r="M119" s="75">
        <f t="shared" si="10"/>
        <v>155000</v>
      </c>
      <c r="N119" s="75">
        <f t="shared" si="10"/>
        <v>155000</v>
      </c>
    </row>
    <row r="120" spans="1:14" x14ac:dyDescent="0.25">
      <c r="A120" s="72" t="s">
        <v>367</v>
      </c>
      <c r="B120" s="73"/>
      <c r="C120" s="74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</row>
    <row r="121" spans="1:14" x14ac:dyDescent="0.25">
      <c r="A121" s="72" t="s">
        <v>368</v>
      </c>
      <c r="B121" s="73"/>
      <c r="C121" s="74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</row>
    <row r="122" spans="1:14" x14ac:dyDescent="0.25">
      <c r="A122" s="72" t="s">
        <v>1</v>
      </c>
      <c r="B122" s="73"/>
      <c r="C122" s="74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</row>
    <row r="125" spans="1:14" x14ac:dyDescent="0.25">
      <c r="A125" t="s">
        <v>55</v>
      </c>
    </row>
    <row r="126" spans="1:14" x14ac:dyDescent="0.25">
      <c r="A126" t="s">
        <v>56</v>
      </c>
    </row>
    <row r="127" spans="1:14" x14ac:dyDescent="0.25">
      <c r="A127" t="s">
        <v>371</v>
      </c>
    </row>
    <row r="128" spans="1:14" x14ac:dyDescent="0.25">
      <c r="A128" t="s">
        <v>57</v>
      </c>
    </row>
    <row r="129" spans="1:1" x14ac:dyDescent="0.25">
      <c r="A129" t="s">
        <v>244</v>
      </c>
    </row>
    <row r="130" spans="1:1" x14ac:dyDescent="0.25">
      <c r="A130" t="s">
        <v>58</v>
      </c>
    </row>
    <row r="131" spans="1:1" x14ac:dyDescent="0.25">
      <c r="A131" t="s">
        <v>59</v>
      </c>
    </row>
  </sheetData>
  <pageMargins left="0.4" right="0.4" top="0.4" bottom="0.4" header="0" footer="0"/>
  <pageSetup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Project Details by Yr - MASTER</vt:lpstr>
      <vt:lpstr>Project Details by Yr</vt:lpstr>
      <vt:lpstr>FY 2018-19 Capital Requests</vt:lpstr>
      <vt:lpstr>Summary</vt:lpstr>
      <vt:lpstr>CIP Details</vt:lpstr>
      <vt:lpstr>Bond Details</vt:lpstr>
      <vt:lpstr>Other Capital Needs</vt:lpstr>
      <vt:lpstr>Public Grounds</vt:lpstr>
      <vt:lpstr>Public Buildings</vt:lpstr>
      <vt:lpstr>Bridges</vt:lpstr>
      <vt:lpstr>Parking Lots &amp; Playgrounds</vt:lpstr>
      <vt:lpstr>Vehicles</vt:lpstr>
      <vt:lpstr>Water Control</vt:lpstr>
      <vt:lpstr>GF Detail (CY only)</vt:lpstr>
      <vt:lpstr>GF Details (FY20 ONLY)</vt:lpstr>
      <vt:lpstr>'CIP Details'!Print_Area</vt:lpstr>
      <vt:lpstr>'GF Detail (CY only)'!Print_Area</vt:lpstr>
      <vt:lpstr>'GF Details (FY20 ONLY)'!Print_Area</vt:lpstr>
      <vt:lpstr>'Other Capital Needs'!Print_Area</vt:lpstr>
      <vt:lpstr>'Project Details by Yr'!Print_Area</vt:lpstr>
      <vt:lpstr>'Public Buildings'!Print_Area</vt:lpstr>
      <vt:lpstr>'Public Grounds'!Print_Area</vt:lpstr>
      <vt:lpstr>'CIP Details'!Print_Titles</vt:lpstr>
      <vt:lpstr>'GF Details (FY20 ONLY)'!Print_Titles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Delaney</dc:creator>
  <cp:lastModifiedBy>Kevin Delaney</cp:lastModifiedBy>
  <cp:lastPrinted>2019-02-25T21:48:17Z</cp:lastPrinted>
  <dcterms:created xsi:type="dcterms:W3CDTF">2017-03-31T14:08:20Z</dcterms:created>
  <dcterms:modified xsi:type="dcterms:W3CDTF">2019-04-04T21:29:50Z</dcterms:modified>
</cp:coreProperties>
</file>